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CCAFA4C5-5A08-44B7-8D9D-36B1E4F27D0A}" xr6:coauthVersionLast="47" xr6:coauthVersionMax="47" xr10:uidLastSave="{00000000-0000-0000-0000-000000000000}"/>
  <bookViews>
    <workbookView xWindow="8460" yWindow="504" windowWidth="12768" windowHeight="1182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state="hidden"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6" l="1"/>
  <c r="F19" i="6"/>
  <c r="AY3" i="3" l="1"/>
  <c r="A3" i="3"/>
  <c r="B32" i="84"/>
  <c r="B31" i="84"/>
  <c r="H27" i="84"/>
  <c r="F31" i="84"/>
  <c r="E31" i="84"/>
  <c r="D31" i="84"/>
  <c r="C31" i="84"/>
  <c r="H31" i="84"/>
  <c r="G31" i="84"/>
  <c r="B30" i="84"/>
  <c r="B29" i="84"/>
  <c r="B28" i="84"/>
  <c r="B27" i="84"/>
  <c r="B26" i="84"/>
  <c r="B25" i="84"/>
  <c r="B24" i="84"/>
  <c r="B23"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B2" i="43" s="1"/>
  <c r="D4" i="43" s="1"/>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I44" i="40" s="1"/>
  <c r="T44" i="40"/>
  <c r="G44"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2" i="35"/>
  <c r="I42" i="35"/>
  <c r="P39" i="35"/>
  <c r="V38" i="35"/>
  <c r="P38" i="35"/>
  <c r="K38" i="35"/>
  <c r="I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T38" i="35" s="1"/>
  <c r="G38" i="35" s="1"/>
  <c r="Z31" i="35"/>
  <c r="W31" i="35"/>
  <c r="U31" i="35"/>
  <c r="Q31" i="35"/>
  <c r="J31" i="35"/>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B3" i="21"/>
  <c r="M15"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A8" i="70"/>
  <c r="A7" i="70"/>
  <c r="E6" i="70"/>
  <c r="A6"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G31" i="12"/>
  <c r="G30" i="12"/>
  <c r="G29" i="12"/>
  <c r="F28" i="12"/>
  <c r="F27" i="12"/>
  <c r="F26" i="12"/>
  <c r="F25" i="12"/>
  <c r="E24" i="12"/>
  <c r="E23" i="12"/>
  <c r="E22" i="12"/>
  <c r="E21" i="12"/>
  <c r="F18" i="12"/>
  <c r="F17" i="12"/>
  <c r="F14" i="12"/>
  <c r="C14" i="12"/>
  <c r="K9" i="12"/>
  <c r="J9" i="12"/>
  <c r="I9" i="12"/>
  <c r="H9" i="12"/>
  <c r="G9" i="12"/>
  <c r="F9" i="12"/>
  <c r="D9" i="12"/>
  <c r="K1" i="12"/>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C14" i="68"/>
  <c r="F12" i="68"/>
  <c r="F11" i="68"/>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A126" i="9"/>
  <c r="A124" i="9"/>
  <c r="A122" i="9"/>
  <c r="A120" i="9"/>
  <c r="A118" i="9"/>
  <c r="H112" i="9"/>
  <c r="H111" i="9"/>
  <c r="H126" i="9" s="1"/>
  <c r="E111" i="9"/>
  <c r="H109" i="9"/>
  <c r="H124" i="9" s="1"/>
  <c r="H125" i="9" s="1"/>
  <c r="D11" i="52" s="1"/>
  <c r="E109" i="9"/>
  <c r="E107" i="9"/>
  <c r="H105" i="9"/>
  <c r="H104"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C41" i="9"/>
  <c r="C40" i="9"/>
  <c r="B40" i="9"/>
  <c r="E40"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3" i="1"/>
  <c r="B44" i="1"/>
  <c r="B31" i="1"/>
  <c r="B22" i="1"/>
  <c r="V20" i="1"/>
  <c r="V19" i="1"/>
  <c r="M19" i="1"/>
  <c r="M18" i="1"/>
  <c r="AS13" i="1"/>
  <c r="AP13" i="1"/>
  <c r="AG13" i="1"/>
  <c r="AE13" i="1"/>
  <c r="S13" i="1"/>
  <c r="R13" i="1"/>
  <c r="K13" i="1"/>
  <c r="M13" i="1" s="1"/>
  <c r="G13" i="1"/>
  <c r="F13" i="1"/>
  <c r="E13" i="1"/>
  <c r="D13" i="1"/>
  <c r="B13" i="1"/>
  <c r="A13" i="1"/>
  <c r="AS12" i="1"/>
  <c r="AP12" i="1"/>
  <c r="AG12" i="1"/>
  <c r="AE12" i="1"/>
  <c r="S12" i="1"/>
  <c r="AQ12" i="1" s="1"/>
  <c r="R12" i="1"/>
  <c r="K12" i="1"/>
  <c r="M12" i="1" s="1"/>
  <c r="O12" i="1" s="1"/>
  <c r="G12" i="1"/>
  <c r="F12" i="1"/>
  <c r="E12" i="1"/>
  <c r="D12" i="1"/>
  <c r="B12" i="1"/>
  <c r="A12" i="1"/>
  <c r="AS11" i="1"/>
  <c r="AP11" i="1"/>
  <c r="AG11" i="1"/>
  <c r="AE11" i="1"/>
  <c r="S11" i="1"/>
  <c r="AQ11" i="1" s="1"/>
  <c r="R11" i="1"/>
  <c r="K11" i="1"/>
  <c r="M11" i="1" s="1"/>
  <c r="O11" i="1" s="1"/>
  <c r="P11" i="1" s="1"/>
  <c r="G11" i="1"/>
  <c r="F11" i="1"/>
  <c r="E11" i="1"/>
  <c r="D11" i="1"/>
  <c r="B11" i="1"/>
  <c r="A11" i="1"/>
  <c r="AS10" i="1"/>
  <c r="AP10" i="1"/>
  <c r="AG10" i="1"/>
  <c r="AE10" i="1"/>
  <c r="S10" i="1"/>
  <c r="R10" i="1"/>
  <c r="K10" i="1"/>
  <c r="M10" i="1" s="1"/>
  <c r="O10" i="1" s="1"/>
  <c r="G10" i="1"/>
  <c r="F10" i="1"/>
  <c r="E10" i="1"/>
  <c r="D10" i="1"/>
  <c r="B10" i="1"/>
  <c r="A10" i="1"/>
  <c r="AS9" i="1"/>
  <c r="AP9" i="1"/>
  <c r="AG9" i="1"/>
  <c r="AE9" i="1"/>
  <c r="S9" i="1"/>
  <c r="R9" i="1"/>
  <c r="K9" i="1"/>
  <c r="M9" i="1" s="1"/>
  <c r="G9" i="1"/>
  <c r="F9" i="1"/>
  <c r="E9" i="1"/>
  <c r="D9" i="1"/>
  <c r="B9" i="1"/>
  <c r="A9" i="1"/>
  <c r="AS8" i="1"/>
  <c r="AP8" i="1"/>
  <c r="AG8" i="1"/>
  <c r="N8" i="1"/>
  <c r="G8" i="1"/>
  <c r="F8" i="1"/>
  <c r="E8" i="1"/>
  <c r="D8" i="1"/>
  <c r="B8" i="1"/>
  <c r="A8" i="1"/>
  <c r="AS7" i="1"/>
  <c r="AP7" i="1"/>
  <c r="AG7" i="1"/>
  <c r="N7" i="1"/>
  <c r="K7" i="1"/>
  <c r="M7" i="1" s="1"/>
  <c r="O7" i="1" s="1"/>
  <c r="G7" i="1"/>
  <c r="F7" i="1"/>
  <c r="E7" i="1"/>
  <c r="D7" i="1"/>
  <c r="B7" i="1"/>
  <c r="A7" i="1"/>
  <c r="AS6" i="1"/>
  <c r="AG6" i="1"/>
  <c r="AE6" i="1"/>
  <c r="K6" i="1"/>
  <c r="G6" i="1"/>
  <c r="F6" i="1"/>
  <c r="E6" i="1"/>
  <c r="D6" i="1"/>
  <c r="B6" i="1"/>
  <c r="A6" i="1"/>
  <c r="T4" i="1"/>
  <c r="B2" i="1"/>
  <c r="P27" i="6"/>
  <c r="O27" i="6"/>
  <c r="N27" i="6"/>
  <c r="G27" i="6"/>
  <c r="P26" i="6"/>
  <c r="L26" i="6"/>
  <c r="E26" i="6"/>
  <c r="P25" i="6"/>
  <c r="L25" i="6"/>
  <c r="E25" i="6"/>
  <c r="P24" i="6"/>
  <c r="L24" i="6"/>
  <c r="E24" i="6"/>
  <c r="P23" i="6"/>
  <c r="L23" i="6"/>
  <c r="E23" i="6"/>
  <c r="P22" i="6"/>
  <c r="L22" i="6"/>
  <c r="E22" i="6"/>
  <c r="P21" i="6"/>
  <c r="L21" i="6"/>
  <c r="B41" i="9"/>
  <c r="E41" i="9" s="1"/>
  <c r="P20" i="6"/>
  <c r="L20" i="6"/>
  <c r="E20" i="6"/>
  <c r="P19" i="6"/>
  <c r="E19" i="6"/>
  <c r="D3" i="21" s="1"/>
  <c r="D2" i="21" s="1"/>
  <c r="B2" i="21" s="1"/>
  <c r="C10" i="12" s="1"/>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K14" i="3"/>
  <c r="BJ14" i="3"/>
  <c r="BJ5" i="3" s="1"/>
  <c r="BI14" i="3"/>
  <c r="BH14" i="3"/>
  <c r="BG14" i="3"/>
  <c r="BF14" i="3"/>
  <c r="BF5" i="3" s="1"/>
  <c r="BE14" i="3"/>
  <c r="BD14" i="3"/>
  <c r="BC14" i="3"/>
  <c r="BB14" i="3"/>
  <c r="BB5" i="3" s="1"/>
  <c r="BA14" i="3"/>
  <c r="AX14" i="3"/>
  <c r="AW14" i="3"/>
  <c r="AV14" i="3"/>
  <c r="AC14" i="3"/>
  <c r="H14" i="3"/>
  <c r="BT13" i="3"/>
  <c r="BS13" i="3"/>
  <c r="BS5" i="3" s="1"/>
  <c r="BR13" i="3"/>
  <c r="BQ13" i="3"/>
  <c r="BP13" i="3"/>
  <c r="BO13" i="3"/>
  <c r="BN13" i="3"/>
  <c r="BM13" i="3"/>
  <c r="BL13" i="3" s="1"/>
  <c r="BK13" i="3"/>
  <c r="BK5" i="3" s="1"/>
  <c r="BJ13" i="3"/>
  <c r="BI13" i="3"/>
  <c r="BH13" i="3"/>
  <c r="BG13" i="3"/>
  <c r="BG5" i="3" s="1"/>
  <c r="BF13" i="3"/>
  <c r="BE13" i="3"/>
  <c r="BD13" i="3"/>
  <c r="BC13" i="3"/>
  <c r="BC5" i="3" s="1"/>
  <c r="BB13" i="3"/>
  <c r="AX13" i="3"/>
  <c r="AW13" i="3"/>
  <c r="AV13" i="3"/>
  <c r="AC13" i="3"/>
  <c r="H13" i="3"/>
  <c r="G13" i="3" s="1"/>
  <c r="B17" i="84"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O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5" i="62"/>
  <c r="A14" i="62"/>
  <c r="A13" i="62"/>
  <c r="A12" i="62"/>
  <c r="B5" i="62"/>
  <c r="B73" i="72" s="1"/>
  <c r="A5" i="62"/>
  <c r="B4" i="62"/>
  <c r="A4" i="62"/>
  <c r="A12" i="52"/>
  <c r="D10" i="52"/>
  <c r="A10" i="52"/>
  <c r="A8" i="52"/>
  <c r="A6" i="52"/>
  <c r="A4" i="52"/>
  <c r="H2" i="52"/>
  <c r="F2" i="52"/>
  <c r="D2" i="52"/>
  <c r="A1" i="52"/>
  <c r="D21" i="53"/>
  <c r="B39" i="72" s="1"/>
  <c r="D19" i="53"/>
  <c r="D20" i="53" s="1"/>
  <c r="B40" i="72" s="1"/>
  <c r="B19" i="53"/>
  <c r="D16" i="53"/>
  <c r="D17" i="53" s="1"/>
  <c r="B36" i="72" s="1"/>
  <c r="B16" i="53"/>
  <c r="B13" i="53"/>
  <c r="D11" i="53"/>
  <c r="D10"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3" i="72"/>
  <c r="B62" i="72"/>
  <c r="B61" i="72"/>
  <c r="B60" i="72"/>
  <c r="B59" i="72"/>
  <c r="B58" i="72"/>
  <c r="B57" i="72"/>
  <c r="B56" i="72"/>
  <c r="B55" i="72"/>
  <c r="B54" i="72"/>
  <c r="B50" i="72"/>
  <c r="B46" i="72"/>
  <c r="B44" i="72"/>
  <c r="B42" i="72"/>
  <c r="B41" i="72"/>
  <c r="B38" i="72"/>
  <c r="B37" i="72"/>
  <c r="B33" i="72"/>
  <c r="B29" i="72"/>
  <c r="B27" i="72"/>
  <c r="B26" i="72"/>
  <c r="B23" i="72"/>
  <c r="B19" i="72"/>
  <c r="B18" i="72"/>
  <c r="B17" i="72"/>
  <c r="B16" i="72"/>
  <c r="B15" i="72"/>
  <c r="B14" i="72"/>
  <c r="B13" i="72"/>
  <c r="B12" i="72"/>
  <c r="B11" i="72"/>
  <c r="B10" i="72"/>
  <c r="B8" i="72"/>
  <c r="B6" i="72"/>
  <c r="B5" i="72"/>
  <c r="B3" i="72"/>
  <c r="B2" i="72"/>
  <c r="M26" i="67"/>
  <c r="F2" i="33"/>
  <c r="E7" i="76"/>
  <c r="D3" i="73"/>
  <c r="F9" i="81"/>
  <c r="M8" i="15"/>
  <c r="B7" i="76"/>
  <c r="F22" i="85"/>
  <c r="F29" i="81"/>
  <c r="AO12" i="1"/>
  <c r="L57" i="15"/>
  <c r="D7" i="73"/>
  <c r="F28" i="15"/>
  <c r="M9" i="85"/>
  <c r="F52" i="85"/>
  <c r="E9" i="76"/>
  <c r="F26" i="85"/>
  <c r="F28" i="85"/>
  <c r="F2" i="37"/>
  <c r="M23" i="67"/>
  <c r="F24" i="81"/>
  <c r="B13" i="76"/>
  <c r="F24" i="85"/>
  <c r="F9" i="85"/>
  <c r="L56" i="85"/>
  <c r="F48" i="81"/>
  <c r="AO11" i="1"/>
  <c r="F36" i="67"/>
  <c r="C88" i="85"/>
  <c r="F6" i="73"/>
  <c r="F9" i="15"/>
  <c r="F8" i="67"/>
  <c r="F7" i="73"/>
  <c r="M24" i="85"/>
  <c r="F35" i="67"/>
  <c r="C19" i="81"/>
  <c r="M30" i="81"/>
  <c r="M22" i="15"/>
  <c r="F6" i="15"/>
  <c r="F6" i="85"/>
  <c r="F2" i="21"/>
  <c r="C71" i="15"/>
  <c r="M9" i="15"/>
  <c r="F52" i="15"/>
  <c r="M28" i="15"/>
  <c r="M30" i="85"/>
  <c r="C71" i="81"/>
  <c r="F30" i="81"/>
  <c r="F2" i="35"/>
  <c r="F2" i="36"/>
  <c r="D5" i="73"/>
  <c r="F24" i="15"/>
  <c r="F9" i="67"/>
  <c r="E12" i="76"/>
  <c r="E10" i="76"/>
  <c r="F26" i="81"/>
  <c r="L57" i="85"/>
  <c r="F16" i="67"/>
  <c r="AO6" i="1"/>
  <c r="B11" i="76"/>
  <c r="M6" i="67"/>
  <c r="E2" i="69"/>
  <c r="F43" i="67"/>
  <c r="F26" i="15"/>
  <c r="M36" i="85"/>
  <c r="M31" i="81"/>
  <c r="AO10" i="1"/>
  <c r="F42" i="67"/>
  <c r="L56" i="15"/>
  <c r="F2" i="34"/>
  <c r="L48" i="67"/>
  <c r="M28" i="81"/>
  <c r="M6" i="15"/>
  <c r="F7" i="85"/>
  <c r="M28" i="85"/>
  <c r="F41" i="67"/>
  <c r="M29" i="85"/>
  <c r="D34" i="9"/>
  <c r="F21" i="81"/>
  <c r="B8" i="76"/>
  <c r="M36" i="15"/>
  <c r="F32" i="15"/>
  <c r="F13" i="67"/>
  <c r="C88" i="15"/>
  <c r="F8" i="85"/>
  <c r="F8" i="15"/>
  <c r="M24" i="67"/>
  <c r="M29" i="81"/>
  <c r="F6" i="81"/>
  <c r="F22" i="81"/>
  <c r="M22" i="81"/>
  <c r="AO9" i="1"/>
  <c r="E8" i="76"/>
  <c r="M29" i="15"/>
  <c r="F20" i="31"/>
  <c r="E11" i="76"/>
  <c r="F4" i="73"/>
  <c r="M27" i="67"/>
  <c r="F30" i="85"/>
  <c r="F7" i="67"/>
  <c r="M21" i="67"/>
  <c r="F6" i="67"/>
  <c r="M21" i="81"/>
  <c r="F22" i="15"/>
  <c r="C76" i="67"/>
  <c r="M26" i="15"/>
  <c r="M24" i="81"/>
  <c r="L47" i="67"/>
  <c r="B10" i="76"/>
  <c r="F28" i="81"/>
  <c r="B6" i="76"/>
  <c r="F40" i="67"/>
  <c r="M28" i="67"/>
  <c r="F38" i="15"/>
  <c r="M9" i="67"/>
  <c r="F48" i="85"/>
  <c r="AO13" i="1"/>
  <c r="M29" i="67"/>
  <c r="M26" i="85"/>
  <c r="F38" i="67"/>
  <c r="F30" i="15"/>
  <c r="B9" i="76"/>
  <c r="M8" i="67"/>
  <c r="M22" i="67"/>
  <c r="L56" i="81"/>
  <c r="D6" i="73"/>
  <c r="F37" i="67"/>
  <c r="M31" i="15"/>
  <c r="F38" i="85"/>
  <c r="M8" i="81"/>
  <c r="D35" i="9"/>
  <c r="F26" i="67"/>
  <c r="F5" i="73"/>
  <c r="F38" i="81"/>
  <c r="C21" i="9"/>
  <c r="L57" i="81"/>
  <c r="F52" i="81"/>
  <c r="M22" i="85"/>
  <c r="F3" i="73"/>
  <c r="F7" i="15"/>
  <c r="C71" i="85"/>
  <c r="F32" i="81"/>
  <c r="F7" i="81"/>
  <c r="M24" i="15"/>
  <c r="M9" i="81"/>
  <c r="J15" i="67"/>
  <c r="M36" i="81"/>
  <c r="M6" i="81"/>
  <c r="D4" i="73"/>
  <c r="F8" i="81"/>
  <c r="F48" i="15"/>
  <c r="B12" i="76"/>
  <c r="E13" i="76"/>
  <c r="M30" i="15"/>
  <c r="C88" i="81"/>
  <c r="M8" i="85"/>
  <c r="M6" i="85"/>
  <c r="M26" i="81"/>
  <c r="C38" i="9" l="1"/>
  <c r="H106" i="9" s="1"/>
  <c r="AR11" i="1"/>
  <c r="C9" i="12"/>
  <c r="C8" i="12" s="1"/>
  <c r="B3" i="36"/>
  <c r="E32" i="6"/>
  <c r="D12" i="53"/>
  <c r="B28" i="72" s="1"/>
  <c r="H103" i="9"/>
  <c r="E21" i="6"/>
  <c r="P12" i="1"/>
  <c r="BA13" i="3"/>
  <c r="AZ13" i="3" s="1"/>
  <c r="H5" i="3"/>
  <c r="BQ5" i="3"/>
  <c r="F28" i="6" s="1"/>
  <c r="P7" i="1"/>
  <c r="R45" i="40"/>
  <c r="G26" i="43"/>
  <c r="B34" i="72"/>
  <c r="BE5" i="3"/>
  <c r="BI5" i="3"/>
  <c r="BN5" i="3"/>
  <c r="G29" i="6" s="1"/>
  <c r="BR5" i="3"/>
  <c r="G28" i="6" s="1"/>
  <c r="G30" i="6" s="1"/>
  <c r="G31" i="6" s="1"/>
  <c r="T11" i="1"/>
  <c r="AR12" i="1"/>
  <c r="BL14" i="3"/>
  <c r="BL5" i="3" s="1"/>
  <c r="BM5" i="3"/>
  <c r="F29" i="6" s="1"/>
  <c r="E29" i="6" s="1"/>
  <c r="E13" i="6"/>
  <c r="E8" i="6"/>
  <c r="E14" i="6"/>
  <c r="E11" i="6"/>
  <c r="E12" i="6"/>
  <c r="E10" i="6"/>
  <c r="E5" i="6"/>
  <c r="E15" i="6"/>
  <c r="F30" i="6"/>
  <c r="AZ14" i="3"/>
  <c r="AZ5" i="3" s="1"/>
  <c r="E3" i="6" s="1"/>
  <c r="BA5" i="3"/>
  <c r="G14" i="3"/>
  <c r="O9" i="1"/>
  <c r="P9" i="1" s="1"/>
  <c r="O13" i="1"/>
  <c r="P13" i="1" s="1"/>
  <c r="I49" i="40"/>
  <c r="J49" i="40" s="1"/>
  <c r="I48" i="40"/>
  <c r="J48" i="40" s="1"/>
  <c r="G48" i="40"/>
  <c r="H48" i="40" s="1"/>
  <c r="G49" i="40"/>
  <c r="H49" i="40" s="1"/>
  <c r="AR10" i="1"/>
  <c r="AQ10" i="1"/>
  <c r="T10" i="1"/>
  <c r="AR9" i="1"/>
  <c r="AQ9" i="1"/>
  <c r="T9" i="1"/>
  <c r="P10" i="1"/>
  <c r="AR13" i="1"/>
  <c r="AQ13" i="1"/>
  <c r="T13" i="1"/>
  <c r="E49" i="40"/>
  <c r="F49" i="40" s="1"/>
  <c r="E48" i="40"/>
  <c r="F48" i="40" s="1"/>
  <c r="C45" i="40"/>
  <c r="C44" i="40"/>
  <c r="AP6" i="1"/>
  <c r="C36" i="69" s="1"/>
  <c r="M6" i="1"/>
  <c r="T12" i="1"/>
  <c r="N94" i="46"/>
  <c r="J26" i="43"/>
  <c r="E26" i="43"/>
  <c r="C34" i="43"/>
  <c r="E34" i="43" s="1"/>
  <c r="C31" i="43" s="1"/>
  <c r="B4" i="43"/>
  <c r="F26" i="43"/>
  <c r="B116" i="43"/>
  <c r="B3" i="43"/>
  <c r="Z7" i="43"/>
  <c r="H26" i="43"/>
  <c r="B15" i="84"/>
  <c r="B18" i="84" s="1"/>
  <c r="AY6" i="3" s="1"/>
  <c r="H15" i="84"/>
  <c r="G15" i="84"/>
  <c r="P7" i="84"/>
  <c r="Q7" i="84"/>
  <c r="G42" i="35"/>
  <c r="H42" i="35" s="1"/>
  <c r="G43" i="35"/>
  <c r="H43" i="35" s="1"/>
  <c r="E38" i="35"/>
  <c r="R39" i="35"/>
  <c r="S31" i="35"/>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F51" i="67"/>
  <c r="F65" i="67"/>
  <c r="Q71" i="67"/>
  <c r="F59" i="85"/>
  <c r="M7" i="85"/>
  <c r="J7" i="85" s="1"/>
  <c r="F78" i="85"/>
  <c r="C7" i="81"/>
  <c r="E8" i="81"/>
  <c r="F60" i="81"/>
  <c r="L68" i="81"/>
  <c r="L67" i="81"/>
  <c r="N68" i="81"/>
  <c r="C6" i="67"/>
  <c r="C27" i="67"/>
  <c r="F71" i="67"/>
  <c r="F77" i="15"/>
  <c r="L8" i="81"/>
  <c r="F75" i="81"/>
  <c r="F78" i="81"/>
  <c r="F64" i="67"/>
  <c r="F66" i="67"/>
  <c r="F69" i="67"/>
  <c r="L59" i="67"/>
  <c r="L58" i="67"/>
  <c r="N59" i="67"/>
  <c r="J57" i="67"/>
  <c r="J55" i="67" s="1"/>
  <c r="J58" i="67" s="1"/>
  <c r="Q50" i="67" s="1"/>
  <c r="J53" i="67"/>
  <c r="L56" i="67"/>
  <c r="I54" i="67"/>
  <c r="C7" i="15"/>
  <c r="L8" i="15"/>
  <c r="F80" i="15"/>
  <c r="J66" i="15"/>
  <c r="J64" i="15" s="1"/>
  <c r="J67" i="15" s="1"/>
  <c r="Q59" i="15" s="1"/>
  <c r="I63" i="15"/>
  <c r="J69" i="15"/>
  <c r="Q57" i="15" s="1"/>
  <c r="L69" i="15"/>
  <c r="L65" i="15"/>
  <c r="J68" i="15"/>
  <c r="L66" i="15"/>
  <c r="Q82" i="15"/>
  <c r="L8" i="85"/>
  <c r="F77" i="85"/>
  <c r="C20" i="81"/>
  <c r="F73" i="81"/>
  <c r="C72" i="81" s="1"/>
  <c r="F81" i="81"/>
  <c r="C49" i="81"/>
  <c r="Q82" i="81"/>
  <c r="F50" i="67"/>
  <c r="M7" i="67"/>
  <c r="J6" i="67" s="1"/>
  <c r="N68" i="15"/>
  <c r="L67" i="15"/>
  <c r="C7" i="85"/>
  <c r="F75" i="85"/>
  <c r="B2" i="76"/>
  <c r="G1" i="73"/>
  <c r="B41" i="1" s="1"/>
  <c r="F75" i="15"/>
  <c r="F78" i="15"/>
  <c r="F80" i="85"/>
  <c r="Q82" i="85"/>
  <c r="C49" i="15"/>
  <c r="E8" i="85"/>
  <c r="F60" i="85"/>
  <c r="C49" i="85"/>
  <c r="N68" i="85"/>
  <c r="L67" i="85"/>
  <c r="J69" i="85"/>
  <c r="Q57" i="85" s="1"/>
  <c r="J68" i="85"/>
  <c r="L66"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H127" i="9"/>
  <c r="D13" i="52" s="1"/>
  <c r="D12" i="52"/>
  <c r="F4" i="49"/>
  <c r="H4" i="49" s="1"/>
  <c r="F6" i="49"/>
  <c r="H6" i="49" s="1"/>
  <c r="F8" i="49"/>
  <c r="H8" i="49" s="1"/>
  <c r="F10" i="49"/>
  <c r="H10" i="49" s="1"/>
  <c r="F12" i="49"/>
  <c r="H12" i="49" s="1"/>
  <c r="F14" i="49"/>
  <c r="H14" i="49" s="1"/>
  <c r="F5" i="49"/>
  <c r="H5" i="49" s="1"/>
  <c r="F7" i="49"/>
  <c r="H7" i="49" s="1"/>
  <c r="F9" i="49"/>
  <c r="H9" i="49" s="1"/>
  <c r="F11" i="49"/>
  <c r="H11" i="49" s="1"/>
  <c r="F13" i="49"/>
  <c r="H13" i="49" s="1"/>
  <c r="C94" i="9"/>
  <c r="H110" i="9"/>
  <c r="C38" i="81"/>
  <c r="C36" i="81"/>
  <c r="C17" i="67"/>
  <c r="C39" i="81"/>
  <c r="C14" i="67"/>
  <c r="C38" i="15"/>
  <c r="C16" i="67"/>
  <c r="D26" i="43" l="1"/>
  <c r="E9" i="12"/>
  <c r="K8" i="1"/>
  <c r="D3" i="35"/>
  <c r="D8" i="53"/>
  <c r="H120" i="9"/>
  <c r="E28" i="6"/>
  <c r="AY195" i="3"/>
  <c r="E66" i="39"/>
  <c r="E62" i="40"/>
  <c r="E58" i="40"/>
  <c r="E62" i="39"/>
  <c r="C19" i="82"/>
  <c r="O6" i="1"/>
  <c r="P6" i="1" s="1"/>
  <c r="D19" i="11"/>
  <c r="C19" i="11" s="1"/>
  <c r="D3" i="37"/>
  <c r="B3" i="37" s="1"/>
  <c r="D20" i="82"/>
  <c r="C20" i="82" s="1"/>
  <c r="D23" i="12"/>
  <c r="D37" i="11"/>
  <c r="M18" i="9"/>
  <c r="B118" i="9" s="1"/>
  <c r="B14" i="74" s="1"/>
  <c r="B1" i="74" s="1"/>
  <c r="E6" i="6"/>
  <c r="D3" i="33"/>
  <c r="B3" i="33" s="1"/>
  <c r="L18" i="9"/>
  <c r="C17" i="4"/>
  <c r="B4" i="52" s="1"/>
  <c r="B43" i="72" s="1"/>
  <c r="D3" i="34"/>
  <c r="B3" i="34" s="1"/>
  <c r="D22" i="83"/>
  <c r="D21" i="12"/>
  <c r="C21" i="12" s="1"/>
  <c r="D9" i="11"/>
  <c r="C9" i="11" s="1"/>
  <c r="D15" i="80"/>
  <c r="D15" i="68"/>
  <c r="D9" i="69"/>
  <c r="E61" i="40"/>
  <c r="E65" i="39"/>
  <c r="B54" i="40"/>
  <c r="F54" i="40" s="1"/>
  <c r="B62" i="40"/>
  <c r="F62" i="40" s="1"/>
  <c r="B60" i="40"/>
  <c r="B58" i="40"/>
  <c r="F58" i="40" s="1"/>
  <c r="B56" i="40"/>
  <c r="F56" i="40" s="1"/>
  <c r="B55" i="40"/>
  <c r="F55" i="40" s="1"/>
  <c r="B53" i="40"/>
  <c r="B61" i="40"/>
  <c r="F61" i="40" s="1"/>
  <c r="B59" i="40"/>
  <c r="B33" i="84"/>
  <c r="B34" i="84" s="1"/>
  <c r="G5" i="3"/>
  <c r="B3" i="3" s="1"/>
  <c r="E14" i="3" s="1"/>
  <c r="F27" i="6"/>
  <c r="F31" i="6" s="1"/>
  <c r="E53" i="40"/>
  <c r="E16" i="6"/>
  <c r="E58" i="39"/>
  <c r="L19" i="6"/>
  <c r="L27" i="6" s="1"/>
  <c r="K15" i="1"/>
  <c r="E30" i="6"/>
  <c r="K14" i="1"/>
  <c r="E59" i="40"/>
  <c r="E63" i="39"/>
  <c r="E60" i="40"/>
  <c r="E64" i="39"/>
  <c r="AY573" i="3"/>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D11" i="6" s="1"/>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5" i="6"/>
  <c r="D13" i="6"/>
  <c r="M19" i="9"/>
  <c r="C118" i="9" s="1"/>
  <c r="C14" i="74" s="1"/>
  <c r="B2" i="74" s="1"/>
  <c r="L19" i="9"/>
  <c r="D12" i="6"/>
  <c r="D10" i="6"/>
  <c r="D20" i="6"/>
  <c r="D8" i="6"/>
  <c r="D24" i="6"/>
  <c r="D22" i="6"/>
  <c r="D25" i="6"/>
  <c r="D23" i="6"/>
  <c r="L55" i="85"/>
  <c r="C39" i="35"/>
  <c r="C38" i="35"/>
  <c r="E42" i="35"/>
  <c r="F42" i="35" s="1"/>
  <c r="I43" i="35"/>
  <c r="J43" i="35" s="1"/>
  <c r="E43" i="35"/>
  <c r="F43" i="35" s="1"/>
  <c r="L55" i="15"/>
  <c r="C41" i="81"/>
  <c r="C37" i="81"/>
  <c r="C40" i="81"/>
  <c r="C15" i="67"/>
  <c r="C18" i="67"/>
  <c r="J18" i="67"/>
  <c r="J19" i="67"/>
  <c r="Q84" i="85"/>
  <c r="Q69" i="85"/>
  <c r="Q69" i="15"/>
  <c r="Q84" i="15"/>
  <c r="Q69" i="81"/>
  <c r="Q84" i="81"/>
  <c r="C9" i="81"/>
  <c r="C6" i="81" s="1"/>
  <c r="F29" i="83"/>
  <c r="F25" i="82"/>
  <c r="L36" i="43"/>
  <c r="F22" i="11"/>
  <c r="F46" i="15"/>
  <c r="C46" i="15" s="1"/>
  <c r="F24" i="67"/>
  <c r="C24" i="67" s="1"/>
  <c r="F29" i="12"/>
  <c r="F23" i="68"/>
  <c r="F22" i="69"/>
  <c r="F46" i="81"/>
  <c r="C46" i="81" s="1"/>
  <c r="F46" i="85"/>
  <c r="C46" i="85" s="1"/>
  <c r="F23" i="80"/>
  <c r="C9" i="15"/>
  <c r="C6" i="15" s="1"/>
  <c r="F1" i="67"/>
  <c r="Q52" i="67"/>
  <c r="E60" i="15"/>
  <c r="C59" i="15"/>
  <c r="Q75" i="85"/>
  <c r="Q66" i="85"/>
  <c r="E60" i="85"/>
  <c r="C59" i="85"/>
  <c r="Q66" i="15"/>
  <c r="Q75" i="15"/>
  <c r="J9" i="81"/>
  <c r="J6" i="81" s="1"/>
  <c r="C32" i="67"/>
  <c r="C33" i="67"/>
  <c r="Q70" i="81"/>
  <c r="Q85" i="81"/>
  <c r="F11" i="85"/>
  <c r="C62" i="85" s="1"/>
  <c r="F11" i="67"/>
  <c r="M11" i="15"/>
  <c r="J10" i="15" s="1"/>
  <c r="F11" i="81"/>
  <c r="M11" i="67"/>
  <c r="J10" i="67" s="1"/>
  <c r="J5" i="67" s="1"/>
  <c r="F11" i="15"/>
  <c r="C62" i="15" s="1"/>
  <c r="M11" i="81"/>
  <c r="J10" i="81" s="1"/>
  <c r="M11" i="85"/>
  <c r="J10" i="85" s="1"/>
  <c r="J9" i="85"/>
  <c r="J6" i="85" s="1"/>
  <c r="Q61" i="67"/>
  <c r="Q74" i="67"/>
  <c r="J9" i="15"/>
  <c r="J6" i="15" s="1"/>
  <c r="C7" i="74"/>
  <c r="D18" i="53"/>
  <c r="B35" i="72" s="1"/>
  <c r="C9" i="85"/>
  <c r="C6" i="85" s="1"/>
  <c r="Q73" i="67"/>
  <c r="Q60" i="67"/>
  <c r="E60" i="81"/>
  <c r="C59" i="81"/>
  <c r="C49" i="67"/>
  <c r="F32" i="85"/>
  <c r="M31" i="85"/>
  <c r="D6" i="6" l="1"/>
  <c r="D28" i="6"/>
  <c r="D26" i="6"/>
  <c r="D9" i="6"/>
  <c r="D16" i="6" s="1"/>
  <c r="D14" i="6"/>
  <c r="D19" i="6"/>
  <c r="C18" i="4"/>
  <c r="A10" i="51" s="1"/>
  <c r="B9" i="72" s="1"/>
  <c r="D29" i="6"/>
  <c r="D5" i="6"/>
  <c r="E63" i="40"/>
  <c r="F63" i="40" s="1"/>
  <c r="B2" i="40" s="1"/>
  <c r="D21" i="6"/>
  <c r="F84" i="85"/>
  <c r="D9" i="53"/>
  <c r="B25" i="72" s="1"/>
  <c r="B24" i="72"/>
  <c r="F53" i="40"/>
  <c r="AS16" i="1"/>
  <c r="F34" i="83" s="1"/>
  <c r="G16" i="1"/>
  <c r="Q16" i="1"/>
  <c r="H16" i="1"/>
  <c r="M8" i="1"/>
  <c r="H121" i="9"/>
  <c r="D7" i="52" s="1"/>
  <c r="D6" i="52"/>
  <c r="K120" i="9"/>
  <c r="A18" i="62" s="1"/>
  <c r="B64" i="72" s="1"/>
  <c r="C18" i="12"/>
  <c r="C52" i="12" s="1"/>
  <c r="F59" i="40"/>
  <c r="C15" i="80"/>
  <c r="D24" i="12"/>
  <c r="C24" i="12" s="1"/>
  <c r="C56" i="12" s="1"/>
  <c r="E67" i="39"/>
  <c r="D10" i="69"/>
  <c r="C10" i="69" s="1"/>
  <c r="D16" i="68"/>
  <c r="C16" i="68" s="1"/>
  <c r="D10" i="11"/>
  <c r="C10" i="11" s="1"/>
  <c r="D23" i="83"/>
  <c r="C23" i="83" s="1"/>
  <c r="D16" i="80"/>
  <c r="C16" i="80" s="1"/>
  <c r="D22" i="12"/>
  <c r="C22" i="12" s="1"/>
  <c r="E27"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I3" i="6"/>
  <c r="AR6" i="3"/>
  <c r="AN6" i="3"/>
  <c r="AJ6" i="3"/>
  <c r="AF6" i="3"/>
  <c r="AB6" i="3"/>
  <c r="X6" i="3"/>
  <c r="T6" i="3"/>
  <c r="P6" i="3"/>
  <c r="L6" i="3"/>
  <c r="AQ6" i="3"/>
  <c r="AM6" i="3"/>
  <c r="AI6" i="3"/>
  <c r="AE6" i="3"/>
  <c r="AA6" i="3"/>
  <c r="W6" i="3"/>
  <c r="S6" i="3"/>
  <c r="O6" i="3"/>
  <c r="K6" i="3"/>
  <c r="E541" i="3"/>
  <c r="E538" i="3"/>
  <c r="E533" i="3"/>
  <c r="E530" i="3"/>
  <c r="E527" i="3"/>
  <c r="E522" i="3"/>
  <c r="E519" i="3"/>
  <c r="E516" i="3"/>
  <c r="E513" i="3"/>
  <c r="E512" i="3"/>
  <c r="E509" i="3"/>
  <c r="E504" i="3"/>
  <c r="E503" i="3"/>
  <c r="E498" i="3"/>
  <c r="E496" i="3"/>
  <c r="E492" i="3"/>
  <c r="E490" i="3"/>
  <c r="E487" i="3"/>
  <c r="E484" i="3"/>
  <c r="E480" i="3"/>
  <c r="E477" i="3"/>
  <c r="E473" i="3"/>
  <c r="E472" i="3"/>
  <c r="E469" i="3"/>
  <c r="E466" i="3"/>
  <c r="E465" i="3"/>
  <c r="E462" i="3"/>
  <c r="E458" i="3"/>
  <c r="E456" i="3"/>
  <c r="E452" i="3"/>
  <c r="E447" i="3"/>
  <c r="E444" i="3"/>
  <c r="E440" i="3"/>
  <c r="E438" i="3"/>
  <c r="E435" i="3"/>
  <c r="E433" i="3"/>
  <c r="E430" i="3"/>
  <c r="E428" i="3"/>
  <c r="E425" i="3"/>
  <c r="E422" i="3"/>
  <c r="E420" i="3"/>
  <c r="E415" i="3"/>
  <c r="E413" i="3"/>
  <c r="E410" i="3"/>
  <c r="E406" i="3"/>
  <c r="E402" i="3"/>
  <c r="E400" i="3"/>
  <c r="E396" i="3"/>
  <c r="E393" i="3"/>
  <c r="E390" i="3"/>
  <c r="E387" i="3"/>
  <c r="E382" i="3"/>
  <c r="E380" i="3"/>
  <c r="E377" i="3"/>
  <c r="E376" i="3"/>
  <c r="E373" i="3"/>
  <c r="E369" i="3"/>
  <c r="E366" i="3"/>
  <c r="E363" i="3"/>
  <c r="E360" i="3"/>
  <c r="E358" i="3"/>
  <c r="E354" i="3"/>
  <c r="E351" i="3"/>
  <c r="E347" i="3"/>
  <c r="E346" i="3"/>
  <c r="E341" i="3"/>
  <c r="E540" i="3"/>
  <c r="E536" i="3"/>
  <c r="E534" i="3"/>
  <c r="E531" i="3"/>
  <c r="E528" i="3"/>
  <c r="E525" i="3"/>
  <c r="E523" i="3"/>
  <c r="E520" i="3"/>
  <c r="E518" i="3"/>
  <c r="E514" i="3"/>
  <c r="E511" i="3"/>
  <c r="E507" i="3"/>
  <c r="E505" i="3"/>
  <c r="E501" i="3"/>
  <c r="E499" i="3"/>
  <c r="E495" i="3"/>
  <c r="E494" i="3"/>
  <c r="E491" i="3"/>
  <c r="E488" i="3"/>
  <c r="E486" i="3"/>
  <c r="E482" i="3"/>
  <c r="E479" i="3"/>
  <c r="E478" i="3"/>
  <c r="E475" i="3"/>
  <c r="E470" i="3"/>
  <c r="E467" i="3"/>
  <c r="E463" i="3"/>
  <c r="E460" i="3"/>
  <c r="E457" i="3"/>
  <c r="E455" i="3"/>
  <c r="E451" i="3"/>
  <c r="E448" i="3"/>
  <c r="E446" i="3"/>
  <c r="E442" i="3"/>
  <c r="E441" i="3"/>
  <c r="E436" i="3"/>
  <c r="E431" i="3"/>
  <c r="E427" i="3"/>
  <c r="E426" i="3"/>
  <c r="E423" i="3"/>
  <c r="E419" i="3"/>
  <c r="E417" i="3"/>
  <c r="E414" i="3"/>
  <c r="E411" i="3"/>
  <c r="E408" i="3"/>
  <c r="E405" i="3"/>
  <c r="E404" i="3"/>
  <c r="E401" i="3"/>
  <c r="E398" i="3"/>
  <c r="E395" i="3"/>
  <c r="E392" i="3"/>
  <c r="E389" i="3"/>
  <c r="E386" i="3"/>
  <c r="E383" i="3"/>
  <c r="E378" i="3"/>
  <c r="E374" i="3"/>
  <c r="E372" i="3"/>
  <c r="E370" i="3"/>
  <c r="E368" i="3"/>
  <c r="E365" i="3"/>
  <c r="E362" i="3"/>
  <c r="E359" i="3"/>
  <c r="E357" i="3"/>
  <c r="E355" i="3"/>
  <c r="E352" i="3"/>
  <c r="E349" i="3"/>
  <c r="E345" i="3"/>
  <c r="E343" i="3"/>
  <c r="AP6" i="3"/>
  <c r="AL6" i="3"/>
  <c r="AH6" i="3"/>
  <c r="AD6" i="3"/>
  <c r="Z6" i="3"/>
  <c r="V6" i="3"/>
  <c r="R6" i="3"/>
  <c r="J6" i="3"/>
  <c r="E542" i="3"/>
  <c r="E539" i="3"/>
  <c r="E537" i="3"/>
  <c r="E535" i="3"/>
  <c r="E532" i="3"/>
  <c r="E529" i="3"/>
  <c r="E526" i="3"/>
  <c r="E524" i="3"/>
  <c r="E521" i="3"/>
  <c r="E517" i="3"/>
  <c r="E515" i="3"/>
  <c r="E510" i="3"/>
  <c r="E508" i="3"/>
  <c r="E506" i="3"/>
  <c r="E502" i="3"/>
  <c r="E500" i="3"/>
  <c r="E497" i="3"/>
  <c r="E493" i="3"/>
  <c r="E489" i="3"/>
  <c r="E485" i="3"/>
  <c r="E483" i="3"/>
  <c r="E481" i="3"/>
  <c r="E476" i="3"/>
  <c r="E474" i="3"/>
  <c r="E471" i="3"/>
  <c r="E468" i="3"/>
  <c r="E464" i="3"/>
  <c r="E461" i="3"/>
  <c r="E459" i="3"/>
  <c r="E454" i="3"/>
  <c r="E453" i="3"/>
  <c r="E450" i="3"/>
  <c r="E449" i="3"/>
  <c r="E445" i="3"/>
  <c r="E443" i="3"/>
  <c r="E439" i="3"/>
  <c r="E437" i="3"/>
  <c r="E434" i="3"/>
  <c r="E432" i="3"/>
  <c r="E429" i="3"/>
  <c r="E424" i="3"/>
  <c r="E421" i="3"/>
  <c r="E418" i="3"/>
  <c r="E416" i="3"/>
  <c r="E412" i="3"/>
  <c r="E409" i="3"/>
  <c r="E407" i="3"/>
  <c r="E403" i="3"/>
  <c r="E399" i="3"/>
  <c r="E397" i="3"/>
  <c r="E394" i="3"/>
  <c r="E391" i="3"/>
  <c r="E388" i="3"/>
  <c r="E385" i="3"/>
  <c r="E384" i="3"/>
  <c r="E381" i="3"/>
  <c r="E379" i="3"/>
  <c r="E375" i="3"/>
  <c r="E371" i="3"/>
  <c r="E367" i="3"/>
  <c r="E364" i="3"/>
  <c r="E361" i="3"/>
  <c r="E356" i="3"/>
  <c r="E353" i="3"/>
  <c r="E350" i="3"/>
  <c r="E348" i="3"/>
  <c r="E344" i="3"/>
  <c r="E342" i="3"/>
  <c r="E13" i="3"/>
  <c r="AS6" i="3"/>
  <c r="M6" i="3"/>
  <c r="AK6" i="3"/>
  <c r="U6" i="3"/>
  <c r="E339" i="3"/>
  <c r="E337" i="3"/>
  <c r="E335" i="3"/>
  <c r="E332" i="3"/>
  <c r="E331" i="3"/>
  <c r="E327" i="3"/>
  <c r="E324" i="3"/>
  <c r="E322" i="3"/>
  <c r="E320" i="3"/>
  <c r="E317" i="3"/>
  <c r="E314" i="3"/>
  <c r="E310" i="3"/>
  <c r="E308" i="3"/>
  <c r="E304" i="3"/>
  <c r="E300" i="3"/>
  <c r="E298" i="3"/>
  <c r="E296" i="3"/>
  <c r="E293" i="3"/>
  <c r="E290" i="3"/>
  <c r="E285" i="3"/>
  <c r="E283" i="3"/>
  <c r="E280" i="3"/>
  <c r="E278" i="3"/>
  <c r="E273" i="3"/>
  <c r="E271" i="3"/>
  <c r="E266" i="3"/>
  <c r="E263" i="3"/>
  <c r="E260" i="3"/>
  <c r="E257" i="3"/>
  <c r="E253" i="3"/>
  <c r="E251" i="3"/>
  <c r="E247" i="3"/>
  <c r="E244" i="3"/>
  <c r="E240" i="3"/>
  <c r="E239" i="3"/>
  <c r="E236" i="3"/>
  <c r="E233" i="3"/>
  <c r="E230" i="3"/>
  <c r="E227" i="3"/>
  <c r="E224" i="3"/>
  <c r="E222" i="3"/>
  <c r="E219" i="3"/>
  <c r="E216" i="3"/>
  <c r="E214" i="3"/>
  <c r="E210" i="3"/>
  <c r="E204" i="3"/>
  <c r="E202" i="3"/>
  <c r="E199" i="3"/>
  <c r="E193" i="3"/>
  <c r="E191" i="3"/>
  <c r="E188" i="3"/>
  <c r="E186" i="3"/>
  <c r="E183" i="3"/>
  <c r="E178" i="3"/>
  <c r="E174" i="3"/>
  <c r="E172" i="3"/>
  <c r="E167" i="3"/>
  <c r="E165" i="3"/>
  <c r="E163" i="3"/>
  <c r="E160" i="3"/>
  <c r="E156" i="3"/>
  <c r="E153" i="3"/>
  <c r="E150" i="3"/>
  <c r="E147" i="3"/>
  <c r="E144" i="3"/>
  <c r="E137" i="3"/>
  <c r="E136" i="3"/>
  <c r="E133" i="3"/>
  <c r="E130" i="3"/>
  <c r="E127" i="3"/>
  <c r="E125" i="3"/>
  <c r="E122" i="3"/>
  <c r="E119" i="3"/>
  <c r="E116" i="3"/>
  <c r="E111" i="3"/>
  <c r="E109" i="3"/>
  <c r="E107" i="3"/>
  <c r="E105" i="3"/>
  <c r="E100" i="3"/>
  <c r="E98" i="3"/>
  <c r="E95" i="3"/>
  <c r="E92" i="3"/>
  <c r="E89" i="3"/>
  <c r="E85" i="3"/>
  <c r="E82" i="3"/>
  <c r="E78" i="3"/>
  <c r="E77" i="3"/>
  <c r="E73" i="3"/>
  <c r="E71" i="3"/>
  <c r="E68" i="3"/>
  <c r="E64" i="3"/>
  <c r="E61" i="3"/>
  <c r="E58" i="3"/>
  <c r="E55" i="3"/>
  <c r="E53" i="3"/>
  <c r="E49" i="3"/>
  <c r="E46" i="3"/>
  <c r="E44" i="3"/>
  <c r="E41" i="3"/>
  <c r="E39" i="3"/>
  <c r="E37" i="3"/>
  <c r="E32" i="3"/>
  <c r="E28" i="3"/>
  <c r="E24" i="3"/>
  <c r="E23" i="3"/>
  <c r="E20" i="3"/>
  <c r="E18" i="3"/>
  <c r="AO6" i="3"/>
  <c r="Y6" i="3"/>
  <c r="I6" i="3"/>
  <c r="E340" i="3"/>
  <c r="E334" i="3"/>
  <c r="E330" i="3"/>
  <c r="E328" i="3"/>
  <c r="E325" i="3"/>
  <c r="E321" i="3"/>
  <c r="E319" i="3"/>
  <c r="E315" i="3"/>
  <c r="E312" i="3"/>
  <c r="E309" i="3"/>
  <c r="E307" i="3"/>
  <c r="E305" i="3"/>
  <c r="E303" i="3"/>
  <c r="E301" i="3"/>
  <c r="E297" i="3"/>
  <c r="E295" i="3"/>
  <c r="E292" i="3"/>
  <c r="E288" i="3"/>
  <c r="E287" i="3"/>
  <c r="E284" i="3"/>
  <c r="E281" i="3"/>
  <c r="E277" i="3"/>
  <c r="E275" i="3"/>
  <c r="E270" i="3"/>
  <c r="E267" i="3"/>
  <c r="E264" i="3"/>
  <c r="E261" i="3"/>
  <c r="E259" i="3"/>
  <c r="E256" i="3"/>
  <c r="E255" i="3"/>
  <c r="E250" i="3"/>
  <c r="E249" i="3"/>
  <c r="E246" i="3"/>
  <c r="E243" i="3"/>
  <c r="E241" i="3"/>
  <c r="E237" i="3"/>
  <c r="E235" i="3"/>
  <c r="E232" i="3"/>
  <c r="E229" i="3"/>
  <c r="E226" i="3"/>
  <c r="E223" i="3"/>
  <c r="E220" i="3"/>
  <c r="E217" i="3"/>
  <c r="E212" i="3"/>
  <c r="E211" i="3"/>
  <c r="E208" i="3"/>
  <c r="E206" i="3"/>
  <c r="E203" i="3"/>
  <c r="E201" i="3"/>
  <c r="E198" i="3"/>
  <c r="E196" i="3"/>
  <c r="E194" i="3"/>
  <c r="E190" i="3"/>
  <c r="E187" i="3"/>
  <c r="E184" i="3"/>
  <c r="E181" i="3"/>
  <c r="E179" i="3"/>
  <c r="E177" i="3"/>
  <c r="E175" i="3"/>
  <c r="E171" i="3"/>
  <c r="E168" i="3"/>
  <c r="E164" i="3"/>
  <c r="E161" i="3"/>
  <c r="E159" i="3"/>
  <c r="E158" i="3"/>
  <c r="E155" i="3"/>
  <c r="E152" i="3"/>
  <c r="E149" i="3"/>
  <c r="E146" i="3"/>
  <c r="E142" i="3"/>
  <c r="E140" i="3"/>
  <c r="E138" i="3"/>
  <c r="E135" i="3"/>
  <c r="E132" i="3"/>
  <c r="E128" i="3"/>
  <c r="E126" i="3"/>
  <c r="E123" i="3"/>
  <c r="E121" i="3"/>
  <c r="E117" i="3"/>
  <c r="E114" i="3"/>
  <c r="E112" i="3"/>
  <c r="E106" i="3"/>
  <c r="E103" i="3"/>
  <c r="E101" i="3"/>
  <c r="E99" i="3"/>
  <c r="E96" i="3"/>
  <c r="E93" i="3"/>
  <c r="E90" i="3"/>
  <c r="E86" i="3"/>
  <c r="E83" i="3"/>
  <c r="E80" i="3"/>
  <c r="E76" i="3"/>
  <c r="E74" i="3"/>
  <c r="E70" i="3"/>
  <c r="E66" i="3"/>
  <c r="E65" i="3"/>
  <c r="E63" i="3"/>
  <c r="E59" i="3"/>
  <c r="E56" i="3"/>
  <c r="E54" i="3"/>
  <c r="E52" i="3"/>
  <c r="E50" i="3"/>
  <c r="E47" i="3"/>
  <c r="E43" i="3"/>
  <c r="E40" i="3"/>
  <c r="E36" i="3"/>
  <c r="E33" i="3"/>
  <c r="E29" i="3"/>
  <c r="E26" i="3"/>
  <c r="E21" i="3"/>
  <c r="E17" i="3"/>
  <c r="E15" i="3"/>
  <c r="E338" i="3"/>
  <c r="E336" i="3"/>
  <c r="E333" i="3"/>
  <c r="E329" i="3"/>
  <c r="E326" i="3"/>
  <c r="E323" i="3"/>
  <c r="E318" i="3"/>
  <c r="E316" i="3"/>
  <c r="E313" i="3"/>
  <c r="E311" i="3"/>
  <c r="E306" i="3"/>
  <c r="E302" i="3"/>
  <c r="E299" i="3"/>
  <c r="E294" i="3"/>
  <c r="E291" i="3"/>
  <c r="E289" i="3"/>
  <c r="E286" i="3"/>
  <c r="E282" i="3"/>
  <c r="E279" i="3"/>
  <c r="E276" i="3"/>
  <c r="E274" i="3"/>
  <c r="E272" i="3"/>
  <c r="E269" i="3"/>
  <c r="E268" i="3"/>
  <c r="E265" i="3"/>
  <c r="E262" i="3"/>
  <c r="E258" i="3"/>
  <c r="E254" i="3"/>
  <c r="E252" i="3"/>
  <c r="E248" i="3"/>
  <c r="E245" i="3"/>
  <c r="E242" i="3"/>
  <c r="E238" i="3"/>
  <c r="E234" i="3"/>
  <c r="E231" i="3"/>
  <c r="E228" i="3"/>
  <c r="E225" i="3"/>
  <c r="E221" i="3"/>
  <c r="E218" i="3"/>
  <c r="E215" i="3"/>
  <c r="E213" i="3"/>
  <c r="E209" i="3"/>
  <c r="E207" i="3"/>
  <c r="E205" i="3"/>
  <c r="E200" i="3"/>
  <c r="E197" i="3"/>
  <c r="E195" i="3"/>
  <c r="E192" i="3"/>
  <c r="E189" i="3"/>
  <c r="E185" i="3"/>
  <c r="E182" i="3"/>
  <c r="E180" i="3"/>
  <c r="E176" i="3"/>
  <c r="E173" i="3"/>
  <c r="E170" i="3"/>
  <c r="E169" i="3"/>
  <c r="E166" i="3"/>
  <c r="E162" i="3"/>
  <c r="E157" i="3"/>
  <c r="E154" i="3"/>
  <c r="E151" i="3"/>
  <c r="E148" i="3"/>
  <c r="E145" i="3"/>
  <c r="E143" i="3"/>
  <c r="E141" i="3"/>
  <c r="E139" i="3"/>
  <c r="E134" i="3"/>
  <c r="E131" i="3"/>
  <c r="E129" i="3"/>
  <c r="E124" i="3"/>
  <c r="E120" i="3"/>
  <c r="E118" i="3"/>
  <c r="E115" i="3"/>
  <c r="E113" i="3"/>
  <c r="E110" i="3"/>
  <c r="E108" i="3"/>
  <c r="E104" i="3"/>
  <c r="E102" i="3"/>
  <c r="E97" i="3"/>
  <c r="E94" i="3"/>
  <c r="E91" i="3"/>
  <c r="E88" i="3"/>
  <c r="E87" i="3"/>
  <c r="E84" i="3"/>
  <c r="E81" i="3"/>
  <c r="E79" i="3"/>
  <c r="E75" i="3"/>
  <c r="E72" i="3"/>
  <c r="E69" i="3"/>
  <c r="E67" i="3"/>
  <c r="E62" i="3"/>
  <c r="E60" i="3"/>
  <c r="E57" i="3"/>
  <c r="E51" i="3"/>
  <c r="E48" i="3"/>
  <c r="E45" i="3"/>
  <c r="E42" i="3"/>
  <c r="E38" i="3"/>
  <c r="E35" i="3"/>
  <c r="E34" i="3"/>
  <c r="E31" i="3"/>
  <c r="E30" i="3"/>
  <c r="E27" i="3"/>
  <c r="E25" i="3"/>
  <c r="E22" i="3"/>
  <c r="E19" i="3"/>
  <c r="E16" i="3"/>
  <c r="AG6" i="3"/>
  <c r="Q6" i="3"/>
  <c r="N6" i="3"/>
  <c r="F60" i="40"/>
  <c r="C9" i="69"/>
  <c r="C8" i="69" s="1"/>
  <c r="C5" i="69" s="1"/>
  <c r="C23" i="69" s="1"/>
  <c r="D19" i="69"/>
  <c r="C20" i="12"/>
  <c r="M14" i="1"/>
  <c r="C34" i="69"/>
  <c r="C10" i="80"/>
  <c r="K16" i="1"/>
  <c r="C15" i="68"/>
  <c r="D17" i="68"/>
  <c r="D18" i="68" s="1"/>
  <c r="C22" i="83"/>
  <c r="C20" i="11"/>
  <c r="D30" i="6"/>
  <c r="C118" i="43"/>
  <c r="D116" i="43" s="1"/>
  <c r="A7" i="51"/>
  <c r="B7" i="72" s="1"/>
  <c r="C4" i="52"/>
  <c r="B45" i="72" s="1"/>
  <c r="B5" i="40"/>
  <c r="B4" i="40"/>
  <c r="B3" i="40"/>
  <c r="D7" i="74"/>
  <c r="D8" i="74"/>
  <c r="D27" i="6"/>
  <c r="C35" i="81"/>
  <c r="C42" i="81" s="1"/>
  <c r="C48" i="81" s="1"/>
  <c r="M3" i="35"/>
  <c r="D2" i="35"/>
  <c r="B2" i="35" s="1"/>
  <c r="C19" i="67"/>
  <c r="C20" i="67" s="1"/>
  <c r="C23" i="67" s="1"/>
  <c r="J17" i="67"/>
  <c r="C16" i="85"/>
  <c r="C19" i="85"/>
  <c r="C10" i="85"/>
  <c r="C5" i="85" s="1"/>
  <c r="C19" i="15"/>
  <c r="C16" i="15"/>
  <c r="C10" i="15"/>
  <c r="C5" i="15" s="1"/>
  <c r="J16" i="15"/>
  <c r="J5" i="15"/>
  <c r="J5" i="81"/>
  <c r="J16" i="81"/>
  <c r="C53" i="67"/>
  <c r="C48" i="67" s="1"/>
  <c r="C10" i="67"/>
  <c r="C5" i="67" s="1"/>
  <c r="C61" i="67"/>
  <c r="C31" i="67"/>
  <c r="C26" i="69"/>
  <c r="D22" i="69" s="1"/>
  <c r="C44" i="69"/>
  <c r="D41" i="69" s="1"/>
  <c r="F41" i="69"/>
  <c r="C16" i="81"/>
  <c r="J16" i="85"/>
  <c r="J5" i="85"/>
  <c r="C61" i="85"/>
  <c r="C58" i="85" s="1"/>
  <c r="J24" i="67"/>
  <c r="J26" i="67"/>
  <c r="J29" i="67" s="1"/>
  <c r="C61" i="81"/>
  <c r="C58" i="81" s="1"/>
  <c r="C10" i="81"/>
  <c r="C5" i="81" s="1"/>
  <c r="C62" i="81"/>
  <c r="C61" i="15"/>
  <c r="C58" i="15" s="1"/>
  <c r="F49" i="80"/>
  <c r="C51" i="80"/>
  <c r="C51" i="68"/>
  <c r="F49" i="68"/>
  <c r="N36" i="43"/>
  <c r="Q36" i="43"/>
  <c r="L37" i="43"/>
  <c r="P36" i="43"/>
  <c r="O36" i="43"/>
  <c r="M36" i="43"/>
  <c r="C38" i="85"/>
  <c r="E6" i="76"/>
  <c r="D24" i="83" l="1"/>
  <c r="D25" i="83" s="1"/>
  <c r="C25" i="83" s="1"/>
  <c r="D31" i="6"/>
  <c r="I6" i="6" s="1"/>
  <c r="F27" i="68"/>
  <c r="F28" i="82"/>
  <c r="C30" i="82" s="1"/>
  <c r="F27" i="11"/>
  <c r="C47" i="11" s="1"/>
  <c r="D45" i="11" s="1"/>
  <c r="F27" i="80"/>
  <c r="F33" i="12"/>
  <c r="F30" i="83"/>
  <c r="F27" i="69"/>
  <c r="J12" i="39"/>
  <c r="J12" i="40"/>
  <c r="F12" i="39"/>
  <c r="H12" i="40"/>
  <c r="H12" i="39"/>
  <c r="F12" i="40"/>
  <c r="O8" i="1"/>
  <c r="P8" i="1" s="1"/>
  <c r="C24" i="83"/>
  <c r="C54" i="12"/>
  <c r="D17" i="80"/>
  <c r="C19" i="80"/>
  <c r="C45" i="80" s="1"/>
  <c r="C11" i="80"/>
  <c r="C42" i="80" s="1"/>
  <c r="C20" i="80"/>
  <c r="C46" i="80" s="1"/>
  <c r="C41" i="80"/>
  <c r="D37" i="69"/>
  <c r="C37" i="69" s="1"/>
  <c r="C19" i="69"/>
  <c r="AC6" i="3"/>
  <c r="E31" i="6"/>
  <c r="K24" i="6"/>
  <c r="M24" i="6" s="1"/>
  <c r="I24" i="6" s="1"/>
  <c r="K19" i="6"/>
  <c r="K25" i="6"/>
  <c r="M25" i="6" s="1"/>
  <c r="I25" i="6" s="1"/>
  <c r="K23" i="6"/>
  <c r="M23" i="6" s="1"/>
  <c r="I23" i="6" s="1"/>
  <c r="K21" i="6"/>
  <c r="K26" i="6"/>
  <c r="M26" i="6" s="1"/>
  <c r="I26" i="6" s="1"/>
  <c r="K20" i="6"/>
  <c r="K22" i="6"/>
  <c r="M22" i="6" s="1"/>
  <c r="I22" i="6" s="1"/>
  <c r="C35" i="69"/>
  <c r="C38" i="69"/>
  <c r="H6" i="3"/>
  <c r="E6" i="3" s="1"/>
  <c r="O14" i="1"/>
  <c r="O16" i="1" s="1"/>
  <c r="M16" i="1"/>
  <c r="E2" i="76"/>
  <c r="B3" i="76" s="1"/>
  <c r="I5" i="6"/>
  <c r="E10" i="12"/>
  <c r="B3" i="35"/>
  <c r="E8" i="12" s="1"/>
  <c r="C45" i="81"/>
  <c r="C44" i="81" s="1"/>
  <c r="C68" i="15"/>
  <c r="C57" i="15"/>
  <c r="C26" i="15"/>
  <c r="C47" i="81"/>
  <c r="C26" i="81"/>
  <c r="C60" i="67"/>
  <c r="C59" i="67" s="1"/>
  <c r="C66" i="67"/>
  <c r="C26" i="85"/>
  <c r="C26" i="67"/>
  <c r="C29" i="67" s="1"/>
  <c r="J28" i="85"/>
  <c r="J26" i="85"/>
  <c r="C38" i="67"/>
  <c r="J26" i="81"/>
  <c r="J28" i="81"/>
  <c r="J31" i="81" s="1"/>
  <c r="J32" i="81" s="1"/>
  <c r="C68" i="81"/>
  <c r="C57" i="81"/>
  <c r="C57" i="85"/>
  <c r="C68" i="85"/>
  <c r="N37" i="43"/>
  <c r="M37" i="43"/>
  <c r="Q37" i="43"/>
  <c r="P37" i="43"/>
  <c r="O37" i="43"/>
  <c r="J26" i="15"/>
  <c r="J28" i="15"/>
  <c r="AA12" i="40" l="1"/>
  <c r="S12" i="40"/>
  <c r="AC12" i="40"/>
  <c r="W12" i="40"/>
  <c r="C29" i="68"/>
  <c r="F52" i="68"/>
  <c r="C54" i="68"/>
  <c r="U12" i="39"/>
  <c r="AB12" i="39"/>
  <c r="T49" i="39" s="1"/>
  <c r="G49" i="39" s="1"/>
  <c r="AC12" i="39"/>
  <c r="V49" i="39" s="1"/>
  <c r="I49" i="39" s="1"/>
  <c r="W12" i="39"/>
  <c r="F52" i="80"/>
  <c r="C29" i="80"/>
  <c r="C54" i="80"/>
  <c r="P14" i="1"/>
  <c r="P16" i="1" s="1"/>
  <c r="C16" i="12" s="1"/>
  <c r="C26" i="12" s="1"/>
  <c r="C58" i="12" s="1"/>
  <c r="U12" i="40"/>
  <c r="AB12" i="40"/>
  <c r="C29" i="69"/>
  <c r="D27" i="69" s="1"/>
  <c r="F45" i="69"/>
  <c r="C47" i="69"/>
  <c r="D45" i="69" s="1"/>
  <c r="AA12" i="39"/>
  <c r="R49" i="39" s="1"/>
  <c r="S12" i="39"/>
  <c r="S7" i="1"/>
  <c r="M20" i="6"/>
  <c r="I20" i="6" s="1"/>
  <c r="S25" i="6"/>
  <c r="H25" i="6"/>
  <c r="R25" i="6" s="1"/>
  <c r="S26" i="6"/>
  <c r="H26" i="6"/>
  <c r="R26" i="6" s="1"/>
  <c r="S6" i="1"/>
  <c r="K27" i="6"/>
  <c r="M19" i="6"/>
  <c r="C24" i="69"/>
  <c r="C20" i="69"/>
  <c r="S8" i="1"/>
  <c r="M21" i="6"/>
  <c r="I21" i="6" s="1"/>
  <c r="S24" i="6"/>
  <c r="H24" i="6"/>
  <c r="R24" i="6" s="1"/>
  <c r="C33" i="69"/>
  <c r="C17" i="82"/>
  <c r="L16" i="1"/>
  <c r="N16" i="1"/>
  <c r="B21" i="1" s="1"/>
  <c r="S22" i="6"/>
  <c r="H22" i="6"/>
  <c r="R22" i="6" s="1"/>
  <c r="S23" i="6"/>
  <c r="H23" i="6"/>
  <c r="R23" i="6" s="1"/>
  <c r="C17" i="80"/>
  <c r="D18" i="80"/>
  <c r="C20" i="83"/>
  <c r="C51" i="81"/>
  <c r="Q58" i="81" s="1"/>
  <c r="C57" i="67"/>
  <c r="C64" i="67" s="1"/>
  <c r="C36" i="67"/>
  <c r="Q49" i="67"/>
  <c r="C13" i="67"/>
  <c r="J14" i="67"/>
  <c r="J59" i="67"/>
  <c r="J60" i="67" s="1"/>
  <c r="C78" i="85"/>
  <c r="C78" i="81"/>
  <c r="C78" i="15"/>
  <c r="C39" i="15"/>
  <c r="C39" i="85"/>
  <c r="C25" i="12" l="1"/>
  <c r="C57" i="12" s="1"/>
  <c r="C50" i="12"/>
  <c r="C17" i="12"/>
  <c r="C51" i="12" s="1"/>
  <c r="I53" i="39"/>
  <c r="J53" i="39" s="1"/>
  <c r="E49" i="39"/>
  <c r="I54" i="39" s="1"/>
  <c r="J54" i="39" s="1"/>
  <c r="R50" i="39"/>
  <c r="G54" i="39"/>
  <c r="H54" i="39" s="1"/>
  <c r="G53" i="39"/>
  <c r="H53" i="39" s="1"/>
  <c r="S16" i="1"/>
  <c r="AQ6" i="1"/>
  <c r="T6" i="1"/>
  <c r="AR6" i="1"/>
  <c r="C22" i="81"/>
  <c r="C22" i="82"/>
  <c r="C18" i="82"/>
  <c r="C21" i="82"/>
  <c r="S21" i="6"/>
  <c r="H21" i="6"/>
  <c r="R21" i="6" s="1"/>
  <c r="R8" i="1" s="1"/>
  <c r="I19" i="6"/>
  <c r="M27" i="6"/>
  <c r="C42" i="69"/>
  <c r="C39" i="69"/>
  <c r="C46" i="69" s="1"/>
  <c r="C45" i="69" s="1"/>
  <c r="AQ8" i="1"/>
  <c r="T8" i="1"/>
  <c r="AR8" i="1"/>
  <c r="E8" i="70"/>
  <c r="S20" i="6"/>
  <c r="H20" i="6"/>
  <c r="R20" i="6" s="1"/>
  <c r="R7" i="1" s="1"/>
  <c r="AR7" i="1"/>
  <c r="T7" i="1"/>
  <c r="AQ7" i="1"/>
  <c r="E7" i="70"/>
  <c r="E2" i="70" s="1"/>
  <c r="B24" i="1"/>
  <c r="B23" i="1"/>
  <c r="C28" i="11"/>
  <c r="C27" i="11" s="1"/>
  <c r="C24" i="11"/>
  <c r="C29" i="11"/>
  <c r="D27" i="11" s="1"/>
  <c r="C44" i="11"/>
  <c r="D41" i="11" s="1"/>
  <c r="C25" i="69"/>
  <c r="C22" i="69" s="1"/>
  <c r="C28" i="69"/>
  <c r="C27" i="69" s="1"/>
  <c r="C29" i="83"/>
  <c r="C30" i="83"/>
  <c r="J33" i="1"/>
  <c r="J36" i="1"/>
  <c r="J19" i="81"/>
  <c r="J35" i="81"/>
  <c r="M23" i="81" s="1"/>
  <c r="C52" i="81"/>
  <c r="Q81" i="81" s="1"/>
  <c r="F23" i="81"/>
  <c r="F74" i="81"/>
  <c r="C74" i="81" s="1"/>
  <c r="J68" i="81"/>
  <c r="Q48" i="67"/>
  <c r="L46" i="67"/>
  <c r="J13" i="67"/>
  <c r="J23" i="67" s="1"/>
  <c r="J22" i="67"/>
  <c r="C56" i="67"/>
  <c r="C65" i="67" s="1"/>
  <c r="C58" i="67" s="1"/>
  <c r="C67" i="67" s="1"/>
  <c r="C68" i="67" s="1"/>
  <c r="C37" i="67"/>
  <c r="C30" i="67" s="1"/>
  <c r="C39" i="67" s="1"/>
  <c r="C75" i="67"/>
  <c r="Q70" i="67"/>
  <c r="C36" i="15"/>
  <c r="M21" i="85"/>
  <c r="F21" i="85"/>
  <c r="C36" i="85"/>
  <c r="M21" i="15"/>
  <c r="F21" i="15"/>
  <c r="C31" i="69" l="1"/>
  <c r="C31" i="83"/>
  <c r="C32" i="83" s="1"/>
  <c r="C33" i="83" s="1"/>
  <c r="C34" i="83" s="1"/>
  <c r="B2" i="83" s="1"/>
  <c r="C16" i="82"/>
  <c r="C50" i="39"/>
  <c r="C49" i="39"/>
  <c r="E53" i="39"/>
  <c r="F53" i="39" s="1"/>
  <c r="E54" i="39"/>
  <c r="F54" i="39" s="1"/>
  <c r="C20" i="15"/>
  <c r="F73" i="15"/>
  <c r="C72" i="15" s="1"/>
  <c r="J20" i="15"/>
  <c r="C37" i="85"/>
  <c r="C40" i="85"/>
  <c r="C35" i="85" s="1"/>
  <c r="C41" i="85"/>
  <c r="F73" i="85"/>
  <c r="C72" i="85" s="1"/>
  <c r="C20" i="85"/>
  <c r="J20" i="85"/>
  <c r="C37" i="15"/>
  <c r="C40" i="15"/>
  <c r="C41" i="15"/>
  <c r="C23" i="82"/>
  <c r="B3" i="83"/>
  <c r="B5" i="83"/>
  <c r="B4" i="83"/>
  <c r="T16" i="1"/>
  <c r="C26" i="68"/>
  <c r="C26" i="80"/>
  <c r="C24" i="80"/>
  <c r="C23" i="11"/>
  <c r="C25" i="11"/>
  <c r="C26" i="11"/>
  <c r="D22" i="11" s="1"/>
  <c r="J22" i="81"/>
  <c r="F34" i="11"/>
  <c r="F33" i="82"/>
  <c r="F16" i="12"/>
  <c r="C23" i="12" s="1"/>
  <c r="F50" i="69"/>
  <c r="F31" i="80"/>
  <c r="F57" i="80" s="1"/>
  <c r="F50" i="11"/>
  <c r="F10" i="80"/>
  <c r="F31" i="68"/>
  <c r="F57" i="68" s="1"/>
  <c r="F10" i="68"/>
  <c r="M68" i="85"/>
  <c r="L68" i="85" s="1"/>
  <c r="J62" i="85"/>
  <c r="J62" i="81"/>
  <c r="M68" i="81"/>
  <c r="M59" i="67"/>
  <c r="J62" i="15"/>
  <c r="M68" i="15"/>
  <c r="L68" i="15" s="1"/>
  <c r="C34" i="12"/>
  <c r="C30" i="12"/>
  <c r="C43" i="69"/>
  <c r="C41" i="69" s="1"/>
  <c r="C49" i="69" s="1"/>
  <c r="C51" i="69" s="1"/>
  <c r="S19" i="6"/>
  <c r="S27" i="6" s="1"/>
  <c r="I27" i="6"/>
  <c r="H19" i="6"/>
  <c r="J36" i="81"/>
  <c r="J37" i="81" s="1"/>
  <c r="J24" i="81" s="1"/>
  <c r="C53" i="81"/>
  <c r="F76" i="81" s="1"/>
  <c r="C76" i="81" s="1"/>
  <c r="C69" i="81" s="1"/>
  <c r="C70" i="81" s="1"/>
  <c r="C67" i="81" s="1"/>
  <c r="C66" i="81" s="1"/>
  <c r="C65" i="81" s="1"/>
  <c r="C79" i="81" s="1"/>
  <c r="C80" i="81" s="1"/>
  <c r="C83" i="81" s="1"/>
  <c r="C84" i="81" s="1"/>
  <c r="Q69" i="67"/>
  <c r="Q68" i="67" s="1"/>
  <c r="C40" i="67"/>
  <c r="C45" i="67" s="1"/>
  <c r="C46" i="67" s="1"/>
  <c r="C80" i="67"/>
  <c r="C79" i="67" s="1"/>
  <c r="C71" i="67"/>
  <c r="J16" i="67"/>
  <c r="J25" i="67" s="1"/>
  <c r="L51" i="67"/>
  <c r="C35" i="15" l="1"/>
  <c r="J17" i="81"/>
  <c r="J18" i="81" s="1"/>
  <c r="J15" i="81" s="1"/>
  <c r="J14" i="81" s="1"/>
  <c r="J13" i="81" s="1"/>
  <c r="J27" i="81" s="1"/>
  <c r="M25" i="81"/>
  <c r="B63" i="39"/>
  <c r="F63" i="39" s="1"/>
  <c r="B66" i="39"/>
  <c r="F66" i="39" s="1"/>
  <c r="B61" i="39"/>
  <c r="F61" i="39" s="1"/>
  <c r="B58" i="39"/>
  <c r="F58" i="39" s="1"/>
  <c r="B64" i="39"/>
  <c r="F64" i="39" s="1"/>
  <c r="B60" i="39"/>
  <c r="F60" i="39" s="1"/>
  <c r="B62" i="39"/>
  <c r="F62" i="39" s="1"/>
  <c r="B59" i="39"/>
  <c r="F59" i="39" s="1"/>
  <c r="B65" i="39"/>
  <c r="F65" i="39" s="1"/>
  <c r="C52" i="69"/>
  <c r="B2" i="69" s="1"/>
  <c r="B3" i="69" s="1"/>
  <c r="G28" i="68"/>
  <c r="C10" i="68"/>
  <c r="C12" i="68"/>
  <c r="C43" i="68" s="1"/>
  <c r="G18" i="68"/>
  <c r="G50" i="68"/>
  <c r="C18" i="68"/>
  <c r="C36" i="11"/>
  <c r="C34" i="11"/>
  <c r="C37" i="11"/>
  <c r="Q70" i="15"/>
  <c r="Q85" i="15"/>
  <c r="L65" i="81"/>
  <c r="Q61" i="81"/>
  <c r="F1" i="81"/>
  <c r="J69" i="81"/>
  <c r="C22" i="11"/>
  <c r="C31" i="11" s="1"/>
  <c r="C29" i="82"/>
  <c r="C28" i="82" s="1"/>
  <c r="C26" i="82"/>
  <c r="C42" i="85"/>
  <c r="C48" i="85" s="1"/>
  <c r="C47" i="85" s="1"/>
  <c r="H27" i="6"/>
  <c r="R19" i="6"/>
  <c r="Q61" i="15"/>
  <c r="F1" i="15"/>
  <c r="F1" i="85"/>
  <c r="Q61" i="85"/>
  <c r="C12" i="80"/>
  <c r="C43" i="80" s="1"/>
  <c r="G50" i="80"/>
  <c r="G18" i="80"/>
  <c r="G28" i="80"/>
  <c r="C18" i="80"/>
  <c r="C55" i="12"/>
  <c r="C19" i="12"/>
  <c r="C42" i="15"/>
  <c r="C48" i="15" s="1"/>
  <c r="C47" i="15" s="1"/>
  <c r="C45" i="15"/>
  <c r="C44" i="15" s="1"/>
  <c r="Q85" i="85"/>
  <c r="Q70" i="85"/>
  <c r="C87" i="81"/>
  <c r="C24" i="81"/>
  <c r="C17" i="81" s="1"/>
  <c r="C18" i="81" s="1"/>
  <c r="C15" i="81" s="1"/>
  <c r="C14" i="81" s="1"/>
  <c r="C13" i="81" s="1"/>
  <c r="C27" i="81" s="1"/>
  <c r="F25" i="81"/>
  <c r="Q67" i="67"/>
  <c r="L57" i="67"/>
  <c r="L60" i="67" s="1"/>
  <c r="Q65" i="67"/>
  <c r="D2" i="67"/>
  <c r="Q47" i="67"/>
  <c r="Q53" i="67" s="1"/>
  <c r="C43" i="67"/>
  <c r="Q56" i="67"/>
  <c r="C83" i="67"/>
  <c r="C82" i="67" s="1"/>
  <c r="AE7" i="1"/>
  <c r="F29" i="15" s="1"/>
  <c r="AE8" i="1"/>
  <c r="F29" i="85" s="1"/>
  <c r="C45" i="85" l="1"/>
  <c r="C44" i="85" s="1"/>
  <c r="C57" i="69"/>
  <c r="C56" i="69" s="1"/>
  <c r="C92" i="81"/>
  <c r="C91" i="81" s="1"/>
  <c r="C51" i="15"/>
  <c r="Q58" i="15" s="1"/>
  <c r="F67" i="39"/>
  <c r="F81" i="85"/>
  <c r="J31" i="85"/>
  <c r="J32" i="85" s="1"/>
  <c r="F81" i="15"/>
  <c r="J31" i="15"/>
  <c r="J32" i="15" s="1"/>
  <c r="C44" i="80"/>
  <c r="C40" i="80" s="1"/>
  <c r="C13" i="80"/>
  <c r="C9" i="80" s="1"/>
  <c r="Q57" i="81"/>
  <c r="L55" i="81"/>
  <c r="R6" i="1"/>
  <c r="R16" i="1" s="1"/>
  <c r="R27" i="6"/>
  <c r="C44" i="68"/>
  <c r="C13" i="68"/>
  <c r="C20" i="68"/>
  <c r="C46" i="68" s="1"/>
  <c r="C11" i="68"/>
  <c r="C42" i="68" s="1"/>
  <c r="C19" i="68"/>
  <c r="C45" i="68" s="1"/>
  <c r="C41" i="68"/>
  <c r="C53" i="12"/>
  <c r="C49" i="12" s="1"/>
  <c r="C15" i="12"/>
  <c r="C27" i="12" s="1"/>
  <c r="C59" i="12" s="1"/>
  <c r="C25" i="82"/>
  <c r="C32" i="82"/>
  <c r="C33" i="82" s="1"/>
  <c r="C15" i="82" s="1"/>
  <c r="C34" i="82" s="1"/>
  <c r="B2" i="82" s="1"/>
  <c r="C38" i="11"/>
  <c r="C35" i="11"/>
  <c r="C28" i="81"/>
  <c r="Q80" i="81"/>
  <c r="Q79" i="81" s="1"/>
  <c r="F33" i="81"/>
  <c r="B2" i="67"/>
  <c r="B3" i="67"/>
  <c r="Q66" i="67"/>
  <c r="Q75" i="67" s="1"/>
  <c r="Q57" i="67"/>
  <c r="Q62" i="67" s="1"/>
  <c r="L60" i="81"/>
  <c r="F74" i="15" l="1"/>
  <c r="C74" i="15" s="1"/>
  <c r="C22" i="15"/>
  <c r="F23" i="15"/>
  <c r="J19" i="15"/>
  <c r="C52" i="15"/>
  <c r="Q81" i="15" s="1"/>
  <c r="J35" i="15"/>
  <c r="J36" i="15" s="1"/>
  <c r="J37" i="15" s="1"/>
  <c r="C51" i="85"/>
  <c r="C7" i="68"/>
  <c r="C8" i="68" s="1"/>
  <c r="C6" i="68" s="1"/>
  <c r="C24" i="68" s="1"/>
  <c r="B2" i="39"/>
  <c r="C33" i="11"/>
  <c r="C39" i="11" s="1"/>
  <c r="C43" i="11" s="1"/>
  <c r="B4" i="82"/>
  <c r="B5" i="82"/>
  <c r="B3" i="82"/>
  <c r="C40" i="68"/>
  <c r="C9" i="68"/>
  <c r="C21" i="80"/>
  <c r="C28" i="80" s="1"/>
  <c r="C27" i="80" s="1"/>
  <c r="C47" i="80"/>
  <c r="C53" i="80" s="1"/>
  <c r="C52" i="80" s="1"/>
  <c r="Q77" i="81"/>
  <c r="L66" i="81"/>
  <c r="L69" i="81" s="1"/>
  <c r="Q75" i="81" s="1"/>
  <c r="C55" i="81"/>
  <c r="Q65" i="81"/>
  <c r="Q56" i="81"/>
  <c r="Q62" i="81" s="1"/>
  <c r="D3" i="81"/>
  <c r="C31" i="81"/>
  <c r="C32" i="81" s="1"/>
  <c r="Q74" i="81"/>
  <c r="C95" i="81"/>
  <c r="C94" i="81" s="1"/>
  <c r="M23" i="15" l="1"/>
  <c r="J22" i="15"/>
  <c r="C53" i="15"/>
  <c r="J19" i="85"/>
  <c r="F74" i="85"/>
  <c r="C74" i="85" s="1"/>
  <c r="C22" i="85"/>
  <c r="Q58" i="85"/>
  <c r="F23" i="85"/>
  <c r="J35" i="85"/>
  <c r="C52" i="85"/>
  <c r="Q81" i="85" s="1"/>
  <c r="C42" i="11"/>
  <c r="C41" i="11" s="1"/>
  <c r="B3" i="39"/>
  <c r="B4" i="39"/>
  <c r="B5" i="39"/>
  <c r="C21" i="68"/>
  <c r="C28" i="68" s="1"/>
  <c r="C27" i="68" s="1"/>
  <c r="C50" i="80"/>
  <c r="C49" i="80" s="1"/>
  <c r="C47" i="68"/>
  <c r="C53" i="68" s="1"/>
  <c r="C52" i="68" s="1"/>
  <c r="J24" i="15"/>
  <c r="J17" i="15" s="1"/>
  <c r="J18" i="15" s="1"/>
  <c r="J15" i="15" s="1"/>
  <c r="J14" i="15" s="1"/>
  <c r="J13" i="15" s="1"/>
  <c r="J27" i="15" s="1"/>
  <c r="M25" i="15"/>
  <c r="C25" i="80"/>
  <c r="C46" i="11"/>
  <c r="C45" i="11" s="1"/>
  <c r="Q66" i="81"/>
  <c r="Q71" i="81" s="1"/>
  <c r="Q86" i="81"/>
  <c r="B3" i="81"/>
  <c r="B2" i="81"/>
  <c r="C49" i="11" l="1"/>
  <c r="C51" i="11" s="1"/>
  <c r="F76" i="15"/>
  <c r="C76" i="15" s="1"/>
  <c r="C69" i="15" s="1"/>
  <c r="C70" i="15" s="1"/>
  <c r="C67" i="15" s="1"/>
  <c r="C66" i="15" s="1"/>
  <c r="C65" i="15" s="1"/>
  <c r="C79" i="15" s="1"/>
  <c r="C80" i="15" s="1"/>
  <c r="C83" i="15" s="1"/>
  <c r="C84" i="15" s="1"/>
  <c r="F25" i="15"/>
  <c r="C87" i="15"/>
  <c r="C24" i="15"/>
  <c r="C17" i="15" s="1"/>
  <c r="C18" i="15" s="1"/>
  <c r="C15" i="15" s="1"/>
  <c r="C14" i="15" s="1"/>
  <c r="C13" i="15" s="1"/>
  <c r="C27" i="15" s="1"/>
  <c r="C25" i="68"/>
  <c r="C23" i="68" s="1"/>
  <c r="M23" i="85"/>
  <c r="J36" i="85"/>
  <c r="J37" i="85" s="1"/>
  <c r="J22" i="85"/>
  <c r="C53" i="85"/>
  <c r="C52" i="11"/>
  <c r="B2" i="11" s="1"/>
  <c r="B3" i="11" s="1"/>
  <c r="C56" i="80"/>
  <c r="C5" i="80"/>
  <c r="C23" i="80"/>
  <c r="C50" i="68"/>
  <c r="C49" i="68" s="1"/>
  <c r="L60" i="15"/>
  <c r="Q77" i="15" l="1"/>
  <c r="C28" i="15"/>
  <c r="F33" i="15"/>
  <c r="Q80" i="15"/>
  <c r="Q79" i="15" s="1"/>
  <c r="C5" i="68"/>
  <c r="C92" i="15"/>
  <c r="C91" i="15" s="1"/>
  <c r="F25" i="85"/>
  <c r="F76" i="85"/>
  <c r="C76" i="85" s="1"/>
  <c r="C69" i="85" s="1"/>
  <c r="C70" i="85" s="1"/>
  <c r="C67" i="85" s="1"/>
  <c r="C66" i="85" s="1"/>
  <c r="C65" i="85" s="1"/>
  <c r="C79" i="85" s="1"/>
  <c r="C80" i="85" s="1"/>
  <c r="C83" i="85" s="1"/>
  <c r="C84" i="85" s="1"/>
  <c r="C24" i="85"/>
  <c r="C17" i="85" s="1"/>
  <c r="C18" i="85" s="1"/>
  <c r="C15" i="85" s="1"/>
  <c r="C14" i="85" s="1"/>
  <c r="C13" i="85" s="1"/>
  <c r="C27" i="85" s="1"/>
  <c r="C87" i="85"/>
  <c r="J24" i="85"/>
  <c r="J17" i="85" s="1"/>
  <c r="J18" i="85" s="1"/>
  <c r="J15" i="85" s="1"/>
  <c r="J14" i="85" s="1"/>
  <c r="J13" i="85" s="1"/>
  <c r="J27" i="85" s="1"/>
  <c r="M25" i="85"/>
  <c r="C57" i="80"/>
  <c r="C31" i="80" s="1"/>
  <c r="C32" i="80" s="1"/>
  <c r="C56" i="68"/>
  <c r="C56" i="11"/>
  <c r="C57" i="11" s="1"/>
  <c r="L60" i="85"/>
  <c r="C92" i="85" l="1"/>
  <c r="C91" i="85" s="1"/>
  <c r="C55" i="15"/>
  <c r="C31" i="15"/>
  <c r="C32" i="15" s="1"/>
  <c r="C95" i="15"/>
  <c r="C94" i="15" s="1"/>
  <c r="Q74" i="15"/>
  <c r="Q86" i="15" s="1"/>
  <c r="Q56" i="15"/>
  <c r="Q62" i="15" s="1"/>
  <c r="Q65" i="15"/>
  <c r="Q71" i="15" s="1"/>
  <c r="B2" i="15"/>
  <c r="Q77" i="85"/>
  <c r="C28" i="85"/>
  <c r="Q80" i="85"/>
  <c r="Q79" i="85" s="1"/>
  <c r="F33" i="85"/>
  <c r="C58" i="80"/>
  <c r="C57" i="68"/>
  <c r="C31" i="68" s="1"/>
  <c r="C32" i="68" s="1"/>
  <c r="C33" i="68" s="1"/>
  <c r="B2" i="68" s="1"/>
  <c r="C58" i="68"/>
  <c r="C33" i="80"/>
  <c r="D3" i="80"/>
  <c r="AO7" i="1"/>
  <c r="C19" i="9"/>
  <c r="B7" i="70" l="1"/>
  <c r="B3" i="15"/>
  <c r="C13" i="12"/>
  <c r="C31" i="85"/>
  <c r="Q65" i="85"/>
  <c r="Q71" i="85" s="1"/>
  <c r="Q74" i="85"/>
  <c r="Q86" i="85" s="1"/>
  <c r="C95" i="85"/>
  <c r="C94" i="85" s="1"/>
  <c r="Q56" i="85"/>
  <c r="Q62" i="85" s="1"/>
  <c r="B2" i="85"/>
  <c r="C102" i="9"/>
  <c r="B2" i="80"/>
  <c r="B3" i="80"/>
  <c r="C59" i="68"/>
  <c r="C64" i="68"/>
  <c r="C63" i="68" s="1"/>
  <c r="B3" i="68"/>
  <c r="C64" i="80"/>
  <c r="C63" i="80" s="1"/>
  <c r="C59" i="80"/>
  <c r="AO8" i="1"/>
  <c r="C20" i="9"/>
  <c r="C46" i="12" l="1"/>
  <c r="C28" i="12"/>
  <c r="C32" i="12"/>
  <c r="C62" i="12" s="1"/>
  <c r="B8" i="70"/>
  <c r="B2" i="70" s="1"/>
  <c r="B3" i="70" s="1"/>
  <c r="C32" i="85"/>
  <c r="C55" i="85"/>
  <c r="B3" i="85"/>
  <c r="C103" i="9"/>
  <c r="C35" i="12" l="1"/>
  <c r="C33" i="12" s="1"/>
  <c r="C64" i="12" s="1"/>
  <c r="C61" i="12"/>
  <c r="C60" i="12" s="1"/>
  <c r="C31" i="12"/>
  <c r="C29" i="12" l="1"/>
  <c r="C63" i="12" s="1"/>
  <c r="C48" i="12" s="1"/>
  <c r="C36" i="12"/>
  <c r="C37" i="12" l="1"/>
  <c r="B2" i="12"/>
  <c r="C65" i="12"/>
  <c r="D19" i="9"/>
  <c r="I19" i="9" l="1"/>
  <c r="D102" i="9"/>
  <c r="D22" i="9"/>
  <c r="G19" i="9"/>
  <c r="G22" i="9" s="1"/>
  <c r="B5" i="12"/>
  <c r="B3" i="12"/>
  <c r="B4" i="12"/>
  <c r="D21" i="9"/>
  <c r="D20" i="9"/>
  <c r="G20" i="9" l="1"/>
  <c r="C32" i="9" s="1"/>
  <c r="D103" i="9"/>
  <c r="G21" i="9"/>
  <c r="C35" i="9" l="1"/>
  <c r="N117" i="9"/>
  <c r="H118" i="9" s="1"/>
  <c r="N119" i="9"/>
  <c r="I118" i="9" s="1"/>
  <c r="C104" i="9" l="1"/>
  <c r="H4" i="52"/>
  <c r="H119" i="9"/>
  <c r="H5" i="52" s="1"/>
  <c r="D14" i="74"/>
  <c r="H101" i="9"/>
  <c r="I4" i="52"/>
  <c r="H102" i="9"/>
  <c r="D7" i="53" s="1"/>
  <c r="B21" i="72" s="1"/>
  <c r="C105" i="9"/>
  <c r="C34" i="9"/>
  <c r="M119" i="9"/>
  <c r="G118" i="9" s="1"/>
  <c r="M117" i="9"/>
  <c r="F119" i="9" l="1"/>
  <c r="F5" i="52" s="1"/>
  <c r="B53" i="72" s="1"/>
  <c r="F118" i="9"/>
  <c r="F4" i="52"/>
  <c r="B51" i="72" s="1"/>
  <c r="B5" i="74"/>
  <c r="F14" i="74"/>
  <c r="E14" i="74"/>
  <c r="L117" i="9"/>
  <c r="L119" i="9"/>
  <c r="E118" i="9" s="1"/>
  <c r="D45" i="9"/>
  <c r="D5" i="53"/>
  <c r="M48" i="9"/>
  <c r="H107" i="9"/>
  <c r="M49" i="9" l="1"/>
  <c r="G14" i="74"/>
  <c r="H122" i="9"/>
  <c r="D13" i="53"/>
  <c r="H108" i="9"/>
  <c r="D15" i="53" s="1"/>
  <c r="B31" i="72" s="1"/>
  <c r="D119" i="9"/>
  <c r="D5" i="52" s="1"/>
  <c r="B49" i="72" s="1"/>
  <c r="D4" i="52"/>
  <c r="B47" i="72" s="1"/>
  <c r="D6" i="53"/>
  <c r="B22" i="72" s="1"/>
  <c r="B20" i="72"/>
  <c r="G4" i="52"/>
  <c r="B52" i="72" s="1"/>
  <c r="D118" i="9"/>
  <c r="E4" i="52" s="1"/>
  <c r="B48" i="72" s="1"/>
  <c r="D5" i="74"/>
  <c r="C5" i="74"/>
  <c r="H65" i="9"/>
  <c r="H64" i="9" s="1"/>
  <c r="H63" i="9" s="1"/>
  <c r="C64" i="9"/>
  <c r="C63" i="9" s="1"/>
  <c r="C67" i="9" s="1"/>
  <c r="D55" i="9"/>
  <c r="M53" i="9" s="1"/>
  <c r="D52" i="9"/>
  <c r="B6" i="74" l="1"/>
  <c r="H123" i="9"/>
  <c r="D9" i="52" s="1"/>
  <c r="D8" i="52"/>
  <c r="D14" i="53"/>
  <c r="B32" i="72" s="1"/>
  <c r="B30" i="72"/>
  <c r="D54" i="9"/>
  <c r="D53" i="9"/>
  <c r="D6" i="74"/>
  <c r="C6" i="74"/>
  <c r="D59" i="9"/>
  <c r="M55" i="9" s="1"/>
  <c r="C68" i="9"/>
  <c r="L68" i="9"/>
  <c r="M68" i="9" s="1"/>
  <c r="L63" i="9"/>
  <c r="M63" i="9" s="1"/>
  <c r="L66" i="9"/>
  <c r="M66" i="9" s="1"/>
  <c r="L67" i="9"/>
  <c r="M67" i="9" s="1"/>
  <c r="L65" i="9"/>
  <c r="M65" i="9" s="1"/>
  <c r="L64" i="9"/>
  <c r="M64" i="9" s="1"/>
  <c r="M69" i="9" l="1"/>
  <c r="N69" i="9" s="1"/>
  <c r="C93" i="9"/>
  <c r="C86" i="9" s="1"/>
  <c r="C85" i="9"/>
  <c r="C72" i="9"/>
  <c r="C78" i="9"/>
  <c r="C73" i="9" s="1"/>
  <c r="C95" i="9" l="1"/>
  <c r="C79" i="9"/>
  <c r="D56" i="9"/>
  <c r="M54" i="9" s="1"/>
  <c r="N57" i="9" s="1"/>
  <c r="C96" i="9" l="1"/>
  <c r="E96" i="9" s="1"/>
  <c r="E97" i="9" s="1"/>
  <c r="C97" i="9"/>
  <c r="D58" i="9" s="1"/>
  <c r="N59" i="9"/>
  <c r="N58" i="9"/>
  <c r="P57" i="9"/>
  <c r="C80" i="9"/>
  <c r="E80" i="9" s="1"/>
  <c r="E81" i="9" s="1"/>
  <c r="C81" i="9"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<sst xmlns="http://schemas.openxmlformats.org/spreadsheetml/2006/main" count="10223" uniqueCount="3475">
  <si>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</si>
  <si>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</si>
  <si>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</si>
  <si>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</si>
  <si>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</si>
  <si>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</si>
  <si>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</si>
  <si>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</si>
  <si>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</si>
  <si>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</si>
  <si>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</si>
  <si>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</si>
  <si>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</si>
  <si>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</si>
  <si>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</si>
  <si>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</si>
  <si>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</si>
  <si>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</si>
  <si>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</si>
  <si>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</si>
  <si>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</si>
  <si>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</si>
  <si>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</si>
  <si>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</si>
  <si>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</si>
  <si>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</si>
  <si>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</si>
  <si>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</si>
  <si>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</si>
  <si>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</si>
  <si>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</si>
  <si>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</si>
  <si>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</si>
  <si>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</si>
  <si>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</si>
  <si>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</si>
  <si>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</si>
  <si>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</si>
  <si>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</si>
  <si>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</si>
  <si>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</si>
  <si>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</si>
  <si>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</si>
  <si>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</si>
  <si>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</si>
  <si>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</si>
  <si>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</si>
  <si>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</si>
  <si>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</si>
  <si>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</si>
  <si>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</si>
  <si>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</si>
  <si>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</si>
  <si>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</si>
  <si>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</si>
  <si>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</si>
  <si>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</si>
  <si>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</si>
  <si>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</si>
  <si>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</si>
  <si>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</si>
  <si>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</si>
  <si>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</si>
  <si>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</si>
  <si>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</si>
  <si>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</si>
  <si>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</si>
  <si>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</si>
  <si>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</si>
  <si>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</si>
  <si>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</si>
  <si>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</si>
  <si>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</si>
  <si>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</si>
  <si>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</si>
  <si>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</si>
  <si>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</si>
  <si>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</si>
  <si>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</si>
  <si>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</si>
  <si>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</si>
  <si>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</si>
  <si>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</si>
  <si>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</si>
  <si>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</si>
  <si>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</si>
  <si>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</si>
  <si>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</si>
  <si>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</si>
  <si>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</si>
  <si>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</si>
  <si>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</si>
  <si>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</si>
  <si>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</si>
  <si>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</si>
  <si>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</si>
  <si>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</si>
  <si>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</si>
  <si>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</si>
  <si>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</si>
  <si>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</si>
  <si>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</si>
  <si>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</si>
  <si>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</si>
  <si>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</si>
  <si>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</si>
  <si>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</si>
  <si>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</si>
  <si>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</si>
  <si>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</si>
  <si>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</si>
  <si>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</si>
  <si>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</si>
  <si>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</si>
  <si>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</si>
  <si>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</si>
  <si>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</si>
  <si>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</si>
  <si>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</si>
  <si>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</si>
  <si>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</si>
  <si>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</si>
  <si>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</si>
  <si>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</si>
  <si>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</si>
  <si>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</si>
  <si>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</si>
  <si>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</si>
  <si>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</si>
  <si>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</si>
  <si>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</si>
  <si>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</si>
  <si>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</si>
  <si>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</si>
  <si>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</si>
  <si>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</si>
  <si>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</si>
  <si>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</si>
  <si>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</si>
  <si>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</si>
  <si>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</si>
  <si>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</si>
  <si>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</si>
  <si>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</si>
  <si>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</si>
  <si>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</si>
  <si>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</si>
  <si>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</si>
  <si>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</si>
  <si>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</si>
  <si>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</si>
  <si>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</si>
  <si>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</si>
  <si>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</si>
  <si>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</si>
  <si>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</si>
  <si>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</si>
  <si>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</si>
  <si>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</si>
  <si>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</si>
  <si>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</si>
  <si>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</si>
  <si>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</si>
  <si>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</si>
  <si>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</si>
  <si>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</si>
  <si>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</si>
  <si>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</si>
  <si>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</si>
  <si>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</si>
  <si>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</si>
  <si>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</si>
  <si>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</si>
  <si>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</si>
  <si>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</si>
  <si>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</si>
  <si>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</si>
  <si>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</si>
  <si>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</si>
  <si>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</si>
  <si>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</si>
  <si>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</si>
  <si>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</si>
  <si>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</si>
  <si>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</si>
  <si>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</si>
  <si>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</si>
  <si>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</si>
  <si>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</si>
  <si>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</si>
  <si>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</si>
  <si>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</si>
  <si>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</si>
  <si>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</si>
  <si>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</si>
  <si>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</si>
  <si>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</si>
  <si>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</si>
  <si>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</si>
  <si>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</si>
  <si>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</si>
  <si>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</si>
  <si>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</si>
  <si>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</si>
  <si>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</si>
  <si>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</si>
  <si>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</si>
  <si>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</si>
  <si>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</si>
  <si>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</si>
  <si>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</si>
  <si>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</si>
  <si>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</si>
  <si>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</si>
  <si>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</si>
  <si>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</si>
  <si>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</si>
  <si>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</si>
  <si>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</si>
  <si>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</si>
  <si>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</si>
  <si>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</si>
  <si>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</si>
  <si>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</si>
  <si>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</si>
  <si>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</si>
  <si>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</si>
  <si>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</si>
  <si>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</si>
  <si>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</si>
  <si>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</si>
  <si>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</si>
  <si>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</si>
  <si>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</si>
  <si>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</si>
  <si>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</si>
  <si>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</si>
  <si>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</si>
  <si>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</si>
  <si>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</si>
  <si>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</si>
  <si>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</si>
  <si>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</si>
  <si>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</si>
  <si>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</si>
  <si>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</si>
  <si>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</si>
  <si>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</si>
  <si>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</si>
  <si>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</si>
  <si>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</si>
  <si>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</si>
  <si>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</si>
  <si>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</si>
  <si>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</si>
  <si>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</si>
  <si>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</si>
  <si>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</si>
  <si>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</si>
  <si>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</si>
  <si>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</si>
  <si>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</si>
  <si>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</si>
  <si>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</si>
  <si>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</si>
  <si>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</si>
  <si>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</si>
  <si>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</si>
  <si>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</si>
  <si>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</si>
  <si>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</si>
  <si>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</si>
  <si>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</si>
  <si>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</si>
  <si>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</si>
  <si>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</si>
  <si>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</si>
  <si>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</si>
  <si>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</si>
  <si>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</si>
  <si>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</si>
  <si>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</si>
  <si>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</si>
  <si>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</si>
  <si>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</si>
  <si>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</si>
  <si>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</si>
  <si>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</si>
  <si>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</si>
  <si>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</si>
  <si>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</si>
  <si>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</si>
  <si>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</si>
  <si>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</si>
  <si>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</si>
  <si>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</si>
  <si>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</si>
  <si>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</si>
  <si>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</si>
  <si>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</si>
  <si>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</si>
  <si>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</si>
  <si>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</si>
  <si>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</si>
  <si>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</si>
  <si>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</si>
  <si>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</si>
  <si>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</si>
  <si>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</si>
  <si>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</si>
  <si>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</si>
  <si>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</si>
  <si>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</si>
  <si>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</si>
  <si>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</si>
  <si>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</si>
  <si>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</si>
  <si>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</si>
  <si>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</si>
  <si>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</si>
  <si>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</si>
  <si>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</si>
  <si>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</si>
  <si>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</si>
  <si>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</si>
  <si>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</si>
  <si>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</si>
  <si>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</si>
  <si>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</si>
  <si>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</si>
  <si>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</si>
  <si>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</si>
  <si>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</si>
  <si>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</si>
  <si>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</si>
  <si>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</si>
  <si>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</si>
  <si>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</si>
  <si>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</si>
  <si>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</si>
  <si>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</si>
  <si>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</si>
  <si>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</si>
  <si>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</si>
  <si>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</si>
  <si>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</si>
  <si>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</si>
  <si>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</si>
  <si>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</si>
  <si>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</si>
  <si>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</si>
  <si>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</si>
  <si>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</si>
  <si>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</si>
  <si>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</si>
  <si>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</si>
  <si>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</si>
  <si>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</si>
  <si>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</si>
  <si>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</si>
  <si>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</si>
  <si>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</si>
  <si>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</si>
  <si>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</si>
  <si>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</si>
  <si>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</si>
  <si>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</si>
  <si>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</si>
  <si>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</si>
  <si>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</si>
  <si>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</si>
  <si>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</si>
  <si>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</si>
  <si>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</si>
  <si>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</si>
  <si>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</si>
  <si>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</si>
  <si>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</si>
  <si>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</si>
  <si>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</si>
  <si>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</si>
  <si>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</si>
  <si>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</si>
  <si>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</si>
  <si>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</si>
  <si>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</si>
  <si>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</si>
  <si>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</si>
  <si>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</si>
  <si>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</si>
  <si>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</si>
  <si>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</si>
  <si>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</si>
  <si>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</si>
  <si>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</si>
  <si>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</si>
  <si>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</si>
  <si>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</si>
  <si>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</si>
  <si>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</si>
  <si>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</si>
  <si>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</si>
  <si>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</si>
  <si>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</si>
  <si>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</si>
  <si>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</si>
  <si>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</si>
  <si>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</si>
  <si>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</si>
  <si>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</si>
  <si>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</si>
  <si>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</si>
  <si>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</si>
  <si>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</si>
  <si>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</si>
  <si>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</si>
  <si>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</si>
  <si>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</si>
  <si>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</si>
  <si>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</si>
  <si>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</si>
  <si>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</si>
  <si>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</si>
  <si>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</si>
  <si>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</si>
  <si>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</si>
  <si>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</si>
  <si>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</si>
  <si>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</si>
  <si>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</si>
  <si>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</si>
  <si>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</si>
  <si>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</si>
  <si>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</si>
  <si>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</si>
  <si>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</si>
  <si>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</si>
  <si>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</si>
  <si>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</si>
  <si>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</si>
  <si>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</si>
  <si>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</si>
  <si>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</si>
  <si>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</si>
  <si>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</si>
  <si>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</si>
  <si>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</si>
  <si>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</si>
  <si>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</si>
  <si>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</si>
  <si>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</si>
  <si>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</si>
  <si>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</si>
  <si>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</si>
  <si>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</si>
  <si>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</si>
  <si>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</si>
  <si>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</si>
  <si>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</si>
  <si>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</si>
  <si>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</si>
  <si>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</si>
  <si>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</si>
  <si>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</si>
  <si>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</si>
  <si>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</si>
  <si>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</si>
  <si>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</si>
  <si>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</si>
  <si>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</si>
  <si>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</si>
  <si>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</si>
  <si>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</si>
  <si>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</si>
  <si>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</si>
  <si>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</si>
  <si>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</si>
  <si>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</si>
  <si>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</si>
  <si>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</si>
  <si>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</si>
  <si>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</si>
  <si>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</si>
  <si>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</si>
  <si>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</si>
  <si>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</si>
  <si>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</si>
  <si>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</si>
  <si>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</si>
  <si>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</si>
  <si>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</si>
  <si>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</si>
  <si>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</si>
  <si>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</si>
  <si>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</si>
  <si>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</si>
  <si>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</si>
  <si>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</si>
  <si>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</si>
  <si>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</si>
  <si>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</si>
  <si>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</si>
  <si>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</si>
  <si>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</si>
  <si>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</si>
  <si>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</si>
  <si>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</si>
  <si>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</si>
  <si>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</si>
  <si>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</si>
  <si>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</si>
  <si>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</si>
  <si>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</si>
  <si>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</si>
  <si>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</si>
  <si>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</si>
  <si>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</si>
  <si>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</si>
  <si>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</si>
  <si>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</si>
  <si>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</si>
  <si>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</si>
  <si>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</si>
  <si>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</si>
  <si>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</si>
  <si>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</si>
  <si>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</si>
  <si>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</si>
  <si>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</si>
  <si>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</si>
  <si>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</si>
  <si>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</si>
  <si>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</si>
  <si>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</si>
  <si>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</si>
  <si>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</si>
  <si>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</si>
  <si>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</si>
  <si>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</si>
  <si>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</si>
  <si>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</si>
  <si>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</si>
  <si>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</si>
  <si>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</si>
  <si>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</si>
  <si>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</si>
  <si>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</si>
  <si>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</si>
  <si>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</si>
  <si>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</si>
  <si>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</si>
  <si>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</si>
  <si>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</si>
  <si>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</si>
  <si>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</si>
  <si>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</si>
  <si>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</si>
  <si>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</si>
  <si>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</si>
  <si>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</si>
  <si>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</si>
  <si>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</si>
  <si>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</si>
  <si>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</si>
  <si>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</si>
  <si>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</si>
  <si>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</si>
  <si>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</si>
  <si>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</si>
  <si>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</si>
  <si>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</si>
  <si>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</si>
  <si>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</si>
  <si>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</si>
  <si>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</si>
  <si>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</si>
  <si>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</si>
  <si>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</si>
  <si>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</si>
  <si>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</si>
  <si>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</si>
  <si>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</si>
  <si>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</si>
  <si>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</si>
  <si>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</si>
  <si>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</si>
  <si>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</si>
  <si>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</si>
  <si>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</si>
  <si>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</si>
  <si>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</si>
  <si>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</si>
  <si>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</si>
  <si>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</si>
  <si>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</si>
  <si>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</si>
  <si>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</si>
  <si>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</si>
  <si>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</si>
  <si>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</si>
  <si>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</si>
  <si>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</si>
  <si>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</si>
  <si>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</si>
  <si>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</si>
  <si>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</si>
  <si>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</si>
  <si>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</si>
  <si>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</si>
  <si>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</si>
  <si>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</si>
  <si>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</si>
  <si>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</si>
  <si>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</si>
  <si>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</si>
  <si>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</si>
  <si>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</si>
  <si>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</si>
  <si>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</si>
  <si>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</si>
  <si>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</si>
  <si>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</si>
  <si>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</si>
  <si>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</si>
  <si>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</si>
  <si>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</si>
  <si>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</si>
  <si>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</si>
  <si>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</si>
  <si>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</si>
  <si>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</si>
  <si>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</si>
  <si>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</si>
  <si>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</si>
  <si>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</si>
  <si>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</si>
  <si>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</si>
  <si>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</si>
  <si>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</si>
  <si>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</si>
  <si>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</si>
  <si>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</si>
  <si>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</si>
  <si>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</si>
  <si>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</si>
  <si>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</si>
  <si>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</si>
  <si>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</si>
  <si>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</si>
  <si>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</si>
  <si>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</si>
  <si>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</si>
  <si>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</si>
  <si>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</si>
  <si>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</si>
  <si>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</si>
  <si>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</si>
  <si>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</si>
  <si>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</si>
  <si>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</si>
  <si>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</si>
  <si>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</si>
  <si>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</si>
  <si>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</si>
  <si>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</si>
  <si>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</si>
  <si>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</si>
  <si>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</si>
  <si>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</si>
  <si>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</si>
  <si>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</si>
  <si>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</si>
  <si>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</si>
  <si>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</si>
  <si>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</si>
  <si>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</si>
  <si>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</si>
  <si>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</si>
  <si>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</si>
  <si>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</si>
  <si>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</si>
  <si>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</si>
  <si>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</si>
  <si>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</si>
  <si>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</si>
  <si>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</si>
  <si>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</si>
  <si>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</si>
  <si>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</si>
  <si>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</si>
  <si>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</si>
  <si>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</si>
  <si>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</si>
  <si>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</si>
  <si>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</si>
  <si>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</si>
  <si>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</si>
  <si>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</si>
  <si>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</si>
  <si>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</si>
  <si>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</si>
  <si>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</si>
  <si>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</si>
  <si>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</si>
  <si>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</si>
  <si>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</si>
  <si>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</si>
  <si>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</si>
  <si>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</si>
  <si>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</si>
  <si>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</si>
  <si>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</si>
  <si>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</si>
  <si>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</si>
  <si>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</si>
  <si>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</si>
  <si>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</si>
  <si>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</si>
  <si>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</si>
  <si>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</si>
  <si>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</si>
  <si>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</si>
  <si>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</si>
  <si>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</si>
  <si>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</si>
  <si>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</si>
  <si>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</si>
  <si>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</si>
  <si>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</si>
  <si>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</si>
  <si>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</si>
  <si>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</si>
  <si>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</si>
  <si>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</si>
  <si>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</si>
  <si>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</si>
  <si>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</si>
  <si>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</si>
  <si>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</si>
  <si>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</si>
  <si>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</si>
  <si>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</si>
  <si>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</si>
  <si>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</si>
  <si>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</si>
  <si>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</si>
  <si>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</si>
  <si>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</si>
  <si>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</si>
  <si>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</si>
  <si>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</si>
  <si>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</si>
  <si>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</si>
  <si>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</si>
  <si>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</si>
  <si>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</si>
  <si>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</si>
  <si>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</si>
  <si>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</si>
  <si>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</si>
  <si>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</si>
  <si>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</si>
  <si>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</si>
  <si>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</si>
  <si>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</si>
  <si>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</si>
  <si>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</si>
  <si>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</si>
  <si>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</si>
  <si>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</si>
  <si>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</si>
  <si>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</si>
  <si>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</si>
  <si>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</si>
  <si>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</si>
  <si>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</si>
  <si>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</si>
  <si>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</si>
  <si>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</si>
  <si>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</si>
  <si>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</si>
  <si>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</si>
  <si>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</si>
  <si>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</si>
  <si>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</si>
  <si>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</si>
  <si>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</si>
  <si>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</si>
  <si>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</si>
  <si>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</si>
  <si>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</si>
  <si>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</si>
  <si>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</si>
  <si>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</si>
  <si>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</si>
  <si>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</si>
  <si>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</si>
  <si>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</si>
  <si>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</si>
  <si>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</si>
  <si>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</si>
  <si>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</si>
  <si>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</si>
  <si>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</si>
  <si>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</si>
  <si>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</si>
  <si>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</si>
  <si>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</si>
  <si>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</si>
  <si>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</si>
  <si>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</si>
  <si>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</si>
  <si>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</si>
  <si>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</si>
  <si>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</si>
  <si>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</si>
  <si>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</si>
  <si>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</si>
  <si>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</si>
  <si>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</si>
  <si>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</si>
  <si>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</si>
  <si>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</si>
  <si>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</si>
  <si>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</si>
  <si>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</si>
  <si>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</si>
  <si>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</si>
  <si>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</si>
  <si>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</si>
  <si>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</si>
  <si>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</si>
  <si>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</si>
  <si>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</si>
  <si>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</si>
  <si>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</si>
  <si>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</si>
  <si>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</si>
  <si>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</si>
  <si>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</si>
  <si>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</si>
  <si>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</si>
  <si>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</si>
  <si>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</si>
  <si>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</si>
  <si>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</si>
  <si>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</si>
  <si>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</si>
  <si>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</si>
  <si>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</si>
  <si>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</si>
  <si>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</si>
  <si>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</si>
  <si>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</si>
  <si>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</si>
  <si>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</si>
  <si>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</si>
  <si>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</si>
  <si>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</si>
  <si>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</si>
  <si>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</si>
  <si>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</si>
  <si>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</si>
  <si>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</si>
  <si>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</si>
  <si>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</si>
  <si>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</si>
  <si>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</si>
  <si>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</si>
  <si>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</si>
  <si>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</si>
  <si>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</si>
  <si>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</si>
  <si>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</si>
  <si>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</si>
  <si>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</si>
  <si>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</si>
  <si>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</si>
  <si>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</si>
  <si>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</si>
  <si>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</si>
  <si>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</si>
  <si>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</si>
  <si>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</si>
  <si>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</si>
  <si>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</si>
  <si>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</si>
  <si>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</si>
  <si>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</si>
  <si>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</si>
  <si>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</si>
  <si>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</si>
  <si>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</si>
  <si>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</si>
  <si>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</si>
  <si>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</si>
  <si>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</si>
  <si>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</si>
  <si>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</si>
  <si>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</si>
  <si>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</si>
  <si>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</si>
  <si>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</si>
  <si>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</si>
  <si>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</si>
  <si>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</si>
  <si>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</si>
  <si>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</si>
  <si>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</si>
  <si>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</si>
  <si>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</si>
  <si>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</si>
  <si>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</si>
  <si>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</si>
  <si>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</si>
  <si>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</si>
  <si>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</si>
  <si>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</si>
  <si>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</si>
  <si>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</si>
  <si>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</si>
  <si>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</si>
  <si>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</si>
  <si>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</si>
  <si>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</si>
  <si>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</si>
  <si>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</si>
  <si>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</si>
  <si>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</si>
  <si>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</si>
  <si>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</si>
  <si>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</si>
  <si>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</si>
  <si>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</si>
  <si>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</si>
  <si>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</si>
  <si>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</si>
  <si>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</si>
  <si>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</si>
  <si>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</si>
  <si>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</si>
  <si>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</si>
  <si>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</si>
  <si>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</si>
  <si>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</si>
  <si>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</si>
  <si>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</si>
  <si>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</si>
  <si>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</si>
  <si>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</si>
  <si>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</si>
  <si>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</si>
  <si>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</si>
  <si>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</si>
  <si>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</si>
  <si>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</si>
  <si>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</si>
  <si>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</si>
  <si>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</si>
  <si>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</si>
  <si>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</si>
  <si>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</si>
  <si>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</si>
  <si>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</si>
  <si>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</si>
  <si>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</si>
  <si>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</si>
  <si>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</si>
  <si>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</si>
  <si>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</si>
  <si>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</si>
  <si>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</si>
  <si>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</si>
  <si>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</si>
  <si>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</si>
  <si>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</si>
  <si>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</si>
  <si>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</si>
  <si>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</si>
  <si>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</si>
  <si>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</si>
  <si>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</si>
  <si>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</si>
  <si>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</si>
  <si>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</si>
  <si>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</si>
  <si>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</si>
  <si>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</si>
  <si>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</si>
  <si>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</si>
  <si>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</si>
  <si>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</si>
  <si>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</si>
  <si>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</si>
  <si>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</si>
  <si>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</si>
  <si>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</si>
  <si>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</si>
  <si>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</si>
  <si>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</si>
  <si>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</si>
  <si>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</si>
  <si>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</si>
  <si>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</si>
  <si>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</si>
  <si>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</si>
  <si>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</si>
  <si>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</si>
  <si>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</si>
  <si>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</si>
  <si>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</si>
  <si>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</si>
  <si>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</si>
  <si>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</si>
  <si>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</si>
  <si>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</si>
  <si>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</si>
  <si>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</si>
  <si>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</si>
  <si>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</si>
  <si>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</si>
  <si>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</si>
  <si>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</si>
  <si>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</si>
  <si>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</si>
  <si>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</si>
  <si>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</si>
  <si>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</si>
  <si>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</si>
  <si>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</si>
  <si>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</si>
  <si>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</si>
  <si>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</si>
  <si>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</si>
  <si>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</si>
  <si>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</si>
  <si>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</si>
  <si>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</si>
  <si>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</si>
  <si>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</si>
  <si>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</si>
  <si>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</si>
  <si>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</si>
  <si>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</si>
  <si>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</si>
  <si>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</si>
  <si>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</si>
  <si>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</si>
  <si>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</si>
  <si>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</si>
  <si>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</si>
  <si>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</si>
  <si>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</si>
  <si>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</si>
  <si>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</si>
  <si>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</si>
  <si>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</si>
  <si>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</si>
  <si>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</si>
  <si>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</si>
  <si>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</si>
  <si>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</si>
  <si>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</si>
  <si>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</si>
  <si>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</si>
  <si>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</si>
  <si>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</si>
  <si>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</si>
  <si>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</si>
  <si>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</si>
  <si>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</si>
  <si>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</si>
  <si>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</si>
  <si>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</si>
  <si>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</si>
  <si>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</si>
  <si>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</si>
  <si>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</si>
  <si>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</si>
  <si>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</si>
  <si>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</si>
  <si>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</si>
  <si>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</si>
  <si>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</si>
  <si>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</si>
  <si>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</si>
  <si>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</si>
  <si>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</si>
  <si>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</si>
  <si>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</si>
  <si>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</si>
  <si>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</si>
  <si>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</si>
  <si>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</si>
  <si>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</si>
  <si>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</si>
  <si>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</si>
  <si>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</si>
  <si>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</si>
  <si>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</si>
  <si>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</si>
  <si>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</si>
  <si>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</si>
  <si>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</si>
  <si>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</si>
  <si>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</si>
  <si>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</si>
  <si>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</si>
  <si>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</si>
  <si>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</si>
  <si>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</si>
  <si>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</si>
  <si>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</si>
  <si>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</si>
  <si>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</si>
  <si>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</si>
  <si>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</si>
  <si>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</si>
  <si>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</si>
  <si>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</si>
  <si>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</si>
  <si>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</si>
  <si>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</si>
  <si>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</si>
  <si>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</si>
  <si>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</si>
  <si>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</si>
  <si>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</si>
  <si>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</si>
  <si>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</si>
  <si>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</si>
  <si>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</si>
  <si>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t>FZX-0703-6031、FZX-0703-6032地块</t>
  </si>
  <si>
    <t>FZX-0703-6002地块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</si>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</sst>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4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171" fillId="0" borderId="0" xfId="0" applyFont="1" applyAlignment="1" applyProtection="1">
      <alignment horizontal="right" vertical="center"/>
      <protection locked="0"/>
    </xf>
    <xf numFmtId="0" fontId="138" fillId="0" borderId="0" xfId="0" applyFont="1" applyAlignment="1">
      <alignment horizontal="left" vertical="center" wrapText="1"/>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31"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94" fillId="0" borderId="14" xfId="0" applyFont="1" applyBorder="1" applyAlignment="1" applyProtection="1">
      <alignment horizontal="center" vertical="center" wrapText="1"/>
      <protection locked="0"/>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79" fontId="31" fillId="6" borderId="46" xfId="14" applyNumberFormat="1" applyFont="1" applyFill="1" applyBorder="1" applyAlignment="1">
      <alignment horizontal="left" vertical="center" wrapText="1"/>
    </xf>
    <xf numFmtId="179" fontId="31" fillId="6" borderId="35"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58418.090400000001</v>
      </c>
    </row>
    <row r="21" spans="1:2">
      <c r="A21" s="4285" t="s">
        <v>21</v>
      </c>
      <c r="B21" s="4286">
        <f ca="1">'预评函-2'!D7</f>
        <v>8754</v>
      </c>
    </row>
    <row r="22" spans="1:2">
      <c r="A22" s="4285" t="s">
        <v>22</v>
      </c>
      <c r="B22" s="4286" t="str">
        <f ca="1">'预评函-2'!D6</f>
        <v>伍亿捌仟肆佰壹拾捌万零玖佰零肆元整</v>
      </c>
    </row>
    <row r="23" spans="1:2">
      <c r="A23" s="4285" t="s">
        <v>23</v>
      </c>
      <c r="B23" s="4286" t="str">
        <f>'预评函-2'!B8</f>
        <v>2.估价师知悉的法定优先受偿款</v>
      </c>
    </row>
    <row r="24" spans="1:2">
      <c r="A24" s="4285" t="s">
        <v>24</v>
      </c>
      <c r="B24" s="4286">
        <f>'预评函-2'!D8</f>
        <v>849</v>
      </c>
    </row>
    <row r="25" spans="1:2">
      <c r="A25" s="4285" t="s">
        <v>25</v>
      </c>
      <c r="B25" s="4286" t="str">
        <f>'预评函-2'!D9</f>
        <v>捌佰肆拾玖万元整</v>
      </c>
    </row>
    <row r="26" spans="1:2">
      <c r="A26" s="4285" t="s">
        <v>26</v>
      </c>
      <c r="B26" s="4286">
        <f>'预评函-2'!D10</f>
        <v>0</v>
      </c>
    </row>
    <row r="27" spans="1:2">
      <c r="A27" s="4285" t="s">
        <v>27</v>
      </c>
      <c r="B27" s="4286">
        <f>'预评函-2'!D11</f>
        <v>0</v>
      </c>
    </row>
    <row r="28" spans="1:2">
      <c r="A28" s="4285" t="s">
        <v>28</v>
      </c>
      <c r="B28" s="4286">
        <f>'预评函-2'!D12</f>
        <v>849</v>
      </c>
    </row>
    <row r="29" spans="1:2">
      <c r="A29" s="4285" t="s">
        <v>29</v>
      </c>
      <c r="B29" s="4286" t="str">
        <f>'预评函-2'!B13</f>
        <v>3.房地产抵押价值</v>
      </c>
    </row>
    <row r="30" spans="1:2">
      <c r="A30" s="4285" t="s">
        <v>30</v>
      </c>
      <c r="B30" s="4286">
        <f ca="1">'预评函-2'!D13</f>
        <v>57569.090400000001</v>
      </c>
    </row>
    <row r="31" spans="1:2">
      <c r="A31" s="4285" t="s">
        <v>31</v>
      </c>
      <c r="B31" s="4286">
        <f ca="1">'预评函-2'!D15</f>
        <v>22285</v>
      </c>
    </row>
    <row r="32" spans="1:2">
      <c r="A32" s="4285" t="s">
        <v>32</v>
      </c>
      <c r="B32" s="4286" t="str">
        <f ca="1">'预评函-2'!D14</f>
        <v>伍亿柒仟伍佰陆拾玖万零玖佰零肆元整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25832.71</v>
      </c>
    </row>
    <row r="44" spans="1:2" ht="31.2">
      <c r="A44" s="4285" t="s">
        <v>44</v>
      </c>
      <c r="B44" s="4286" t="str">
        <f>'预评函-3'!C2</f>
        <v>(分摊)土地面积</v>
      </c>
    </row>
    <row r="45" spans="1:2">
      <c r="A45" s="4285" t="s">
        <v>45</v>
      </c>
      <c r="B45" s="4286">
        <f>'预评函-3'!C4</f>
        <v>11094.04</v>
      </c>
    </row>
    <row r="46" spans="1:2">
      <c r="A46" s="4285" t="s">
        <v>46</v>
      </c>
      <c r="B46" s="4286" t="str">
        <f>'预评函-3'!D2</f>
        <v>出让国有建设用地使用权价值</v>
      </c>
    </row>
    <row r="47" spans="1:2">
      <c r="A47" s="4285" t="s">
        <v>47</v>
      </c>
      <c r="B47" s="4286" t="e">
        <f ca="1">'预评函-3'!D4</f>
        <v>#REF!</v>
      </c>
    </row>
    <row r="48" spans="1:2">
      <c r="A48" s="4285" t="s">
        <v>48</v>
      </c>
      <c r="B48" s="4286" t="e">
        <f ca="1">'预评函-3'!E4</f>
        <v>#REF!</v>
      </c>
    </row>
    <row r="49" spans="1:2">
      <c r="A49" s="4285" t="s">
        <v>49</v>
      </c>
      <c r="B49" s="4286" t="e">
        <f ca="1">'预评函-3'!D5</f>
        <v>#REF!</v>
      </c>
    </row>
    <row r="50" spans="1:2">
      <c r="A50" s="4285" t="s">
        <v>50</v>
      </c>
      <c r="B50" s="4286">
        <f>'预评函-3'!F2</f>
        <v>0</v>
      </c>
    </row>
    <row r="51" spans="1:2">
      <c r="A51" s="4285" t="s">
        <v>51</v>
      </c>
      <c r="B51" s="4286" t="e">
        <f ca="1">'预评函-3'!F4</f>
        <v>#REF!</v>
      </c>
    </row>
    <row r="52" spans="1:2">
      <c r="A52" s="4285" t="s">
        <v>52</v>
      </c>
      <c r="B52" s="4286" t="e">
        <f ca="1">'预评函-3'!G4</f>
        <v>#REF!</v>
      </c>
    </row>
    <row r="53" spans="1:2">
      <c r="A53" s="4285" t="s">
        <v>53</v>
      </c>
      <c r="B53" s="4286" t="e">
        <f ca="1">'预评函-3'!F5</f>
        <v>#REF!</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故，本次评估估价师知悉的法定优先受偿款为人民币849万元整。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36"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6"/>
      <c r="B54" s="4181" t="s">
        <v>372</v>
      </c>
      <c r="C54" s="4170" t="s">
        <v>373</v>
      </c>
    </row>
    <row r="55" spans="1:4">
      <c r="A55" s="4336"/>
      <c r="B55" s="4181" t="s">
        <v>374</v>
      </c>
      <c r="C55" s="4170" t="s">
        <v>375</v>
      </c>
    </row>
    <row r="56" spans="1:4">
      <c r="A56" s="4336"/>
      <c r="B56" s="4181" t="s">
        <v>376</v>
      </c>
      <c r="C56" s="4170" t="s">
        <v>377</v>
      </c>
    </row>
    <row r="57" spans="1:4">
      <c r="A57" s="4336"/>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37" t="s">
        <v>382</v>
      </c>
      <c r="J2" s="4338"/>
      <c r="K2" s="4338"/>
      <c r="L2" s="4338"/>
      <c r="M2" s="4338"/>
      <c r="N2" s="4338"/>
      <c r="O2" s="4338"/>
      <c r="P2" s="4338"/>
      <c r="Q2" s="4338"/>
      <c r="R2" s="4339"/>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37" t="s">
        <v>403</v>
      </c>
      <c r="J8" s="4338"/>
      <c r="K8" s="4338"/>
      <c r="L8" s="4338"/>
      <c r="M8" s="4338"/>
      <c r="N8" s="4338"/>
      <c r="O8" s="4338"/>
      <c r="P8" s="4338"/>
      <c r="Q8" s="4338"/>
      <c r="R8" s="4339"/>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42"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43"/>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43"/>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43"/>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43"/>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43"/>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43"/>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43"/>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44"/>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0" t="s">
        <v>472</v>
      </c>
      <c r="J49" s="4340"/>
      <c r="K49" s="4340"/>
      <c r="L49" s="4340"/>
      <c r="M49" s="4340"/>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41" t="s">
        <v>496</v>
      </c>
      <c r="J57" s="4341"/>
      <c r="K57" s="4341"/>
      <c r="L57" s="4341"/>
      <c r="M57" s="4341"/>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8"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57"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58"/>
      <c r="D1" s="4358"/>
      <c r="E1" s="4358"/>
      <c r="F1" s="4358"/>
      <c r="G1" s="4358"/>
      <c r="H1" s="4358"/>
      <c r="I1" s="4359"/>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72" t="s">
        <v>519</v>
      </c>
      <c r="E8" s="3937" t="s">
        <v>372</v>
      </c>
      <c r="F8" s="3938"/>
      <c r="G8" s="3782"/>
      <c r="H8" s="3782"/>
      <c r="I8" s="3782"/>
      <c r="J8" s="3551"/>
      <c r="K8" s="3939"/>
      <c r="L8" s="3931"/>
      <c r="M8" s="3931"/>
      <c r="N8" s="3551"/>
      <c r="O8" s="3350"/>
      <c r="P8" s="3551"/>
      <c r="Q8" s="3551"/>
      <c r="R8" s="3551"/>
    </row>
    <row r="9" spans="1:30">
      <c r="A9" s="3940" t="s">
        <v>520</v>
      </c>
      <c r="B9" s="3941" t="s">
        <v>372</v>
      </c>
      <c r="C9" s="3942"/>
      <c r="D9" s="4373"/>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60"/>
      <c r="C16" s="4361"/>
      <c r="D16" s="4362"/>
      <c r="E16" s="3968" t="s">
        <v>540</v>
      </c>
      <c r="F16" s="4363"/>
      <c r="G16" s="4364"/>
      <c r="H16" s="4364"/>
      <c r="I16" s="4365"/>
      <c r="J16" s="3551"/>
      <c r="K16" s="3969"/>
      <c r="L16" s="3350"/>
      <c r="M16" s="3350"/>
      <c r="N16" s="3551"/>
      <c r="O16" s="3350"/>
      <c r="P16" s="3551"/>
      <c r="Q16" s="3551"/>
      <c r="R16" s="3551"/>
    </row>
    <row r="17" spans="1:28">
      <c r="A17" s="1943" t="s">
        <v>541</v>
      </c>
      <c r="B17" s="1937" t="s">
        <v>542</v>
      </c>
      <c r="C17" s="3898">
        <f>'数据-汇总表'!E3</f>
        <v>25832.71</v>
      </c>
      <c r="D17" s="2054" t="s">
        <v>543</v>
      </c>
      <c r="E17" s="4366" t="s">
        <v>544</v>
      </c>
      <c r="F17" s="4367"/>
      <c r="G17" s="4367"/>
      <c r="H17" s="4367"/>
      <c r="I17" s="4368"/>
      <c r="J17" s="3551"/>
      <c r="K17" s="3970"/>
      <c r="L17" s="3350"/>
      <c r="M17" s="3350"/>
      <c r="N17" s="3551"/>
      <c r="O17" s="3350"/>
      <c r="P17" s="3551"/>
      <c r="Q17" s="3551"/>
      <c r="R17" s="3551"/>
      <c r="S17" s="3551"/>
      <c r="T17" s="3551"/>
      <c r="U17" s="3551"/>
      <c r="V17" s="3551"/>
    </row>
    <row r="18" spans="1:28" ht="24">
      <c r="A18" s="3971" t="s">
        <v>545</v>
      </c>
      <c r="B18" s="1960" t="s">
        <v>546</v>
      </c>
      <c r="C18" s="3972">
        <f>'数据-汇总表'!D3</f>
        <v>11094.04</v>
      </c>
      <c r="D18" s="2003" t="s">
        <v>543</v>
      </c>
      <c r="E18" s="4369" t="s">
        <v>547</v>
      </c>
      <c r="F18" s="4370"/>
      <c r="G18" s="4370"/>
      <c r="H18" s="4370"/>
      <c r="I18" s="4371"/>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47" t="s">
        <v>552</v>
      </c>
      <c r="C20" s="4348"/>
      <c r="D20" s="4349" t="s">
        <v>553</v>
      </c>
      <c r="E20" s="4350"/>
      <c r="F20" s="3979" t="s">
        <v>554</v>
      </c>
      <c r="G20" s="3782"/>
      <c r="H20" s="3782"/>
      <c r="I20" s="3782"/>
      <c r="J20" s="3551"/>
      <c r="K20" s="4345"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45"/>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45"/>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53"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53"/>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53"/>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54"/>
      <c r="B30" s="1937" t="s">
        <v>570</v>
      </c>
      <c r="C30" s="4351"/>
      <c r="D30" s="4352"/>
      <c r="E30" s="3782"/>
      <c r="F30" s="3782"/>
      <c r="G30" s="3782"/>
      <c r="H30" s="3782"/>
      <c r="I30" s="3782"/>
      <c r="J30" s="3551"/>
      <c r="K30" s="3933"/>
      <c r="L30" s="3931"/>
      <c r="M30" s="3931"/>
      <c r="N30" s="3551"/>
      <c r="O30" s="3350"/>
      <c r="P30" s="3551"/>
      <c r="Q30" s="3551"/>
      <c r="R30" s="3551"/>
      <c r="S30" s="3551"/>
      <c r="T30" s="3551"/>
      <c r="U30" s="3551"/>
      <c r="V30" s="3551"/>
    </row>
    <row r="31" spans="1:28">
      <c r="A31" s="4355"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56"/>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56"/>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46" t="s">
        <v>580</v>
      </c>
      <c r="T34" s="2072" t="str">
        <f>NUMBERSTRING(7-K34,1)&amp;"通"</f>
        <v>七通</v>
      </c>
      <c r="U34" s="3551"/>
      <c r="V34" s="3551"/>
    </row>
    <row r="35" spans="1:30">
      <c r="A35" s="1997"/>
      <c r="B35" s="4346" t="s">
        <v>581</v>
      </c>
      <c r="C35" s="4346"/>
      <c r="D35" s="4346"/>
      <c r="E35" s="4346"/>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46"/>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34"/>
  <sheetViews>
    <sheetView topLeftCell="A16" workbookViewId="0">
      <selection activeCell="M25" sqref="M25"/>
    </sheetView>
  </sheetViews>
  <sheetFormatPr defaultColWidth="9" defaultRowHeight="14.4"/>
  <cols>
    <col min="1" max="2" width="13.88671875" customWidth="1"/>
    <col min="5" max="5" width="10.77734375" customWidth="1"/>
    <col min="6" max="6" width="13" customWidth="1"/>
  </cols>
  <sheetData>
    <row r="2" spans="1:19">
      <c r="A2" s="4292" t="s">
        <v>3468</v>
      </c>
      <c r="B2" s="4292" t="s">
        <v>3472</v>
      </c>
      <c r="C2" s="4292" t="s">
        <v>3447</v>
      </c>
      <c r="D2" s="4292" t="s">
        <v>3452</v>
      </c>
      <c r="E2" s="4292" t="s">
        <v>3463</v>
      </c>
      <c r="F2" s="4292" t="s">
        <v>3448</v>
      </c>
      <c r="G2" s="4292" t="s">
        <v>3453</v>
      </c>
      <c r="H2" s="4292" t="s">
        <v>3462</v>
      </c>
    </row>
    <row r="3" spans="1:19">
      <c r="A3" s="4292" t="s">
        <v>3446</v>
      </c>
      <c r="B3" s="4292">
        <f>SUM(C3:H3)</f>
        <v>3510.5299999999997</v>
      </c>
      <c r="C3" s="4293">
        <v>3128.24</v>
      </c>
      <c r="D3" s="4293"/>
      <c r="E3" s="4293"/>
      <c r="F3" s="4293">
        <v>382.29</v>
      </c>
      <c r="G3" s="4293"/>
      <c r="H3" s="4293"/>
    </row>
    <row r="4" spans="1:19">
      <c r="A4" s="4292" t="s">
        <v>3450</v>
      </c>
      <c r="B4" s="4292">
        <f t="shared" ref="B4:B10" si="0">SUM(C4:H4)</f>
        <v>5019.54</v>
      </c>
      <c r="C4" s="4293">
        <v>4470.5</v>
      </c>
      <c r="D4" s="4293"/>
      <c r="E4" s="4293"/>
      <c r="F4" s="4293">
        <v>549.04</v>
      </c>
      <c r="G4" s="4293"/>
      <c r="H4" s="4293"/>
      <c r="N4" s="255" t="s">
        <v>2183</v>
      </c>
      <c r="P4" s="1844">
        <v>1</v>
      </c>
      <c r="Q4" s="1844">
        <v>0.9</v>
      </c>
      <c r="R4" s="1844">
        <v>0.8</v>
      </c>
      <c r="S4" s="1844">
        <v>0.7</v>
      </c>
    </row>
    <row r="5" spans="1:19">
      <c r="A5" s="4292" t="s">
        <v>3451</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3454</v>
      </c>
      <c r="B6" s="4292">
        <f t="shared" si="0"/>
        <v>4501.1399999999994</v>
      </c>
      <c r="C6" s="4293">
        <v>3941.46</v>
      </c>
      <c r="D6" s="4293">
        <v>542.28</v>
      </c>
      <c r="E6" s="4293"/>
      <c r="F6" s="4293"/>
      <c r="G6" s="4293">
        <v>17.399999999999999</v>
      </c>
      <c r="H6" s="4293"/>
      <c r="N6">
        <v>100</v>
      </c>
    </row>
    <row r="7" spans="1:19">
      <c r="A7" s="4292" t="s">
        <v>3455</v>
      </c>
      <c r="B7" s="4292">
        <f t="shared" si="0"/>
        <v>3258.04</v>
      </c>
      <c r="C7" s="4293">
        <v>2666.4</v>
      </c>
      <c r="D7" s="4293">
        <v>591.64</v>
      </c>
      <c r="E7" s="4293"/>
      <c r="F7" s="4293"/>
      <c r="G7" s="4293"/>
      <c r="H7" s="4293"/>
      <c r="P7">
        <f>P5*R7/R5</f>
        <v>125</v>
      </c>
      <c r="Q7">
        <f>Q5*R7/R5</f>
        <v>112.5</v>
      </c>
      <c r="R7">
        <v>100</v>
      </c>
    </row>
    <row r="8" spans="1:19">
      <c r="A8" s="4292" t="s">
        <v>3456</v>
      </c>
      <c r="B8" s="4292">
        <f t="shared" si="0"/>
        <v>4485.7</v>
      </c>
      <c r="C8" s="4293">
        <v>3946.52</v>
      </c>
      <c r="D8" s="4293">
        <v>539.17999999999995</v>
      </c>
      <c r="E8" s="4293"/>
      <c r="F8" s="4293"/>
      <c r="G8" s="4293"/>
      <c r="H8" s="4293"/>
    </row>
    <row r="9" spans="1:19">
      <c r="A9" s="4292" t="s">
        <v>3457</v>
      </c>
      <c r="B9" s="4292">
        <f t="shared" si="0"/>
        <v>4533.5199999999995</v>
      </c>
      <c r="C9" s="4293">
        <v>3941.62</v>
      </c>
      <c r="D9" s="4293">
        <v>591.9</v>
      </c>
      <c r="E9" s="4293"/>
      <c r="F9" s="4293"/>
      <c r="G9" s="4293"/>
      <c r="H9" s="4293"/>
    </row>
    <row r="10" spans="1:19">
      <c r="A10" s="4292" t="s">
        <v>3458</v>
      </c>
      <c r="B10" s="4292">
        <f t="shared" si="0"/>
        <v>4975.08</v>
      </c>
      <c r="C10" s="4293">
        <v>4407.3599999999997</v>
      </c>
      <c r="D10" s="4293">
        <v>567.72</v>
      </c>
      <c r="E10" s="4293"/>
      <c r="F10" s="4293"/>
      <c r="G10" s="4293"/>
      <c r="H10" s="4293"/>
    </row>
    <row r="11" spans="1:19">
      <c r="A11" s="4292" t="s">
        <v>3459</v>
      </c>
      <c r="B11" s="4292">
        <f t="shared" ref="B11:B14" si="1">SUM(C11:H11)</f>
        <v>4654.18</v>
      </c>
      <c r="C11" s="4293">
        <v>4082.23</v>
      </c>
      <c r="D11" s="4293">
        <v>565.41</v>
      </c>
      <c r="E11" s="4293"/>
      <c r="F11" s="4293"/>
      <c r="G11" s="4293"/>
      <c r="H11" s="4293">
        <v>6.54</v>
      </c>
    </row>
    <row r="12" spans="1:19">
      <c r="A12" s="4292" t="s">
        <v>3460</v>
      </c>
      <c r="B12" s="4292">
        <f t="shared" si="1"/>
        <v>191.75</v>
      </c>
      <c r="C12" s="4293"/>
      <c r="D12" s="4293"/>
      <c r="E12" s="4293"/>
      <c r="F12" s="4293"/>
      <c r="G12" s="4293">
        <f>151.09+40.66</f>
        <v>191.75</v>
      </c>
      <c r="H12" s="4293"/>
    </row>
    <row r="13" spans="1:19">
      <c r="A13" s="4292" t="s">
        <v>3461</v>
      </c>
      <c r="B13" s="4292">
        <f t="shared" si="1"/>
        <v>942.14999999999986</v>
      </c>
      <c r="C13" s="4293"/>
      <c r="D13" s="4293"/>
      <c r="E13" s="4293"/>
      <c r="F13" s="4293"/>
      <c r="G13" s="4293"/>
      <c r="H13" s="4293">
        <f>89.19+733.92+61.17+57.87</f>
        <v>942.14999999999986</v>
      </c>
    </row>
    <row r="14" spans="1:19">
      <c r="A14" s="4292" t="s">
        <v>3464</v>
      </c>
      <c r="B14" s="4292">
        <f t="shared" si="1"/>
        <v>11510.73</v>
      </c>
      <c r="C14" s="4293"/>
      <c r="D14" s="4293"/>
      <c r="E14" s="4293">
        <v>10927.01</v>
      </c>
      <c r="F14" s="4293"/>
      <c r="G14" s="4293"/>
      <c r="H14" s="4293">
        <f>568.33+15.39</f>
        <v>583.72</v>
      </c>
    </row>
    <row r="15" spans="1:19">
      <c r="A15" s="4292" t="s">
        <v>3449</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3465</v>
      </c>
      <c r="B16" s="4295">
        <f>'数据-基础表'!A13</f>
        <v>18406.14</v>
      </c>
    </row>
    <row r="17" spans="1:8">
      <c r="A17" s="4294" t="s">
        <v>3466</v>
      </c>
      <c r="B17">
        <f>'数据-基础表'!G13</f>
        <v>35173.64</v>
      </c>
    </row>
    <row r="18" spans="1:8">
      <c r="A18" s="4294" t="s">
        <v>3467</v>
      </c>
      <c r="B18">
        <f>ROUND(B17/B15*B16,2)</f>
        <v>12703.37</v>
      </c>
    </row>
    <row r="22" spans="1:8">
      <c r="A22" s="4292" t="s">
        <v>3469</v>
      </c>
      <c r="B22" s="4292" t="s">
        <v>3472</v>
      </c>
      <c r="C22" s="4292" t="s">
        <v>3447</v>
      </c>
      <c r="D22" s="4292" t="s">
        <v>3452</v>
      </c>
      <c r="E22" s="4292" t="s">
        <v>3463</v>
      </c>
      <c r="F22" s="4292" t="s">
        <v>3448</v>
      </c>
      <c r="G22" s="4292" t="s">
        <v>3453</v>
      </c>
      <c r="H22" s="4292" t="s">
        <v>3462</v>
      </c>
    </row>
    <row r="23" spans="1:8">
      <c r="A23" s="4292" t="s">
        <v>3446</v>
      </c>
      <c r="B23" s="4292">
        <f>SUM(C23:H23)</f>
        <v>3570.76</v>
      </c>
      <c r="C23" s="4293">
        <v>3570.76</v>
      </c>
      <c r="D23" s="4293"/>
      <c r="E23" s="4293"/>
      <c r="F23" s="4293"/>
      <c r="G23" s="4293"/>
      <c r="H23" s="4293"/>
    </row>
    <row r="24" spans="1:8">
      <c r="A24" s="4292" t="s">
        <v>3450</v>
      </c>
      <c r="B24" s="4292">
        <f t="shared" ref="B24:B30" si="3">SUM(C24:H24)</f>
        <v>5310.1</v>
      </c>
      <c r="C24" s="4293">
        <v>5310.1</v>
      </c>
      <c r="D24" s="4293"/>
      <c r="E24" s="4293"/>
      <c r="F24" s="4293"/>
      <c r="G24" s="4293"/>
      <c r="H24" s="4293"/>
    </row>
    <row r="25" spans="1:8">
      <c r="A25" s="4292" t="s">
        <v>3451</v>
      </c>
      <c r="B25" s="4292">
        <f t="shared" si="3"/>
        <v>5106.7700000000004</v>
      </c>
      <c r="C25" s="4293">
        <v>5106.7700000000004</v>
      </c>
      <c r="D25" s="4293"/>
      <c r="E25" s="4293"/>
      <c r="F25" s="4293"/>
      <c r="G25" s="4293"/>
      <c r="H25" s="4293"/>
    </row>
    <row r="26" spans="1:8">
      <c r="A26" s="4292" t="s">
        <v>3454</v>
      </c>
      <c r="B26" s="4292">
        <f t="shared" si="3"/>
        <v>4853.17</v>
      </c>
      <c r="C26" s="4293">
        <v>4420.38</v>
      </c>
      <c r="D26" s="4293"/>
      <c r="E26" s="4293"/>
      <c r="F26" s="4293">
        <v>432.79</v>
      </c>
      <c r="G26" s="4293"/>
      <c r="H26" s="4293"/>
    </row>
    <row r="27" spans="1:8">
      <c r="A27" s="4292" t="s">
        <v>3455</v>
      </c>
      <c r="B27" s="4292">
        <f t="shared" si="3"/>
        <v>3034.47</v>
      </c>
      <c r="C27" s="4293">
        <v>2987.2</v>
      </c>
      <c r="D27" s="4293"/>
      <c r="E27" s="4293"/>
      <c r="F27" s="4293"/>
      <c r="G27" s="4293"/>
      <c r="H27" s="4293">
        <f>16.38+22.03+8.86</f>
        <v>47.269999999999996</v>
      </c>
    </row>
    <row r="28" spans="1:8">
      <c r="A28" s="4292" t="s">
        <v>3456</v>
      </c>
      <c r="B28" s="4292">
        <f t="shared" si="3"/>
        <v>3072.5499999999997</v>
      </c>
      <c r="C28" s="4293">
        <v>2442.2399999999998</v>
      </c>
      <c r="D28" s="4293"/>
      <c r="E28" s="4293"/>
      <c r="F28" s="4293">
        <v>630.30999999999995</v>
      </c>
      <c r="G28" s="4293"/>
      <c r="H28" s="4293"/>
    </row>
    <row r="29" spans="1:8">
      <c r="A29" s="4292" t="s">
        <v>3470</v>
      </c>
      <c r="B29" s="4292">
        <f t="shared" si="3"/>
        <v>308.24</v>
      </c>
      <c r="C29" s="4293"/>
      <c r="D29" s="4293"/>
      <c r="E29" s="4293"/>
      <c r="F29" s="4293"/>
      <c r="G29" s="4293">
        <v>308.24</v>
      </c>
      <c r="H29" s="4293"/>
    </row>
    <row r="30" spans="1:8">
      <c r="A30" s="4292" t="s">
        <v>3471</v>
      </c>
      <c r="B30" s="4292">
        <f t="shared" si="3"/>
        <v>9805</v>
      </c>
      <c r="C30" s="4293"/>
      <c r="D30" s="4293"/>
      <c r="E30" s="4293">
        <v>9602.89</v>
      </c>
      <c r="F30" s="4293"/>
      <c r="G30" s="4293">
        <v>202.11</v>
      </c>
      <c r="H30" s="4293"/>
    </row>
    <row r="31" spans="1:8">
      <c r="A31" s="4292" t="s">
        <v>3449</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3473</v>
      </c>
      <c r="B32" s="4295">
        <f>'数据-基础表'!A14</f>
        <v>15057.22</v>
      </c>
    </row>
    <row r="33" spans="1:2">
      <c r="A33" s="4295" t="s">
        <v>3474</v>
      </c>
      <c r="B33">
        <f>'数据-基础表'!G14</f>
        <v>25832.71</v>
      </c>
    </row>
    <row r="34" spans="1:2">
      <c r="A34" s="4294" t="s">
        <v>3467</v>
      </c>
      <c r="B34">
        <f>ROUND(B33/B31*B32,2)</f>
        <v>11094.04</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H14" sqref="H14"/>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A14</f>
        <v>15057.22</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测绘!B34</f>
        <v>11094.04</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25832.71</v>
      </c>
      <c r="BA5" s="2351">
        <f t="shared" si="1"/>
        <v>25832.71</v>
      </c>
      <c r="BB5" s="2351">
        <f t="shared" si="1"/>
        <v>16229.82</v>
      </c>
      <c r="BC5" s="2351">
        <f t="shared" si="1"/>
        <v>0</v>
      </c>
      <c r="BD5" s="2351">
        <f t="shared" si="1"/>
        <v>9602.89</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15057.23</v>
      </c>
      <c r="F6" s="2440" t="s">
        <v>124</v>
      </c>
      <c r="G6" s="2440" t="s">
        <v>124</v>
      </c>
      <c r="H6" s="3855">
        <f>SUMIF(I$12:AB$12,"总值",I6:AB6)</f>
        <v>15057.23</v>
      </c>
      <c r="I6" s="2440">
        <f t="shared" ref="I6:AB6" si="2">ROUND($A$3*I5/$B$3,2)</f>
        <v>9151.4500000000007</v>
      </c>
      <c r="J6" s="2440">
        <f t="shared" si="2"/>
        <v>0</v>
      </c>
      <c r="K6" s="2440">
        <f t="shared" si="2"/>
        <v>838.71</v>
      </c>
      <c r="L6" s="2440">
        <f t="shared" si="2"/>
        <v>0</v>
      </c>
      <c r="M6" s="2440">
        <f t="shared" si="2"/>
        <v>5067.07</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11094.04</v>
      </c>
      <c r="AZ6" s="2440" t="s">
        <v>124</v>
      </c>
      <c r="BA6" s="2440">
        <f>ROUND($AY$6*BA5/$AZ$5,2)</f>
        <v>11094.04</v>
      </c>
      <c r="BB6" s="2440">
        <f>ROUND($AY$6*BB5/$AZ$5,2)</f>
        <v>6970.01</v>
      </c>
      <c r="BC6" s="2440">
        <f t="shared" ref="BC6:BH6" si="4">ROUND($AY$6*BC5/$AZ$5,2)</f>
        <v>0</v>
      </c>
      <c r="BD6" s="2440">
        <f t="shared" si="4"/>
        <v>4124.03</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c r="C13" s="2357">
        <v>6023</v>
      </c>
      <c r="D13" s="3895" t="s">
        <v>1247</v>
      </c>
      <c r="E13" s="2440">
        <f>IF($C$3="是",ROUND($A$3*G13/$B$3,2),ROUND($A$3*(G13-AT13)/$B$3,2))</f>
        <v>8681.35</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0</v>
      </c>
      <c r="AX13" s="2440">
        <f t="shared" si="6"/>
        <v>6023</v>
      </c>
      <c r="AY13" s="3217">
        <f>ROUND($AY$6*AZ13/$AZ$5,2)</f>
        <v>0</v>
      </c>
      <c r="AZ13" s="3898">
        <f>BA13+BL13</f>
        <v>0</v>
      </c>
      <c r="BA13" s="3898">
        <f>SUM(BB13:BK13)</f>
        <v>0</v>
      </c>
      <c r="BB13" s="3898">
        <f>IF($D13="是",I13-J13,0)</f>
        <v>0</v>
      </c>
      <c r="BC13" s="3898">
        <f>IF($D13="是",K13-L13,0)</f>
        <v>0</v>
      </c>
      <c r="BD13" s="3898">
        <f>IF($D13="是",M13-N13,0)</f>
        <v>0</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c r="C14" s="3896">
        <v>6028</v>
      </c>
      <c r="D14" s="3895" t="s">
        <v>640</v>
      </c>
      <c r="E14" s="2440">
        <f>IF($C$3="是",ROUND($A$3*G14/$B$3,2),ROUND($A$3*(G14-AT14)/$B$3,2))</f>
        <v>6375.87</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0</v>
      </c>
      <c r="AX14" s="2440">
        <f t="shared" si="6"/>
        <v>6028</v>
      </c>
      <c r="AY14" s="3217">
        <f>ROUND($AY$6*AZ14/$AZ$5,2)</f>
        <v>11094.04</v>
      </c>
      <c r="AZ14" s="3898">
        <f>BA14+BL14</f>
        <v>25832.71</v>
      </c>
      <c r="BA14" s="3898">
        <f>SUM(BB14:BK14)</f>
        <v>25832.71</v>
      </c>
      <c r="BB14" s="3898">
        <f>IF($D14="是",I14-J14,0)</f>
        <v>16229.82</v>
      </c>
      <c r="BC14" s="3898">
        <f>IF($D14="是",K14-L14,0)</f>
        <v>0</v>
      </c>
      <c r="BD14" s="3898">
        <f>IF($D14="是",M14-N14,0)</f>
        <v>9602.89</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0</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383" t="s">
        <v>642</v>
      </c>
      <c r="B2" s="4383"/>
      <c r="C2" s="4383"/>
      <c r="D2" s="699" t="s">
        <v>643</v>
      </c>
      <c r="E2" s="3787" t="s">
        <v>644</v>
      </c>
      <c r="F2" s="3598"/>
      <c r="G2" s="3788"/>
      <c r="H2" s="3789"/>
      <c r="I2" s="3467" t="s">
        <v>645</v>
      </c>
      <c r="J2" s="3598"/>
      <c r="K2" s="3598"/>
      <c r="L2" s="3598"/>
      <c r="M2" s="3598"/>
      <c r="N2" s="1235"/>
      <c r="O2" s="3598"/>
      <c r="P2" s="3598"/>
    </row>
    <row r="3" spans="1:16" ht="14.4">
      <c r="A3" s="4384" t="s">
        <v>646</v>
      </c>
      <c r="B3" s="4384"/>
      <c r="C3" s="4384"/>
      <c r="D3" s="3790">
        <f>'数据-基础表'!AY6</f>
        <v>11094.04</v>
      </c>
      <c r="E3" s="3790">
        <f>'数据-基础表'!AZ5</f>
        <v>25832.71</v>
      </c>
      <c r="F3" s="3598"/>
      <c r="G3" s="3791"/>
      <c r="H3" s="2926" t="s">
        <v>647</v>
      </c>
      <c r="I3" s="3792">
        <f>ROUND('数据-基础表'!B3/'数据-基础表'!A3,2)</f>
        <v>4.05</v>
      </c>
      <c r="J3" s="3598"/>
      <c r="K3" s="3598"/>
      <c r="L3" s="3598"/>
      <c r="M3" s="3598"/>
      <c r="N3" s="1235"/>
      <c r="O3" s="3598"/>
      <c r="P3" s="3598"/>
    </row>
    <row r="4" spans="1:16" ht="14.4">
      <c r="A4" s="4385"/>
      <c r="B4" s="4386"/>
      <c r="C4" s="4387"/>
      <c r="D4" s="2979" t="s">
        <v>643</v>
      </c>
      <c r="E4" s="3793" t="s">
        <v>644</v>
      </c>
      <c r="F4" s="3598"/>
      <c r="G4" s="3794" t="s">
        <v>648</v>
      </c>
      <c r="H4" s="2926" t="s">
        <v>649</v>
      </c>
      <c r="I4" s="3792">
        <f>ROUND(SUMIF('数据-基础表'!I9:AS9,"地上",'数据-基础表'!I5:AS5)/'数据-基础表'!A3,2)</f>
        <v>2.46</v>
      </c>
      <c r="J4" s="3598"/>
      <c r="K4" s="3598"/>
      <c r="L4" s="3598"/>
      <c r="M4" s="3598"/>
      <c r="N4" s="1235"/>
      <c r="O4" s="3598"/>
      <c r="P4" s="3598"/>
    </row>
    <row r="5" spans="1:16" ht="14.4">
      <c r="A5" s="3791" t="s">
        <v>650</v>
      </c>
      <c r="B5" s="4388" t="s">
        <v>651</v>
      </c>
      <c r="C5" s="4388"/>
      <c r="D5" s="3641">
        <f>ROUND($D$3*E5/$E$3,2)</f>
        <v>6970.01</v>
      </c>
      <c r="E5" s="3483">
        <f>SUMIF('数据-基础表'!$11:$11,"住宅",'数据-基础表'!$5:$5)</f>
        <v>16229.82</v>
      </c>
      <c r="F5" s="3598"/>
      <c r="G5" s="3791"/>
      <c r="H5" s="2926" t="s">
        <v>647</v>
      </c>
      <c r="I5" s="3792">
        <f>ROUND(E31/D31,2)</f>
        <v>2.33</v>
      </c>
      <c r="J5" s="3598"/>
      <c r="K5" s="3598"/>
      <c r="L5" s="3598"/>
      <c r="M5" s="3598"/>
      <c r="N5" s="3598"/>
      <c r="O5" s="3598"/>
      <c r="P5" s="3598"/>
    </row>
    <row r="6" spans="1:16" ht="14.4">
      <c r="A6" s="3795"/>
      <c r="B6" s="4388" t="s">
        <v>652</v>
      </c>
      <c r="C6" s="4388"/>
      <c r="D6" s="3641">
        <f>ROUND($D$3*E6/$E$3,2)</f>
        <v>4124.03</v>
      </c>
      <c r="E6" s="3483">
        <f>E3-E5</f>
        <v>9602.89</v>
      </c>
      <c r="F6" s="3598"/>
      <c r="G6" s="3796" t="s">
        <v>653</v>
      </c>
      <c r="H6" s="3237" t="s">
        <v>649</v>
      </c>
      <c r="I6" s="3797">
        <f>ROUND(F31/D31,2)</f>
        <v>1.46</v>
      </c>
      <c r="J6" s="3598"/>
      <c r="K6" s="3598"/>
      <c r="L6" s="3598"/>
      <c r="M6" s="3598"/>
      <c r="N6" s="3598"/>
      <c r="O6" s="3598"/>
      <c r="P6" s="3598"/>
    </row>
    <row r="7" spans="1:16" ht="14.4">
      <c r="A7" s="4374"/>
      <c r="B7" s="4375"/>
      <c r="C7" s="4376"/>
      <c r="D7" s="2979" t="s">
        <v>643</v>
      </c>
      <c r="E7" s="3798" t="s">
        <v>654</v>
      </c>
      <c r="F7" s="3598"/>
      <c r="G7" s="3799" t="s">
        <v>655</v>
      </c>
      <c r="H7" s="3700"/>
      <c r="I7" s="3800">
        <v>1.6</v>
      </c>
      <c r="J7" s="3598"/>
      <c r="K7" s="3598"/>
      <c r="L7" s="3598"/>
      <c r="M7" s="3598"/>
      <c r="N7" s="3598"/>
      <c r="O7" s="3598"/>
      <c r="P7" s="3598"/>
    </row>
    <row r="8" spans="1:16" ht="14.4">
      <c r="A8" s="3791" t="s">
        <v>656</v>
      </c>
      <c r="B8" s="3237" t="s">
        <v>657</v>
      </c>
      <c r="C8" s="2926" t="s">
        <v>658</v>
      </c>
      <c r="D8" s="3641">
        <f t="shared" ref="D8:D15" si="0">ROUND($D$3*E8/$E$3,2)</f>
        <v>6970.01</v>
      </c>
      <c r="E8" s="3483">
        <f>SUMIF('数据-基础表'!BB10:BK10,"地上",'数据-基础表'!BB5:BK5)</f>
        <v>16229.82</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0</v>
      </c>
      <c r="E12" s="3483">
        <f>SUMPRODUCT(('数据-基础表'!BB10:BK10="地下")*('数据-基础表'!BB11:BK11="仓储")*('数据-基础表'!BB5:BK5))</f>
        <v>0</v>
      </c>
      <c r="F12" s="3598"/>
      <c r="G12" s="3598"/>
      <c r="H12" s="3598"/>
      <c r="I12" s="3598"/>
      <c r="J12" s="3598"/>
      <c r="K12" s="3598"/>
      <c r="L12" s="3598"/>
      <c r="M12" s="3598"/>
      <c r="N12" s="3598"/>
      <c r="O12" s="3598"/>
      <c r="P12" s="3598"/>
    </row>
    <row r="13" spans="1:16" ht="14.4">
      <c r="A13" s="3796"/>
      <c r="B13" s="3801"/>
      <c r="C13" s="2926" t="s">
        <v>663</v>
      </c>
      <c r="D13" s="3641">
        <f t="shared" si="0"/>
        <v>4124.03</v>
      </c>
      <c r="E13" s="3483">
        <f>SUMPRODUCT(('数据-基础表'!BB10:BK10="地下")*('数据-基础表'!BB11:BK11="车库")*('数据-基础表'!BB5:BK5))</f>
        <v>9602.89</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11094.04</v>
      </c>
      <c r="E16" s="3802">
        <f>SUM(E8:E15)</f>
        <v>25832.71</v>
      </c>
      <c r="F16" s="3598"/>
      <c r="G16" s="3598"/>
      <c r="H16" s="3803" t="s">
        <v>667</v>
      </c>
      <c r="I16" s="3804"/>
      <c r="J16" s="3289"/>
      <c r="K16" s="4377" t="s">
        <v>667</v>
      </c>
      <c r="L16" s="4378"/>
      <c r="M16" s="4378"/>
      <c r="N16" s="4378"/>
      <c r="O16" s="4378"/>
      <c r="P16" s="4379"/>
    </row>
    <row r="17" spans="1:19" ht="14.4">
      <c r="A17" s="3607" t="s">
        <v>668</v>
      </c>
      <c r="B17" s="3806" t="s">
        <v>669</v>
      </c>
      <c r="C17" s="3263" t="s">
        <v>670</v>
      </c>
      <c r="D17" s="3805" t="s">
        <v>643</v>
      </c>
      <c r="E17" s="3807" t="s">
        <v>644</v>
      </c>
      <c r="F17" s="3808"/>
      <c r="G17" s="3809"/>
      <c r="H17" s="3810" t="s">
        <v>671</v>
      </c>
      <c r="I17" s="3811" t="s">
        <v>672</v>
      </c>
      <c r="J17" s="3289"/>
      <c r="K17" s="4380" t="s">
        <v>673</v>
      </c>
      <c r="L17" s="4381"/>
      <c r="M17" s="4382"/>
      <c r="N17" s="4380" t="s">
        <v>674</v>
      </c>
      <c r="O17" s="4381"/>
      <c r="P17" s="4382"/>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6970.01</v>
      </c>
      <c r="E19" s="3641">
        <f t="shared" ref="E19:E26" si="1">SUM(F19:G19)</f>
        <v>16229.82</v>
      </c>
      <c r="F19" s="3821">
        <f>'数据-基础表'!I14</f>
        <v>16229.82</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6970.01</v>
      </c>
      <c r="S19" s="3641">
        <f t="shared" si="5"/>
        <v>16229.82</v>
      </c>
    </row>
    <row r="20" spans="1:19" ht="14.4">
      <c r="A20" s="3819"/>
      <c r="B20" s="3237" t="s">
        <v>683</v>
      </c>
      <c r="C20" s="3820" t="s">
        <v>630</v>
      </c>
      <c r="D20" s="3641">
        <f t="shared" ref="D20:D26" si="6">ROUND($D$3*E20/$E$3,2)</f>
        <v>0</v>
      </c>
      <c r="E20" s="3641">
        <f t="shared" si="1"/>
        <v>0</v>
      </c>
      <c r="F20" s="3821"/>
      <c r="G20" s="3276"/>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0</v>
      </c>
      <c r="S20" s="3641">
        <f t="shared" si="5"/>
        <v>0</v>
      </c>
    </row>
    <row r="21" spans="1:19" ht="14.4">
      <c r="A21" s="3819"/>
      <c r="B21" s="3237" t="s">
        <v>683</v>
      </c>
      <c r="C21" s="3820" t="s">
        <v>631</v>
      </c>
      <c r="D21" s="3641">
        <f t="shared" si="6"/>
        <v>4124.03</v>
      </c>
      <c r="E21" s="3641">
        <f t="shared" si="1"/>
        <v>9602.89</v>
      </c>
      <c r="F21" s="3821"/>
      <c r="G21" s="3276">
        <f>'数据-基础表'!M14</f>
        <v>9602.89</v>
      </c>
      <c r="H21" s="3822">
        <f t="shared" si="7"/>
        <v>0</v>
      </c>
      <c r="I21" s="3483">
        <f t="shared" si="2"/>
        <v>0</v>
      </c>
      <c r="J21" s="3289"/>
      <c r="K21" s="3822">
        <f t="shared" si="3"/>
        <v>0</v>
      </c>
      <c r="L21" s="3641">
        <f t="shared" si="4"/>
        <v>0</v>
      </c>
      <c r="M21" s="3483">
        <f t="shared" si="8"/>
        <v>0</v>
      </c>
      <c r="N21" s="3823"/>
      <c r="O21" s="3220"/>
      <c r="P21" s="3483">
        <f t="shared" si="9"/>
        <v>0</v>
      </c>
      <c r="R21" s="3641">
        <f t="shared" si="5"/>
        <v>4124.03</v>
      </c>
      <c r="S21" s="3641">
        <f t="shared" si="5"/>
        <v>9602.89</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11094.04</v>
      </c>
      <c r="E27" s="2955">
        <f>IF(SUM(E19:E26)='数据-基础表'!BA5,SUM(E19:E26),IF(F27="地上面积有误","面积有误","地下面积有误"))</f>
        <v>25832.71</v>
      </c>
      <c r="F27" s="2955">
        <f>IF(SUM(F19:F26)=E8,SUM(F19:F26),"地上面积有误")</f>
        <v>16229.82</v>
      </c>
      <c r="G27" s="3472">
        <f>SUM(G19:G26)</f>
        <v>9602.89</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11094.04</v>
      </c>
      <c r="S27" s="3641">
        <f>IF(SUM(S19:S26)=$E$3,SUM(S19:S26),SUM(S19:S26)&amp;"误差"&amp;ROUND(SUM(S19:S26)-E3,2))</f>
        <v>25832.71</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11094.04</v>
      </c>
      <c r="E31" s="3839">
        <f>E27+E30</f>
        <v>25832.71</v>
      </c>
      <c r="F31" s="3832">
        <f>F27+F30</f>
        <v>16229.82</v>
      </c>
      <c r="G31" s="3833">
        <f>G27+G30</f>
        <v>9602.89</v>
      </c>
      <c r="H31" s="3598"/>
      <c r="I31" s="3598"/>
      <c r="J31" s="3598"/>
      <c r="K31" s="3598"/>
      <c r="L31" s="3598"/>
      <c r="M31" s="3598"/>
      <c r="N31" s="3598"/>
      <c r="O31" s="3598"/>
      <c r="P31" s="3598"/>
    </row>
    <row r="32" spans="1:19" ht="14.4">
      <c r="A32" s="3813"/>
      <c r="B32" s="3813" t="s">
        <v>689</v>
      </c>
      <c r="C32" s="3813"/>
      <c r="D32" s="3223"/>
      <c r="E32" s="3223">
        <f>SUMIF(C19:C26,"*住宅*",E19:E26)</f>
        <v>16229.82</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K6" activePane="bottomRight" state="frozen"/>
      <selection pane="topRight"/>
      <selection pane="bottomLeft"/>
      <selection pane="bottomRight" activeCell="AF19" sqref="AF19"/>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16229.82</v>
      </c>
      <c r="L6" s="3636">
        <v>5000</v>
      </c>
      <c r="M6" s="3637">
        <f t="shared" ref="M6:M14" si="1">ROUND(K6*L6/10000,0)</f>
        <v>8115</v>
      </c>
      <c r="N6" s="3638">
        <v>0.99</v>
      </c>
      <c r="O6" s="3637">
        <f>IF($N$5="成新度","——",ROUND(M6*N6,0))</f>
        <v>8034</v>
      </c>
      <c r="P6" s="1738">
        <f>IF($N$5="成新度","——",M6-O6)</f>
        <v>81</v>
      </c>
      <c r="Q6" s="3639">
        <v>0.2</v>
      </c>
      <c r="R6" s="3640">
        <f ca="1">SUMIF('数据-汇总表'!C$19:C$33,A6,'数据-汇总表'!R$19:R$27)</f>
        <v>6970.01</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81149100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0</v>
      </c>
      <c r="L7" s="3636">
        <v>4100</v>
      </c>
      <c r="M7" s="3637">
        <f t="shared" si="1"/>
        <v>0</v>
      </c>
      <c r="N7" s="3638">
        <f>N6</f>
        <v>0.99</v>
      </c>
      <c r="O7" s="3637">
        <f t="shared" ref="O7:O14" si="3">IF($N$5="成新度","——",ROUND(M7*N7,0))</f>
        <v>0</v>
      </c>
      <c r="P7" s="1738">
        <f t="shared" ref="P7:P14" si="4">IF($N$5="成新度","——",M7-O7)</f>
        <v>0</v>
      </c>
      <c r="Q7" s="3639">
        <v>0.05</v>
      </c>
      <c r="R7" s="3640">
        <f ca="1">SUMIF('数据-汇总表'!C$19:C$33,A7,'数据-汇总表'!R$19:R$27)</f>
        <v>0</v>
      </c>
      <c r="S7" s="3641">
        <f>IF('数据-汇总表'!$I$17="按面积比例",SUMIF('数据-汇总表'!C$19:C$33,A7,'数据-汇总表'!K$19:K$33),SUMIF('数据-汇总表'!C$19:C$33,A7,'数据-汇总表'!N$19:N$33))</f>
        <v>0</v>
      </c>
      <c r="T7" s="3642">
        <f t="shared" ref="T7:T13" si="5">ROUND($L$14*S7/10000,0)</f>
        <v>0</v>
      </c>
      <c r="U7" s="3643">
        <v>0.9</v>
      </c>
      <c r="V7" s="3644">
        <v>1.4999999999999999E-2</v>
      </c>
      <c r="W7" s="3644">
        <v>0.1</v>
      </c>
      <c r="X7" s="3645"/>
      <c r="Y7" s="3646"/>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0</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9602.89</v>
      </c>
      <c r="L8" s="3636">
        <v>4100</v>
      </c>
      <c r="M8" s="3637">
        <f t="shared" si="1"/>
        <v>3937</v>
      </c>
      <c r="N8" s="3638">
        <f>N7</f>
        <v>0.99</v>
      </c>
      <c r="O8" s="3637">
        <f t="shared" si="3"/>
        <v>3898</v>
      </c>
      <c r="P8" s="1738">
        <f t="shared" si="4"/>
        <v>39</v>
      </c>
      <c r="Q8" s="3639">
        <v>0.05</v>
      </c>
      <c r="R8" s="3640">
        <f ca="1">SUMIF('数据-汇总表'!C$19:C$33,A8,'数据-汇总表'!R$19:R$27)</f>
        <v>4124.03</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c r="Z8" s="3647"/>
      <c r="AA8" s="3648"/>
      <c r="AB8" s="3648"/>
      <c r="AC8" s="3645"/>
      <c r="AD8" s="3649"/>
      <c r="AE8" s="3650">
        <f t="shared" ca="1" si="6"/>
        <v>47.54</v>
      </c>
      <c r="AF8" s="3651"/>
      <c r="AG8" s="2316">
        <f t="shared" si="7"/>
        <v>0</v>
      </c>
      <c r="AH8" s="3657">
        <v>279</v>
      </c>
      <c r="AI8" s="3652">
        <v>12</v>
      </c>
      <c r="AJ8" s="3651"/>
      <c r="AK8" s="3659">
        <v>3.0000000000000001E-3</v>
      </c>
      <c r="AL8" s="3660">
        <v>1E-3</v>
      </c>
      <c r="AM8" s="3661">
        <v>5.0000000000000001E-3</v>
      </c>
      <c r="AN8" s="3656" t="s">
        <v>359</v>
      </c>
      <c r="AO8" s="3641">
        <f t="shared" ca="1" si="8"/>
        <v>2019</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0.99039999999999995</v>
      </c>
      <c r="H16" s="3687">
        <f>ROUND(SUMPRODUCT(H6:H13,K6:K13)/SUMPRODUCT((H6:H13&gt;0)*(K6:K13)),3)</f>
        <v>4.2000000000000003E-2</v>
      </c>
      <c r="I16" s="3688"/>
      <c r="J16" s="3688"/>
      <c r="K16" s="3689">
        <f>SUM(K6:K15)</f>
        <v>25832.71</v>
      </c>
      <c r="L16" s="3690">
        <f>ROUND(M16*10000/SUM(K6:K14),0)</f>
        <v>4665</v>
      </c>
      <c r="M16" s="3690">
        <f>SUM(M6:M14)</f>
        <v>12052</v>
      </c>
      <c r="N16" s="3691">
        <f>ROUND(SUMPRODUCT(M6:M14,N6:N14)/M16,3)</f>
        <v>0.99</v>
      </c>
      <c r="O16" s="3690">
        <f>SUM(O6:O14)</f>
        <v>11932</v>
      </c>
      <c r="P16" s="3690">
        <f>SUM(P6:P14)</f>
        <v>120</v>
      </c>
      <c r="Q16" s="3692">
        <f>ROUND(SUMPRODUCT(Q6:Q13,K6:K13)/SUMPRODUCT((Q6:Q13&gt;0)*(K6:K13)),2)</f>
        <v>0.14000000000000001</v>
      </c>
      <c r="R16" s="3693">
        <f ca="1">SUM(R6:R13)</f>
        <v>11094.04</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0.91</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2.0000000000000018E-2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139.94999999999999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69.974999999999994</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389" t="s">
        <v>802</v>
      </c>
      <c r="B1" s="4390"/>
      <c r="C1" s="4390"/>
      <c r="D1" s="4390"/>
      <c r="E1" s="4390"/>
      <c r="F1" s="4390"/>
      <c r="G1" s="4390"/>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M17" sqref="M17"/>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25832.71</v>
      </c>
      <c r="C1" s="3515"/>
      <c r="D1" s="3515"/>
      <c r="E1" s="3515"/>
      <c r="F1" s="3515"/>
      <c r="G1" s="3516"/>
      <c r="H1" s="3516"/>
      <c r="I1" s="3516"/>
      <c r="J1" s="3516"/>
      <c r="K1" s="3516"/>
    </row>
    <row r="2" spans="1:11" ht="16.2">
      <c r="A2" s="3514" t="s">
        <v>825</v>
      </c>
      <c r="B2" s="3514">
        <f>SUM(C14:C23)</f>
        <v>11094.04</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58418.090400000001</v>
      </c>
      <c r="C5" s="3514">
        <f ca="1">ROUND(B5*10000/$B$1,0)</f>
        <v>22614</v>
      </c>
      <c r="D5" s="3514">
        <f ca="1">ROUND(B5*10000/$B$2,0)</f>
        <v>52657</v>
      </c>
      <c r="E5" s="3515"/>
      <c r="F5" s="3516"/>
      <c r="G5" s="3516"/>
      <c r="H5" s="3516"/>
      <c r="I5" s="3516"/>
      <c r="J5" s="3516"/>
      <c r="K5" s="3516"/>
    </row>
    <row r="6" spans="1:11" ht="15.6">
      <c r="A6" s="3514" t="s">
        <v>832</v>
      </c>
      <c r="B6" s="3514">
        <f ca="1">SUM(G14:G23)</f>
        <v>57569.090400000001</v>
      </c>
      <c r="C6" s="3514">
        <f ca="1">ROUND(B6*10000/$B$1,0)</f>
        <v>22285</v>
      </c>
      <c r="D6" s="3514">
        <f ca="1">ROUND(B6*10000/$B$2,0)</f>
        <v>51892</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844</v>
      </c>
      <c r="B14" s="3527">
        <f>结果表!B118</f>
        <v>25832.71</v>
      </c>
      <c r="C14" s="3527">
        <f>结果表!C118</f>
        <v>11094.04</v>
      </c>
      <c r="D14" s="3527">
        <f ca="1">结果表!I118</f>
        <v>58418.090400000001</v>
      </c>
      <c r="E14" s="3527">
        <f ca="1">ROUND(D14*10000/B14,0)</f>
        <v>22614</v>
      </c>
      <c r="F14" s="3527">
        <f ca="1">ROUND(D14*10000/C14,0)</f>
        <v>52657</v>
      </c>
      <c r="G14" s="3527">
        <f ca="1">结果表!H107</f>
        <v>57569.090400000001</v>
      </c>
      <c r="H14" s="3527"/>
      <c r="I14" s="3527"/>
      <c r="J14" s="3516"/>
      <c r="K14" s="3516"/>
    </row>
    <row r="15" spans="1:11" ht="15.6">
      <c r="A15" s="3526" t="s">
        <v>845</v>
      </c>
      <c r="B15" s="3528"/>
      <c r="C15" s="3528"/>
      <c r="D15" s="3528"/>
      <c r="E15" s="3527" t="e">
        <f t="shared" ref="E15:E23" si="0">ROUND(D15*10000/B15,0)</f>
        <v>#DIV/0!</v>
      </c>
      <c r="F15" s="3527" t="e">
        <f t="shared" ref="F15:F23" si="1">ROUND(D15*10000/C15,0)</f>
        <v>#DIV/0!</v>
      </c>
      <c r="G15" s="3523"/>
      <c r="H15" s="3523"/>
      <c r="I15" s="3528"/>
      <c r="J15" s="3516"/>
      <c r="K15" s="3516"/>
    </row>
    <row r="16" spans="1:11" ht="15.6">
      <c r="A16" s="3526" t="s">
        <v>846</v>
      </c>
      <c r="B16" s="3528"/>
      <c r="C16" s="3528"/>
      <c r="D16" s="3528"/>
      <c r="E16" s="3527" t="e">
        <f t="shared" si="0"/>
        <v>#DIV/0!</v>
      </c>
      <c r="F16" s="3527" t="e">
        <f t="shared" si="1"/>
        <v>#DIV/0!</v>
      </c>
      <c r="G16" s="3523"/>
      <c r="H16" s="3523"/>
      <c r="I16" s="3528"/>
      <c r="J16" s="3516"/>
      <c r="K16" s="3516"/>
    </row>
    <row r="17" spans="1:11" ht="15.6">
      <c r="A17" s="3526" t="s">
        <v>847</v>
      </c>
      <c r="B17" s="3528"/>
      <c r="C17" s="3528"/>
      <c r="D17" s="3528"/>
      <c r="E17" s="3527" t="e">
        <f t="shared" si="0"/>
        <v>#DIV/0!</v>
      </c>
      <c r="F17" s="3527" t="e">
        <f t="shared" si="1"/>
        <v>#DIV/0!</v>
      </c>
      <c r="G17" s="3523"/>
      <c r="H17" s="3523"/>
      <c r="I17" s="3528"/>
      <c r="J17" s="3516"/>
      <c r="K17" s="3516"/>
    </row>
    <row r="18" spans="1:11" ht="15.6">
      <c r="A18" s="3526" t="s">
        <v>848</v>
      </c>
      <c r="B18" s="3528"/>
      <c r="C18" s="3528"/>
      <c r="D18" s="3528"/>
      <c r="E18" s="3527" t="e">
        <f t="shared" si="0"/>
        <v>#DIV/0!</v>
      </c>
      <c r="F18" s="3527" t="e">
        <f t="shared" si="1"/>
        <v>#DIV/0!</v>
      </c>
      <c r="G18" s="3528"/>
      <c r="H18" s="3528"/>
      <c r="I18" s="3528"/>
      <c r="J18" s="3516"/>
      <c r="K18" s="3516"/>
    </row>
    <row r="19" spans="1:11" ht="15.6">
      <c r="A19" s="3526" t="s">
        <v>849</v>
      </c>
      <c r="B19" s="3528"/>
      <c r="C19" s="3528"/>
      <c r="D19" s="3528"/>
      <c r="E19" s="3527" t="e">
        <f t="shared" si="0"/>
        <v>#DIV/0!</v>
      </c>
      <c r="F19" s="3527" t="e">
        <f t="shared" si="1"/>
        <v>#DIV/0!</v>
      </c>
      <c r="G19" s="3528"/>
      <c r="H19" s="3528"/>
      <c r="I19" s="3528"/>
      <c r="J19" s="3516"/>
      <c r="K19" s="3516"/>
    </row>
    <row r="20" spans="1:11" ht="15.6">
      <c r="A20" s="3526" t="s">
        <v>850</v>
      </c>
      <c r="B20" s="3528"/>
      <c r="C20" s="3528"/>
      <c r="D20" s="3528"/>
      <c r="E20" s="3527" t="e">
        <f t="shared" si="0"/>
        <v>#DIV/0!</v>
      </c>
      <c r="F20" s="3527" t="e">
        <f t="shared" si="1"/>
        <v>#DIV/0!</v>
      </c>
      <c r="G20" s="3528"/>
      <c r="H20" s="3528"/>
      <c r="I20" s="3528"/>
      <c r="J20" s="3516"/>
      <c r="K20" s="3516"/>
    </row>
    <row r="21" spans="1:11" ht="15.6">
      <c r="A21" s="3526" t="s">
        <v>851</v>
      </c>
      <c r="B21" s="3528"/>
      <c r="C21" s="3528"/>
      <c r="D21" s="3528"/>
      <c r="E21" s="3527" t="e">
        <f t="shared" si="0"/>
        <v>#DIV/0!</v>
      </c>
      <c r="F21" s="3527" t="e">
        <f t="shared" si="1"/>
        <v>#DIV/0!</v>
      </c>
      <c r="G21" s="3528"/>
      <c r="H21" s="3528"/>
      <c r="I21" s="3528"/>
      <c r="J21" s="3516"/>
      <c r="K21" s="3516"/>
    </row>
    <row r="22" spans="1:11" ht="15.6">
      <c r="A22" s="3526" t="s">
        <v>852</v>
      </c>
      <c r="B22" s="3528"/>
      <c r="C22" s="3528"/>
      <c r="D22" s="3528"/>
      <c r="E22" s="3527" t="e">
        <f t="shared" si="0"/>
        <v>#DIV/0!</v>
      </c>
      <c r="F22" s="3527" t="e">
        <f t="shared" si="1"/>
        <v>#DIV/0!</v>
      </c>
      <c r="G22" s="3528"/>
      <c r="H22" s="3528"/>
      <c r="I22" s="3528"/>
      <c r="J22" s="3516"/>
      <c r="K22" s="3516"/>
    </row>
    <row r="23" spans="1:11" ht="15.6">
      <c r="A23" s="3526" t="s">
        <v>853</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Normal="100" zoomScalePageLayoutView="80" workbookViewId="0">
      <selection activeCell="F6" sqref="F6"/>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854</v>
      </c>
      <c r="B1" s="1954"/>
      <c r="C1" s="3208"/>
      <c r="D1" s="1954"/>
      <c r="E1" s="1954"/>
      <c r="F1" s="3209" t="s">
        <v>855</v>
      </c>
      <c r="G1" s="3210" t="s">
        <v>856</v>
      </c>
      <c r="H1" s="3209" t="str">
        <f>IF(G1="现房","——","估价对象范围")</f>
        <v>估价对象范围</v>
      </c>
      <c r="I1" s="3211" t="s">
        <v>857</v>
      </c>
    </row>
    <row r="2" spans="1:12" ht="21.75" customHeight="1">
      <c r="A2" s="4493" t="str">
        <f>项目基本情况!S2</f>
        <v>北京市通州区宋庄镇双埠头村、大庞村、大兴庄村土地共56套住宅用房出让国有建设用地使用权及在建建筑物房地产</v>
      </c>
      <c r="B2" s="4494"/>
      <c r="C2" s="4494"/>
      <c r="D2" s="4494"/>
      <c r="E2" s="4494"/>
      <c r="F2" s="4494"/>
      <c r="G2" s="4494"/>
      <c r="H2" s="4494"/>
      <c r="I2" s="4495"/>
    </row>
    <row r="3" spans="1:12" ht="13.2">
      <c r="A3" s="4496" t="s">
        <v>858</v>
      </c>
      <c r="B3" s="4497"/>
      <c r="C3" s="4497"/>
      <c r="D3" s="4497"/>
      <c r="E3" s="4497"/>
      <c r="F3" s="4497"/>
      <c r="G3" s="4497"/>
      <c r="H3" s="4497"/>
      <c r="I3" s="4497"/>
    </row>
    <row r="4" spans="1:12" ht="14.4">
      <c r="A4" s="3212" t="s">
        <v>859</v>
      </c>
      <c r="B4" s="3213" t="s">
        <v>860</v>
      </c>
      <c r="C4" s="3214" t="s">
        <v>861</v>
      </c>
      <c r="D4" s="3214" t="s">
        <v>862</v>
      </c>
      <c r="E4" s="4498" t="s">
        <v>863</v>
      </c>
      <c r="F4" s="4499"/>
      <c r="G4" s="4499"/>
      <c r="H4" s="4499"/>
      <c r="I4" s="4500"/>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24" t="s">
        <v>864</v>
      </c>
      <c r="B5" s="4432">
        <v>25</v>
      </c>
      <c r="C5" s="4435"/>
      <c r="D5" s="4510"/>
      <c r="E5" s="2754" t="s">
        <v>865</v>
      </c>
      <c r="F5" s="3221"/>
      <c r="G5" s="3221"/>
      <c r="H5" s="3221"/>
      <c r="I5" s="2149"/>
    </row>
    <row r="6" spans="1:12" ht="13.2">
      <c r="A6" s="4424"/>
      <c r="B6" s="4432"/>
      <c r="C6" s="4436"/>
      <c r="D6" s="4510"/>
      <c r="E6" s="2754" t="s">
        <v>866</v>
      </c>
      <c r="F6" s="3221"/>
      <c r="G6" s="3221"/>
      <c r="H6" s="3221"/>
      <c r="I6" s="2149"/>
    </row>
    <row r="7" spans="1:12" ht="13.2">
      <c r="A7" s="4424"/>
      <c r="B7" s="4432"/>
      <c r="C7" s="4437"/>
      <c r="D7" s="4510"/>
      <c r="E7" s="2754" t="s">
        <v>867</v>
      </c>
      <c r="F7" s="3221"/>
      <c r="G7" s="3221"/>
      <c r="H7" s="3221"/>
      <c r="I7" s="2149"/>
    </row>
    <row r="8" spans="1:12" ht="13.2">
      <c r="A8" s="4424" t="s">
        <v>868</v>
      </c>
      <c r="B8" s="4432">
        <v>15</v>
      </c>
      <c r="C8" s="4435"/>
      <c r="D8" s="4510"/>
      <c r="E8" s="2754" t="s">
        <v>869</v>
      </c>
      <c r="F8" s="3221"/>
      <c r="G8" s="3221"/>
      <c r="H8" s="3221"/>
      <c r="I8" s="2149"/>
    </row>
    <row r="9" spans="1:12" ht="13.2">
      <c r="A9" s="4424"/>
      <c r="B9" s="4432"/>
      <c r="C9" s="4437"/>
      <c r="D9" s="4510"/>
      <c r="E9" s="2754" t="s">
        <v>870</v>
      </c>
      <c r="F9" s="3221"/>
      <c r="G9" s="3221"/>
      <c r="H9" s="3221"/>
      <c r="I9" s="2149"/>
    </row>
    <row r="10" spans="1:12" ht="13.2">
      <c r="A10" s="4424" t="s">
        <v>871</v>
      </c>
      <c r="B10" s="4432">
        <v>15</v>
      </c>
      <c r="C10" s="4435"/>
      <c r="D10" s="4510"/>
      <c r="E10" s="2754" t="s">
        <v>872</v>
      </c>
      <c r="F10" s="3221"/>
      <c r="G10" s="3221"/>
      <c r="H10" s="3221"/>
      <c r="I10" s="2149"/>
    </row>
    <row r="11" spans="1:12" ht="13.2">
      <c r="A11" s="4424"/>
      <c r="B11" s="4432"/>
      <c r="C11" s="4437"/>
      <c r="D11" s="4510"/>
      <c r="E11" s="2754" t="s">
        <v>873</v>
      </c>
      <c r="F11" s="3221"/>
      <c r="G11" s="3221"/>
      <c r="H11" s="3221"/>
      <c r="I11" s="2149"/>
    </row>
    <row r="12" spans="1:12" ht="13.2">
      <c r="A12" s="4424" t="s">
        <v>874</v>
      </c>
      <c r="B12" s="4432">
        <v>15</v>
      </c>
      <c r="C12" s="4435"/>
      <c r="D12" s="4510"/>
      <c r="E12" s="2754" t="s">
        <v>875</v>
      </c>
      <c r="F12" s="3221"/>
      <c r="G12" s="3221"/>
      <c r="H12" s="3221"/>
      <c r="I12" s="2149"/>
    </row>
    <row r="13" spans="1:12" ht="13.2">
      <c r="A13" s="4424"/>
      <c r="B13" s="4432"/>
      <c r="C13" s="4437"/>
      <c r="D13" s="4510"/>
      <c r="E13" s="2754" t="s">
        <v>876</v>
      </c>
      <c r="F13" s="3221"/>
      <c r="G13" s="3221"/>
      <c r="H13" s="3221"/>
      <c r="I13" s="2149"/>
    </row>
    <row r="14" spans="1:12" ht="13.2">
      <c r="A14" s="4424" t="s">
        <v>877</v>
      </c>
      <c r="B14" s="4432">
        <v>30</v>
      </c>
      <c r="C14" s="4435">
        <v>5</v>
      </c>
      <c r="D14" s="4510">
        <v>5</v>
      </c>
      <c r="E14" s="2754" t="s">
        <v>878</v>
      </c>
      <c r="F14" s="3221"/>
      <c r="G14" s="3221"/>
      <c r="H14" s="3221"/>
      <c r="I14" s="2149"/>
    </row>
    <row r="15" spans="1:12" ht="13.2">
      <c r="A15" s="4424"/>
      <c r="B15" s="4432"/>
      <c r="C15" s="4436"/>
      <c r="D15" s="4510"/>
      <c r="E15" s="2754" t="s">
        <v>879</v>
      </c>
      <c r="F15" s="3221"/>
      <c r="G15" s="3221"/>
      <c r="H15" s="3221"/>
      <c r="I15" s="2149"/>
    </row>
    <row r="16" spans="1:12" ht="13.2">
      <c r="A16" s="4424"/>
      <c r="B16" s="4432"/>
      <c r="C16" s="4437"/>
      <c r="D16" s="4510"/>
      <c r="E16" s="2754" t="s">
        <v>880</v>
      </c>
      <c r="F16" s="3221"/>
      <c r="G16" s="3221"/>
      <c r="H16" s="3221"/>
      <c r="I16" s="2149"/>
    </row>
    <row r="17" spans="1:36" ht="14.4">
      <c r="A17" s="3222" t="s">
        <v>881</v>
      </c>
      <c r="B17" s="1238"/>
      <c r="C17" s="3223">
        <f>SUM(C5:C16)</f>
        <v>5</v>
      </c>
      <c r="D17" s="3223">
        <f>SUM(D5:D16)</f>
        <v>5</v>
      </c>
      <c r="E17" s="662"/>
      <c r="F17" s="662"/>
      <c r="G17" s="662"/>
      <c r="H17" s="662"/>
      <c r="I17" s="662"/>
      <c r="K17" s="1937"/>
      <c r="L17" s="1937" t="s">
        <v>882</v>
      </c>
      <c r="M17" s="1937" t="s">
        <v>883</v>
      </c>
    </row>
    <row r="18" spans="1:36" ht="31.95" customHeight="1">
      <c r="A18" s="3224" t="s">
        <v>884</v>
      </c>
      <c r="B18" s="3225"/>
      <c r="C18" s="3226">
        <f>ROUND(C17/SUM(C17:D17),2)</f>
        <v>0.5</v>
      </c>
      <c r="D18" s="3226">
        <f>1-C18</f>
        <v>0.5</v>
      </c>
      <c r="E18" s="4501" t="s">
        <v>885</v>
      </c>
      <c r="F18" s="4502"/>
      <c r="G18" s="4502"/>
      <c r="H18" s="4502"/>
      <c r="I18" s="4502"/>
      <c r="K18" s="1937" t="s">
        <v>542</v>
      </c>
      <c r="L18" s="2053">
        <f>IF(C1="",'数据-汇总表'!E3,SUMIF(项目类型,C1,'数据-汇总表'!E17:E26)+SUMIF(项目类型,C1,'数据-汇总表'!I17:I26))</f>
        <v>25832.71</v>
      </c>
      <c r="M18" s="2053">
        <f>IF(C1="",'数据-汇总表'!E3,SUMIF(项目类型,C1,'数据-汇总表'!E17:E26))</f>
        <v>25832.71</v>
      </c>
    </row>
    <row r="19" spans="1:36" ht="14.4">
      <c r="A19" s="1428" t="s">
        <v>886</v>
      </c>
      <c r="B19" s="3227" t="s">
        <v>887</v>
      </c>
      <c r="C19" s="3228">
        <f ca="1">SUMIF(INDIRECT("'"&amp;C4&amp;"'"&amp;"!A:A"),结果表!B19,INDIRECT("'"&amp;C4&amp;"'"&amp;"!B:B"))</f>
        <v>62137</v>
      </c>
      <c r="D19" s="3229">
        <f ca="1">SUMIF(INDIRECT("'"&amp;D4&amp;"'"&amp;"!A:A"),结果表!B19,INDIRECT("'"&amp;D4&amp;"'"&amp;"!B:B"))</f>
        <v>54699</v>
      </c>
      <c r="E19" s="1428" t="s">
        <v>888</v>
      </c>
      <c r="F19" s="3227" t="s">
        <v>887</v>
      </c>
      <c r="G19" s="3230">
        <f ca="1">ROUND(C19*$C$18+D19*$D$18,0)</f>
        <v>58418</v>
      </c>
      <c r="H19" s="3231" t="s">
        <v>889</v>
      </c>
      <c r="I19" s="662">
        <f ca="1">ROUND(C19*$C$18+D19*$D$18,4)</f>
        <v>58418</v>
      </c>
      <c r="K19" s="1937" t="s">
        <v>546</v>
      </c>
      <c r="L19" s="2053">
        <f>IF(C1="",'数据-汇总表'!D3,SUMIF(项目类型,C1,'数据-汇总表'!D17:D26)+SUMIF(项目类型,C1,'数据-汇总表'!H17:H27))</f>
        <v>11094.04</v>
      </c>
      <c r="M19" s="2053">
        <f>IF(C1="",'数据-汇总表'!D3,SUMIF(项目类型,C1,'数据-汇总表'!D17:D26))</f>
        <v>11094.04</v>
      </c>
    </row>
    <row r="20" spans="1:36" ht="14.4">
      <c r="A20" s="3232"/>
      <c r="B20" s="2926" t="s">
        <v>890</v>
      </c>
      <c r="C20" s="2467">
        <f ca="1">SUMIF(INDIRECT("'"&amp;C4&amp;"'"&amp;"!A:A"),结果表!B20,INDIRECT("'"&amp;C4&amp;"'"&amp;"!B:B"))</f>
        <v>24054</v>
      </c>
      <c r="D20" s="3233">
        <f ca="1">SUMIF(INDIRECT("'"&amp;D4&amp;"'"&amp;"!A:A"),结果表!B20,INDIRECT("'"&amp;D4&amp;"'"&amp;"!B:B"))</f>
        <v>21174</v>
      </c>
      <c r="E20" s="3232"/>
      <c r="F20" s="2926" t="s">
        <v>890</v>
      </c>
      <c r="G20" s="1738">
        <f ca="1">ROUND(C20*$C$18+D20*$D$18,0)</f>
        <v>22614</v>
      </c>
      <c r="H20" s="712" t="s">
        <v>891</v>
      </c>
      <c r="I20" s="662"/>
    </row>
    <row r="21" spans="1:36" ht="15" customHeight="1">
      <c r="A21" s="1437"/>
      <c r="B21" s="3234" t="s">
        <v>892</v>
      </c>
      <c r="C21" s="3235">
        <f ca="1">SUMIF(INDIRECT("'"&amp;C4&amp;"'"&amp;"!A:A"),结果表!B21,INDIRECT("'"&amp;C4&amp;"'"&amp;"!B:B"))</f>
        <v>0</v>
      </c>
      <c r="D21" s="3236">
        <f ca="1">SUMIF(INDIRECT("'"&amp;D4&amp;"'"&amp;"!A:A"),结果表!B21,INDIRECT("'"&amp;D4&amp;"'"&amp;"!B:B"))</f>
        <v>49305</v>
      </c>
      <c r="E21" s="3232"/>
      <c r="F21" s="3237" t="s">
        <v>893</v>
      </c>
      <c r="G21" s="1738">
        <f ca="1">ROUND(C21*$C$18+D21*$D$18,0)</f>
        <v>24653</v>
      </c>
      <c r="H21" s="712" t="s">
        <v>891</v>
      </c>
      <c r="I21" s="662"/>
    </row>
    <row r="22" spans="1:36" ht="14.4">
      <c r="A22" s="3238" t="s">
        <v>894</v>
      </c>
      <c r="B22" s="3239"/>
      <c r="C22" s="3240"/>
      <c r="D22" s="3241">
        <f ca="1">IF(C19&lt;D19,D19/C19-1,C19/D19-1)</f>
        <v>0.13598054809045879</v>
      </c>
      <c r="E22" s="3242"/>
      <c r="F22" s="3243"/>
      <c r="G22" s="3244">
        <f ca="1">ROUND(G19/('数据-汇总表'!D3/666.67),0)</f>
        <v>3510</v>
      </c>
      <c r="H22" s="3245" t="s">
        <v>895</v>
      </c>
      <c r="I22" s="662"/>
    </row>
    <row r="23" spans="1:36" ht="13.2">
      <c r="A23" s="1954"/>
      <c r="B23" s="1954"/>
      <c r="C23" s="1954"/>
      <c r="D23" s="1954"/>
      <c r="E23" s="662"/>
      <c r="F23" s="662"/>
      <c r="G23" s="662"/>
      <c r="H23" s="662"/>
      <c r="I23" s="662"/>
    </row>
    <row r="24" spans="1:36" ht="14.4">
      <c r="A24" s="4425" t="s">
        <v>896</v>
      </c>
      <c r="B24" s="3227" t="s">
        <v>887</v>
      </c>
      <c r="C24" s="3230">
        <f>IF(B30=0,0,D30)</f>
        <v>0</v>
      </c>
      <c r="D24" s="3246"/>
      <c r="E24" s="662"/>
      <c r="F24" s="662"/>
      <c r="G24" s="662"/>
      <c r="H24" s="662"/>
      <c r="I24" s="662"/>
    </row>
    <row r="25" spans="1:36" ht="14.4">
      <c r="A25" s="4426"/>
      <c r="B25" s="3247" t="s">
        <v>897</v>
      </c>
      <c r="C25" s="3248">
        <f>IF(B30=0,0,C30)</f>
        <v>0</v>
      </c>
      <c r="D25" s="3249"/>
      <c r="E25" s="662"/>
      <c r="F25" s="662"/>
      <c r="G25" s="662"/>
      <c r="H25" s="662"/>
      <c r="I25" s="662"/>
    </row>
    <row r="26" spans="1:36" ht="13.5" customHeight="1">
      <c r="A26" s="3250" t="s">
        <v>898</v>
      </c>
      <c r="B26" s="3251" t="s">
        <v>899</v>
      </c>
      <c r="C26" s="3251" t="s">
        <v>900</v>
      </c>
      <c r="D26" s="3252" t="s">
        <v>901</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902</v>
      </c>
      <c r="B30" s="3253"/>
      <c r="C30" s="3253"/>
      <c r="D30" s="3253"/>
      <c r="E30" s="3255" t="s">
        <v>903</v>
      </c>
      <c r="F30" s="662"/>
      <c r="G30" s="662"/>
      <c r="H30" s="662"/>
      <c r="I30" s="662"/>
    </row>
    <row r="31" spans="1:36" s="3204" customFormat="1" ht="26.4" customHeight="1">
      <c r="A31" s="3256"/>
      <c r="B31" s="3257"/>
      <c r="C31" s="3257"/>
      <c r="D31" s="3257"/>
      <c r="E31" s="3257"/>
      <c r="F31" s="3257"/>
      <c r="G31" s="3257"/>
      <c r="H31" s="3257"/>
      <c r="I31" s="3258" t="s">
        <v>904</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905</v>
      </c>
      <c r="B32" s="3263"/>
      <c r="C32" s="3264">
        <f ca="1">IF(D32="总价",G19-C24,G20-C25)</f>
        <v>22614</v>
      </c>
      <c r="D32" s="3265"/>
      <c r="E32" s="662"/>
      <c r="F32" s="662"/>
      <c r="G32" s="662"/>
      <c r="H32" s="662"/>
      <c r="I32" s="662"/>
    </row>
    <row r="33" spans="1:19" ht="14.4">
      <c r="A33" s="3266" t="s">
        <v>906</v>
      </c>
      <c r="B33" s="2754"/>
      <c r="C33" s="3267"/>
      <c r="D33" s="3268"/>
      <c r="E33" s="3269" t="s">
        <v>907</v>
      </c>
      <c r="F33" s="3270" t="str">
        <f>IF(D32="楼面单价","取值（单价）","取值（总价）")</f>
        <v>取值（总价）</v>
      </c>
      <c r="G33" s="662"/>
      <c r="H33" s="662"/>
      <c r="I33" s="662"/>
    </row>
    <row r="34" spans="1:19" ht="14.4">
      <c r="A34" s="3271"/>
      <c r="B34" s="3272" t="s">
        <v>908</v>
      </c>
      <c r="C34" s="3273" t="e">
        <f ca="1">IF(C33="自定义",F34,C32-C35)</f>
        <v>#REF!</v>
      </c>
      <c r="D34" s="3274" t="e">
        <f ca="1">IF(C33="自定义",ROUND(C34/C32,3),IF(C33="收益比率",SUMIF(INDIRECT("'"&amp;D33&amp;"'"&amp;"!b:b"),"土地收益比率",INDIRECT("'"&amp;D33&amp;"'"&amp;"!c:c")),SUMIF(INDIRECT("'"&amp;D33&amp;"'"&amp;"!b:b"),"土地成本比率",INDIRECT("'"&amp;D33&amp;"'"&amp;"!c:c"))))</f>
        <v>#REF!</v>
      </c>
      <c r="E34" s="3275" t="s">
        <v>909</v>
      </c>
      <c r="F34" s="3276"/>
      <c r="G34" s="662"/>
      <c r="H34" s="662"/>
      <c r="I34" s="662"/>
    </row>
    <row r="35" spans="1:19" ht="14.4">
      <c r="A35" s="3277"/>
      <c r="B35" s="3278" t="s">
        <v>910</v>
      </c>
      <c r="C35" s="3279" t="e">
        <f ca="1">IF(C33="自定义",F35,ROUND(C32*D35,0))</f>
        <v>#REF!</v>
      </c>
      <c r="D35" s="3280" t="e">
        <f ca="1">IF(C33="自定义",ROUND(C35/C32,3),IF(C33="收益比率",SUMIF(INDIRECT("'"&amp;D33&amp;"'"&amp;"!b:b"),"建筑物收益比率",INDIRECT("'"&amp;D33&amp;"'"&amp;"!c:c")),SUMIF(INDIRECT("'"&amp;D33&amp;"'"&amp;"!b:b"),"建筑物成本比率",INDIRECT("'"&amp;D33&amp;"'"&amp;"!c:c"))))</f>
        <v>#REF!</v>
      </c>
      <c r="E35" s="3281" t="s">
        <v>911</v>
      </c>
      <c r="F35" s="3282"/>
      <c r="G35" s="662"/>
      <c r="H35" s="662"/>
      <c r="I35" s="662"/>
    </row>
    <row r="36" spans="1:19" ht="14.4">
      <c r="A36" s="4427" t="s">
        <v>912</v>
      </c>
      <c r="B36" s="3283" t="s">
        <v>913</v>
      </c>
      <c r="C36" s="3284"/>
      <c r="D36" s="3285"/>
      <c r="E36" s="3286"/>
      <c r="F36" s="3287"/>
      <c r="G36" s="662"/>
      <c r="H36" s="662"/>
      <c r="I36" s="662"/>
    </row>
    <row r="37" spans="1:19" ht="14.4">
      <c r="A37" s="4428"/>
      <c r="B37" s="1243" t="s">
        <v>914</v>
      </c>
      <c r="C37" s="3288"/>
      <c r="D37" s="3289"/>
      <c r="E37" s="3289"/>
      <c r="F37" s="3287"/>
      <c r="G37" s="662"/>
      <c r="H37" s="662"/>
      <c r="I37" s="662"/>
    </row>
    <row r="38" spans="1:19" ht="14.4">
      <c r="A38" s="4429"/>
      <c r="B38" s="3290" t="s">
        <v>915</v>
      </c>
      <c r="C38" s="3291">
        <f>E40+E41</f>
        <v>849</v>
      </c>
      <c r="D38" s="3292" t="s">
        <v>916</v>
      </c>
      <c r="E38" s="3289"/>
      <c r="F38" s="3287"/>
      <c r="G38" s="662"/>
      <c r="H38" s="662"/>
      <c r="I38" s="662"/>
    </row>
    <row r="39" spans="1:19" ht="14.4">
      <c r="A39" s="3232" t="s">
        <v>917</v>
      </c>
      <c r="B39" s="3293" t="s">
        <v>899</v>
      </c>
      <c r="C39" s="3294" t="s">
        <v>900</v>
      </c>
      <c r="D39" s="3294" t="s">
        <v>918</v>
      </c>
      <c r="E39" s="3295" t="s">
        <v>901</v>
      </c>
      <c r="F39" s="3287"/>
      <c r="G39" s="662"/>
      <c r="H39" s="662"/>
      <c r="I39" s="662"/>
    </row>
    <row r="40" spans="1:19" ht="13.8">
      <c r="A40" s="3296" t="s">
        <v>919</v>
      </c>
      <c r="B40" s="3297">
        <f>'数据-汇总表'!G20</f>
        <v>0</v>
      </c>
      <c r="C40" s="3298">
        <f>22881*0.25*0.25</f>
        <v>1430.0625</v>
      </c>
      <c r="D40" s="3298">
        <v>3.0499999999999999E-2</v>
      </c>
      <c r="E40" s="3276">
        <f>ROUND(C40*B40*(1+D40)/10000,0)</f>
        <v>0</v>
      </c>
      <c r="F40" s="3287"/>
      <c r="G40" s="662"/>
      <c r="H40" s="662"/>
      <c r="I40" s="662"/>
    </row>
    <row r="41" spans="1:19" ht="13.8">
      <c r="A41" s="3296" t="s">
        <v>920</v>
      </c>
      <c r="B41" s="3297">
        <f>'数据-汇总表'!G21</f>
        <v>9602.89</v>
      </c>
      <c r="C41" s="3298">
        <f>22881*0.15*0.25</f>
        <v>858.03750000000002</v>
      </c>
      <c r="D41" s="3298">
        <v>3.0499999999999999E-2</v>
      </c>
      <c r="E41" s="3276">
        <f>ROUND(C41*B41*(1+D41)/10000,0)</f>
        <v>849</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921</v>
      </c>
      <c r="B44" s="3306"/>
      <c r="C44" s="3306"/>
      <c r="D44" s="3307"/>
      <c r="E44" s="3307"/>
      <c r="F44" s="3308"/>
      <c r="G44" s="3308"/>
      <c r="H44" s="3308"/>
      <c r="I44" s="3308"/>
      <c r="J44" s="1150" t="s">
        <v>922</v>
      </c>
      <c r="K44" s="880"/>
      <c r="L44" s="880"/>
      <c r="M44" s="880"/>
      <c r="N44" s="880"/>
      <c r="O44" s="880"/>
    </row>
    <row r="45" spans="1:19" ht="14.25" customHeight="1">
      <c r="A45" s="4503" t="s">
        <v>923</v>
      </c>
      <c r="B45" s="4504"/>
      <c r="C45" s="4505"/>
      <c r="D45" s="1995">
        <f ca="1">ROUND(H101*F45,0)</f>
        <v>58418</v>
      </c>
      <c r="E45" s="3309" t="s">
        <v>924</v>
      </c>
      <c r="F45" s="3310">
        <v>1</v>
      </c>
      <c r="G45" s="1946" t="s">
        <v>925</v>
      </c>
      <c r="H45" s="662"/>
      <c r="I45" s="662"/>
      <c r="J45" s="4492" t="s">
        <v>926</v>
      </c>
      <c r="K45" s="4492"/>
      <c r="L45" s="4492"/>
      <c r="M45" s="4492"/>
      <c r="N45" s="4492"/>
      <c r="O45" s="4492"/>
    </row>
    <row r="46" spans="1:19" ht="14.25" customHeight="1">
      <c r="A46" s="4506" t="s">
        <v>927</v>
      </c>
      <c r="B46" s="4507"/>
      <c r="C46" s="4507"/>
      <c r="D46" s="4507"/>
      <c r="E46" s="4507"/>
      <c r="F46" s="4507"/>
      <c r="G46" s="4508"/>
      <c r="H46" s="3311"/>
      <c r="I46" s="2427"/>
      <c r="J46" s="908">
        <v>1</v>
      </c>
      <c r="K46" s="4488" t="s">
        <v>928</v>
      </c>
      <c r="L46" s="4488"/>
      <c r="M46" s="4509"/>
      <c r="N46" s="4509"/>
      <c r="O46" s="4509"/>
    </row>
    <row r="47" spans="1:19" ht="12" customHeight="1">
      <c r="A47" s="3313" t="s">
        <v>929</v>
      </c>
      <c r="B47" s="3314"/>
      <c r="C47" s="3315"/>
      <c r="D47" s="2737" t="s">
        <v>930</v>
      </c>
      <c r="E47" s="1937" t="s">
        <v>931</v>
      </c>
      <c r="F47" s="2020" t="s">
        <v>932</v>
      </c>
      <c r="G47" s="3316" t="s">
        <v>933</v>
      </c>
      <c r="H47" s="3317"/>
      <c r="I47" s="2427"/>
      <c r="J47" s="908">
        <v>2</v>
      </c>
      <c r="K47" s="4488" t="s">
        <v>934</v>
      </c>
      <c r="L47" s="4488"/>
      <c r="M47" s="4489">
        <f>'数据-取费表'!B2</f>
        <v>46125</v>
      </c>
      <c r="N47" s="4489"/>
      <c r="O47" s="4489"/>
    </row>
    <row r="48" spans="1:19" ht="26.4">
      <c r="A48" s="4490" t="s">
        <v>935</v>
      </c>
      <c r="B48" s="4476"/>
      <c r="C48" s="4476"/>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936</v>
      </c>
      <c r="H48" s="3322"/>
      <c r="I48" s="3311"/>
      <c r="J48" s="908">
        <v>3</v>
      </c>
      <c r="K48" s="4488" t="s">
        <v>937</v>
      </c>
      <c r="L48" s="4488"/>
      <c r="M48" s="4491">
        <f ca="1">H101</f>
        <v>58418.090400000001</v>
      </c>
      <c r="N48" s="4491"/>
      <c r="O48" s="4491"/>
      <c r="R48" s="3323" t="s">
        <v>938</v>
      </c>
      <c r="S48" s="3324"/>
    </row>
    <row r="49" spans="1:35" ht="25.5" customHeight="1">
      <c r="A49" s="3318" t="s">
        <v>939</v>
      </c>
      <c r="B49" s="4467" t="s">
        <v>940</v>
      </c>
      <c r="C49" s="4467"/>
      <c r="D49" s="3325">
        <v>0</v>
      </c>
      <c r="E49" s="1987" t="s">
        <v>941</v>
      </c>
      <c r="F49" s="3326" t="s">
        <v>124</v>
      </c>
      <c r="G49" s="4394"/>
      <c r="H49" s="3327" t="s">
        <v>942</v>
      </c>
      <c r="I49" s="3328"/>
      <c r="J49" s="908">
        <v>4</v>
      </c>
      <c r="K49" s="4488" t="str">
        <f>IF(项目基本情况!E8="房地产抵押价值","房地产抵押价值","抵押担保权已注销时的房地产抵押价值")</f>
        <v>房地产抵押价值</v>
      </c>
      <c r="L49" s="4488"/>
      <c r="M49" s="4491">
        <f ca="1">IF(项目基本情况!E8="房地产抵押价值",H107,H109)</f>
        <v>57569.090400000001</v>
      </c>
      <c r="N49" s="4491"/>
      <c r="O49" s="4491"/>
      <c r="R49" s="3329" t="s">
        <v>943</v>
      </c>
      <c r="S49" s="3323" t="s">
        <v>944</v>
      </c>
    </row>
    <row r="50" spans="1:35" ht="25.5" customHeight="1">
      <c r="A50" s="3330"/>
      <c r="B50" s="4467" t="s">
        <v>945</v>
      </c>
      <c r="C50" s="4467"/>
      <c r="D50" s="3331"/>
      <c r="E50" s="2765"/>
      <c r="F50" s="3326"/>
      <c r="G50" s="4395"/>
      <c r="H50" s="3332" t="s">
        <v>946</v>
      </c>
      <c r="I50" s="3328"/>
      <c r="J50" s="4492" t="s">
        <v>947</v>
      </c>
      <c r="K50" s="4492"/>
      <c r="L50" s="4492"/>
      <c r="M50" s="4492"/>
      <c r="N50" s="4492"/>
      <c r="O50" s="4492"/>
      <c r="R50" s="3329" t="s">
        <v>948</v>
      </c>
      <c r="S50" s="3323" t="s">
        <v>949</v>
      </c>
    </row>
    <row r="51" spans="1:35" ht="20.399999999999999" customHeight="1">
      <c r="A51" s="3333"/>
      <c r="B51" s="4467" t="s">
        <v>950</v>
      </c>
      <c r="C51" s="4467"/>
      <c r="D51" s="2715"/>
      <c r="E51" s="1992"/>
      <c r="F51" s="3326"/>
      <c r="G51" s="4396"/>
      <c r="H51" s="3332" t="s">
        <v>951</v>
      </c>
      <c r="I51" s="3328"/>
      <c r="J51" s="3312" t="s">
        <v>952</v>
      </c>
      <c r="K51" s="4488" t="s">
        <v>953</v>
      </c>
      <c r="L51" s="4488"/>
      <c r="M51" s="3312" t="s">
        <v>954</v>
      </c>
      <c r="N51" s="3312" t="s">
        <v>955</v>
      </c>
      <c r="O51" s="3312" t="s">
        <v>956</v>
      </c>
      <c r="R51" s="3329" t="s">
        <v>957</v>
      </c>
      <c r="S51" s="3324" t="s">
        <v>958</v>
      </c>
    </row>
    <row r="52" spans="1:35" ht="24" customHeight="1">
      <c r="A52" s="3334" t="s">
        <v>959</v>
      </c>
      <c r="B52" s="4467" t="s">
        <v>960</v>
      </c>
      <c r="C52" s="4467"/>
      <c r="D52" s="2715">
        <f ca="1">ROUND(D45*F52/(1+F52),0)</f>
        <v>1701</v>
      </c>
      <c r="E52" s="2054" t="s">
        <v>961</v>
      </c>
      <c r="F52" s="3335">
        <v>0.03</v>
      </c>
      <c r="G52" s="3336" t="s">
        <v>962</v>
      </c>
      <c r="H52" s="2063"/>
      <c r="I52" s="3337"/>
      <c r="J52" s="908">
        <v>1</v>
      </c>
      <c r="K52" s="4397" t="s">
        <v>963</v>
      </c>
      <c r="L52" s="4397"/>
      <c r="M52" s="3338">
        <f>IF(D48&lt;=0,0,D48)</f>
        <v>0</v>
      </c>
      <c r="N52" s="908" t="str">
        <f>E48</f>
        <v>销售额×税（费）率</v>
      </c>
      <c r="O52" s="3339">
        <f>F48</f>
        <v>0</v>
      </c>
      <c r="R52" s="3323" t="s">
        <v>372</v>
      </c>
      <c r="S52" s="3323" t="s">
        <v>964</v>
      </c>
    </row>
    <row r="53" spans="1:35" ht="12" customHeight="1">
      <c r="A53" s="3334" t="s">
        <v>965</v>
      </c>
      <c r="B53" s="4466" t="s">
        <v>966</v>
      </c>
      <c r="C53" s="4480"/>
      <c r="D53" s="2715">
        <f ca="1">IF(G53="2016年5月1日之前项目",ROUND(D45*F53/(1+F53),0),H63)</f>
        <v>4824</v>
      </c>
      <c r="E53" s="2054" t="str">
        <f>IF(G53="2016年5月1日之前项目","全额计税","进销项计算")</f>
        <v>进销项计算</v>
      </c>
      <c r="F53" s="3335">
        <f>IF(G53="2016年5月1日之前项目",5%,9%)</f>
        <v>0.09</v>
      </c>
      <c r="G53" s="3340"/>
      <c r="H53" s="2063"/>
      <c r="I53" s="3337"/>
      <c r="J53" s="908">
        <v>2</v>
      </c>
      <c r="K53" s="4397" t="s">
        <v>967</v>
      </c>
      <c r="L53" s="4397"/>
      <c r="M53" s="3338">
        <f t="shared" ref="M53:O54" ca="1" si="0">D55</f>
        <v>29</v>
      </c>
      <c r="N53" s="908" t="str">
        <f t="shared" si="0"/>
        <v>销售额×税（费）率</v>
      </c>
      <c r="O53" s="3339" t="str">
        <f t="shared" si="0"/>
        <v>免征</v>
      </c>
      <c r="R53" s="3323" t="s">
        <v>968</v>
      </c>
      <c r="S53" s="3324" t="s">
        <v>969</v>
      </c>
    </row>
    <row r="54" spans="1:35" ht="12" customHeight="1">
      <c r="A54" s="3334" t="s">
        <v>970</v>
      </c>
      <c r="B54" s="4466" t="s">
        <v>971</v>
      </c>
      <c r="C54" s="4480"/>
      <c r="D54" s="2715">
        <f ca="1">IF(G54="2016年5月1日之前项目",C68,H63)</f>
        <v>4824</v>
      </c>
      <c r="E54" s="3341" t="str">
        <f>IF(G54="2016年5月1日之前项目","差额计税","进销项计算")</f>
        <v>进销项计算</v>
      </c>
      <c r="F54" s="3335">
        <f>IF(G54="2016年5月1日之前项目",5%,9%)</f>
        <v>0.09</v>
      </c>
      <c r="G54" s="3340"/>
      <c r="H54" s="3342"/>
      <c r="I54" s="3337"/>
      <c r="J54" s="908">
        <v>3</v>
      </c>
      <c r="K54" s="4397" t="s">
        <v>972</v>
      </c>
      <c r="L54" s="4397"/>
      <c r="M54" s="3338" t="e">
        <f t="shared" ca="1" si="0"/>
        <v>#VALUE!</v>
      </c>
      <c r="N54" s="908" t="str">
        <f t="shared" si="0"/>
        <v>增值额×税（费）率</v>
      </c>
      <c r="O54" s="3343" t="str">
        <f t="shared" si="0"/>
        <v>免征</v>
      </c>
      <c r="P54" s="662"/>
      <c r="R54" s="3329" t="s">
        <v>973</v>
      </c>
      <c r="S54" s="3324" t="s">
        <v>974</v>
      </c>
    </row>
    <row r="55" spans="1:35" ht="24" customHeight="1">
      <c r="A55" s="4475" t="s">
        <v>975</v>
      </c>
      <c r="B55" s="4476"/>
      <c r="C55" s="4476"/>
      <c r="D55" s="3319">
        <f ca="1">IF(H55="个人住宅",0,ROUND(D45*I55,0))</f>
        <v>29</v>
      </c>
      <c r="E55" s="2054" t="s">
        <v>976</v>
      </c>
      <c r="F55" s="3335" t="str">
        <f>IF(H55="正常",I55,"免征")</f>
        <v>免征</v>
      </c>
      <c r="G55" s="2945"/>
      <c r="H55" s="3322"/>
      <c r="I55" s="3344">
        <f>'数据-取费表'!B50</f>
        <v>5.0000000000000001E-4</v>
      </c>
      <c r="J55" s="908">
        <f>IF(H59="非个人房产","",4)</f>
        <v>4</v>
      </c>
      <c r="K55" s="4397" t="str">
        <f>IF(H59="非个人房产","——","个人所得税")</f>
        <v>个人所得税</v>
      </c>
      <c r="L55" s="4397"/>
      <c r="M55" s="3345">
        <f ca="1">D59</f>
        <v>584</v>
      </c>
      <c r="N55" s="883" t="str">
        <f>E59</f>
        <v>差额计税</v>
      </c>
      <c r="O55" s="3346">
        <f>F59</f>
        <v>0.01</v>
      </c>
      <c r="R55" s="3329" t="s">
        <v>977</v>
      </c>
      <c r="S55" s="3324" t="s">
        <v>978</v>
      </c>
    </row>
    <row r="56" spans="1:35" ht="25.2">
      <c r="A56" s="4475" t="s">
        <v>979</v>
      </c>
      <c r="B56" s="4476"/>
      <c r="C56" s="4476"/>
      <c r="D56" s="3347" t="e">
        <f ca="1">IF(H56="个人住宅",D57,IF(H56="正常",D58,IF(H56="按预征率计算-自建",ROUND(C85*F56,0),ROUND(C72*F56,0))))</f>
        <v>#VALUE!</v>
      </c>
      <c r="E56" s="2054" t="s">
        <v>980</v>
      </c>
      <c r="F56" s="3335" t="str">
        <f>IF(H56="正常",F58,IF(H56="按预征率计算",5%,"免征"))</f>
        <v>免征</v>
      </c>
      <c r="G56" s="3348" t="s">
        <v>981</v>
      </c>
      <c r="H56" s="3349"/>
      <c r="I56" s="3350"/>
      <c r="J56" s="908" t="str">
        <f>IF(项目基本情况!K6="上海银行",IF(J55="",4,J55+1),"")</f>
        <v/>
      </c>
      <c r="K56" s="4477" t="str">
        <f>IF(项目基本情况!K6="上海银行","其他处置费用","")</f>
        <v/>
      </c>
      <c r="L56" s="4478"/>
      <c r="M56" s="3338" t="str">
        <f>IF(项目基本情况!K6="上海银行",M69,"")</f>
        <v/>
      </c>
      <c r="N56" s="4477" t="str">
        <f>IF(项目基本情况!K6="上海银行","包含处置中涉及的律师、诉讼、拍卖、评估等费用","")</f>
        <v/>
      </c>
      <c r="O56" s="4479"/>
      <c r="R56" s="3324"/>
      <c r="S56" s="3324" t="s">
        <v>982</v>
      </c>
    </row>
    <row r="57" spans="1:35" ht="13.2">
      <c r="A57" s="3334" t="s">
        <v>939</v>
      </c>
      <c r="B57" s="4466" t="s">
        <v>983</v>
      </c>
      <c r="C57" s="4480"/>
      <c r="D57" s="3325">
        <v>0</v>
      </c>
      <c r="E57" s="1987" t="s">
        <v>941</v>
      </c>
      <c r="F57" s="1937"/>
      <c r="G57" s="2945"/>
      <c r="H57" s="3351"/>
      <c r="I57" s="3350"/>
      <c r="J57" s="4397">
        <f>IF(AND(J55="",J56=""),4,IF(项目基本情况!K6="上海银行",结果表!J56+1,结果表!J55+1))</f>
        <v>5</v>
      </c>
      <c r="K57" s="4397" t="s">
        <v>984</v>
      </c>
      <c r="L57" s="3352" t="s">
        <v>985</v>
      </c>
      <c r="M57" s="3353"/>
      <c r="N57" s="3354">
        <f ca="1">SUMIF(M52:M56,"&lt;9e307")</f>
        <v>613</v>
      </c>
      <c r="O57" s="3355"/>
      <c r="P57" s="3356">
        <f ca="1">N57/M49</f>
        <v>1.0648075134430125E-2</v>
      </c>
      <c r="R57" s="4404" t="s">
        <v>986</v>
      </c>
      <c r="S57" s="4405"/>
    </row>
    <row r="58" spans="1:35" ht="25.2">
      <c r="A58" s="3334" t="s">
        <v>959</v>
      </c>
      <c r="B58" s="4466" t="s">
        <v>987</v>
      </c>
      <c r="C58" s="4467"/>
      <c r="D58" s="3319">
        <f ca="1">IF(H58="转让取得",C81,C97)</f>
        <v>17525</v>
      </c>
      <c r="E58" s="2054" t="s">
        <v>980</v>
      </c>
      <c r="F58" s="1937" t="s">
        <v>124</v>
      </c>
      <c r="G58" s="2945"/>
      <c r="H58" s="3349"/>
      <c r="I58" s="3350"/>
      <c r="J58" s="4397"/>
      <c r="K58" s="4397"/>
      <c r="L58" s="3352" t="s">
        <v>988</v>
      </c>
      <c r="M58" s="3357"/>
      <c r="N58" s="3358" t="str">
        <f ca="1">NUMBERSTRING(INT(N57*10000),2)&amp;"元整"</f>
        <v>陆佰壹拾叁万元整</v>
      </c>
      <c r="O58" s="3359"/>
      <c r="R58" s="4406"/>
      <c r="S58" s="4407"/>
    </row>
    <row r="59" spans="1:35" ht="24">
      <c r="A59" s="4481" t="s">
        <v>989</v>
      </c>
      <c r="B59" s="4482"/>
      <c r="C59" s="4482"/>
      <c r="D59" s="3361">
        <f ca="1">IF(H59="非个人房产","——",IF(H59="个人住宅（满五唯一有凭证）",0,IF(H59="个人其他（无凭证）",ROUND(D45/(1+'数据-取费表'!C43)*F59,0),ROUND(C67*F59,0))))</f>
        <v>584</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981</v>
      </c>
      <c r="H59" s="3364"/>
      <c r="I59" s="3365" t="s">
        <v>990</v>
      </c>
      <c r="J59" s="4398">
        <f>J57+1</f>
        <v>6</v>
      </c>
      <c r="K59" s="4397" t="s">
        <v>991</v>
      </c>
      <c r="L59" s="908" t="s">
        <v>985</v>
      </c>
      <c r="M59" s="3366"/>
      <c r="N59" s="3367">
        <f ca="1">M49-N57</f>
        <v>56956.090400000001</v>
      </c>
      <c r="O59" s="3368"/>
      <c r="R59" s="3323" t="s">
        <v>992</v>
      </c>
      <c r="S59" s="3323" t="s">
        <v>993</v>
      </c>
    </row>
    <row r="60" spans="1:35" ht="12" customHeight="1">
      <c r="A60" s="3369"/>
      <c r="B60" s="1954"/>
      <c r="C60" s="1954"/>
      <c r="D60" s="1954"/>
      <c r="E60" s="3370"/>
      <c r="F60" s="3350"/>
      <c r="G60" s="3350"/>
      <c r="H60" s="2427"/>
      <c r="I60" s="662"/>
      <c r="J60" s="4399"/>
      <c r="K60" s="4397"/>
      <c r="L60" s="3352" t="s">
        <v>988</v>
      </c>
      <c r="M60" s="3357"/>
      <c r="N60" s="3358" t="str">
        <f ca="1">NUMBERSTRING(INT(N59*10000),2)&amp;"元整"</f>
        <v>伍亿陆仟玖佰伍拾陆万零玖佰零肆元整</v>
      </c>
      <c r="O60" s="3359"/>
      <c r="R60" s="3323" t="s">
        <v>994</v>
      </c>
      <c r="S60" s="3323" t="s">
        <v>995</v>
      </c>
    </row>
    <row r="61" spans="1:35" ht="14.4">
      <c r="A61" s="4483" t="s">
        <v>996</v>
      </c>
      <c r="B61" s="4484"/>
      <c r="C61" s="4484"/>
      <c r="D61" s="4484"/>
      <c r="E61" s="3371"/>
      <c r="F61" s="4485" t="s">
        <v>997</v>
      </c>
      <c r="G61" s="4486"/>
      <c r="H61" s="4486"/>
      <c r="I61" s="4487"/>
      <c r="J61" s="1069">
        <f>J59+1</f>
        <v>7</v>
      </c>
      <c r="K61" s="4397" t="s">
        <v>998</v>
      </c>
      <c r="L61" s="4397"/>
      <c r="M61" s="3372"/>
      <c r="N61" s="3373">
        <f ca="1">ROUND(N59*10000/'数据-汇总表'!E3,0)</f>
        <v>22048</v>
      </c>
      <c r="O61" s="3374"/>
    </row>
    <row r="62" spans="1:35" ht="13.5" customHeight="1">
      <c r="A62" s="3375" t="s">
        <v>999</v>
      </c>
      <c r="B62" s="3376" t="s">
        <v>1000</v>
      </c>
      <c r="C62" s="901" t="s">
        <v>1001</v>
      </c>
      <c r="D62" s="3377" t="s">
        <v>1002</v>
      </c>
      <c r="E62" s="3378" t="s">
        <v>1003</v>
      </c>
      <c r="F62" s="3379" t="s">
        <v>999</v>
      </c>
      <c r="G62" s="3380" t="s">
        <v>1000</v>
      </c>
      <c r="H62" s="1916" t="s">
        <v>1001</v>
      </c>
      <c r="I62" s="3381" t="s">
        <v>1002</v>
      </c>
    </row>
    <row r="63" spans="1:35" ht="24">
      <c r="A63" s="3382" t="s">
        <v>1004</v>
      </c>
      <c r="B63" s="3383" t="s">
        <v>1005</v>
      </c>
      <c r="C63" s="842">
        <f ca="1">ROUND(C64+C65,0)</f>
        <v>58418</v>
      </c>
      <c r="D63" s="3384"/>
      <c r="E63" s="4391" t="s">
        <v>1006</v>
      </c>
      <c r="F63" s="3385">
        <v>1</v>
      </c>
      <c r="G63" s="3386" t="s">
        <v>1007</v>
      </c>
      <c r="H63" s="2441">
        <f ca="1">H64-H66</f>
        <v>4824</v>
      </c>
      <c r="I63" s="2052"/>
      <c r="J63" s="4400" t="s">
        <v>1008</v>
      </c>
      <c r="K63" s="3387" t="s">
        <v>1009</v>
      </c>
      <c r="L63" s="3388">
        <f ca="1">IF(M49&gt;10000,M49*0.5%,IF(AND(M49&gt;1000,M49&lt;=10000),M49*1%,IF(AND(M49&gt;100,M49&lt;=1000),M49*3%,IF(AND(M49&gt;10,M49&lt;=100),M49*5%,M49*8%))))</f>
        <v>287.84545200000002</v>
      </c>
      <c r="M63" s="2053">
        <f ca="1">ROUND(L63,1)</f>
        <v>287.8</v>
      </c>
      <c r="N63" s="2986"/>
      <c r="Z63" s="3205"/>
      <c r="AI63" s="3206"/>
    </row>
    <row r="64" spans="1:35" ht="14.25" customHeight="1">
      <c r="A64" s="3389" t="s">
        <v>1010</v>
      </c>
      <c r="B64" s="3390" t="s">
        <v>1011</v>
      </c>
      <c r="C64" s="793">
        <f ca="1">D45</f>
        <v>58418</v>
      </c>
      <c r="D64" s="3391" t="s">
        <v>1012</v>
      </c>
      <c r="E64" s="4392"/>
      <c r="F64" s="3385">
        <v>2</v>
      </c>
      <c r="G64" s="3386" t="s">
        <v>1013</v>
      </c>
      <c r="H64" s="2441">
        <f ca="1">ROUND(H65*I64/(1+I64),0)</f>
        <v>4824</v>
      </c>
      <c r="I64" s="3392">
        <v>0.09</v>
      </c>
      <c r="J64" s="4400"/>
      <c r="K64" s="3387" t="s">
        <v>1014</v>
      </c>
      <c r="L64" s="3388">
        <f ca="1">IF(M49&gt;2000,M49*0.5%,IF(AND(M49&gt;1000,M49&lt;=2000),M49*0.6%,IF(AND(M49&gt;500,M49&lt;=1000),M49*0.7%,IF(AND(M49&gt;200,M49&lt;=500),M49*0.8%,IF(AND(M49&gt;100,M49&lt;=200),M49*0.9%,IF(AND(M49&gt;50,M49&lt;=100),M49*1%,IF(AND(M49&gt;20,M49&lt;=50),M49*1.5%,IF(AND(M49&gt;10,M49&lt;=20),M49*2%,IF(AND(M49&gt;1,M49&lt;=10),M49*2.5%)))))))))</f>
        <v>287.84545200000002</v>
      </c>
      <c r="M64" s="2053">
        <f t="shared" ref="M64:M65" ca="1" si="1">ROUND(L64,1)</f>
        <v>287.8</v>
      </c>
      <c r="N64" s="2063" t="s">
        <v>1015</v>
      </c>
      <c r="Z64" s="3205"/>
      <c r="AI64" s="3206"/>
    </row>
    <row r="65" spans="1:35" ht="14.25" customHeight="1">
      <c r="A65" s="3389" t="s">
        <v>1016</v>
      </c>
      <c r="B65" s="3390" t="s">
        <v>1017</v>
      </c>
      <c r="C65" s="3393"/>
      <c r="D65" s="3394"/>
      <c r="E65" s="4392"/>
      <c r="F65" s="3389" t="s">
        <v>1010</v>
      </c>
      <c r="G65" s="2130" t="s">
        <v>1018</v>
      </c>
      <c r="H65" s="2441">
        <f ca="1">D45</f>
        <v>58418</v>
      </c>
      <c r="I65" s="3395" t="s">
        <v>1012</v>
      </c>
      <c r="J65" s="4400"/>
      <c r="K65" s="3387" t="s">
        <v>1019</v>
      </c>
      <c r="L65" s="3388">
        <f ca="1">IF(M49&gt;1000,M49*0.1%,IF(AND(M49&gt;500,M49&lt;=1000),M49*0.5%,IF(AND(M49&gt;50,M49&lt;=500),M49*1%,IF(AND(M49&gt;1,M49&lt;=50),M49*1.5%))))</f>
        <v>57.5690904</v>
      </c>
      <c r="M65" s="2053">
        <f t="shared" ca="1" si="1"/>
        <v>57.6</v>
      </c>
      <c r="N65" s="2063" t="s">
        <v>1015</v>
      </c>
      <c r="Z65" s="3205"/>
      <c r="AI65" s="3206"/>
    </row>
    <row r="66" spans="1:35" ht="14.25" customHeight="1">
      <c r="A66" s="3382" t="s">
        <v>1020</v>
      </c>
      <c r="B66" s="3396" t="s">
        <v>1021</v>
      </c>
      <c r="C66" s="3393"/>
      <c r="D66" s="3397" t="s">
        <v>1012</v>
      </c>
      <c r="E66" s="4392"/>
      <c r="F66" s="3398">
        <v>3</v>
      </c>
      <c r="G66" s="3386" t="s">
        <v>1022</v>
      </c>
      <c r="H66" s="2982">
        <f>ROUND(H67*I67,0)+ROUND(H68*I68,0)</f>
        <v>0</v>
      </c>
      <c r="I66" s="3399"/>
      <c r="J66" s="4400"/>
      <c r="K66" s="3387" t="s">
        <v>1023</v>
      </c>
      <c r="L66" s="3388">
        <f ca="1">M49*0.5%</f>
        <v>287.84545200000002</v>
      </c>
      <c r="M66" s="2053">
        <f ca="1">IF(L66&gt;0.5,0.5,ROUND(L66,0))</f>
        <v>0.5</v>
      </c>
      <c r="N66" s="2063" t="s">
        <v>1024</v>
      </c>
      <c r="Z66" s="3205"/>
      <c r="AI66" s="3206"/>
    </row>
    <row r="67" spans="1:35" ht="14.25" customHeight="1">
      <c r="A67" s="3382" t="s">
        <v>1025</v>
      </c>
      <c r="B67" s="3400" t="s">
        <v>1018</v>
      </c>
      <c r="C67" s="793">
        <f ca="1">C63-C66</f>
        <v>58418</v>
      </c>
      <c r="D67" s="3394"/>
      <c r="E67" s="4392"/>
      <c r="F67" s="3389" t="s">
        <v>1010</v>
      </c>
      <c r="G67" s="2130" t="s">
        <v>1026</v>
      </c>
      <c r="H67" s="3298"/>
      <c r="I67" s="3392">
        <v>0.09</v>
      </c>
      <c r="J67" s="4400"/>
      <c r="K67" s="3387" t="s">
        <v>1027</v>
      </c>
      <c r="L67" s="3388">
        <f ca="1">IF(M49&gt;=10000,(8.25+(M49-10000)*0.01%),IF(AND(M49&gt;=8000,M49&lt;10000),(7.85+(M49-8000)*0.02%),IF(AND(M49&gt;=5000,M49&lt;8000),(6.65+(M49-5000)*0.04%),IF(AND(M49&gt;=2000,M49&lt;5000),(4.25+(PM49-2000)*0.08%),IF(AND(M49&gt;=1000,M49&lt;2000),(2.75+(M49-1000)*0.15%),IF(AND(M49&gt;=100,M49&lt;1000),(0.5+(M49-100)*0.25%),IF(AND(M49&gt;0,M49&lt;100),M49*0.5%)))))))</f>
        <v>13.00690904</v>
      </c>
      <c r="M67" s="2053">
        <f ca="1">ROUND(L67*0.9,1)</f>
        <v>11.7</v>
      </c>
      <c r="N67" s="2986"/>
      <c r="Z67" s="3205"/>
      <c r="AI67" s="3206"/>
    </row>
    <row r="68" spans="1:35" ht="14.25" customHeight="1">
      <c r="A68" s="3401" t="s">
        <v>1028</v>
      </c>
      <c r="B68" s="3402" t="s">
        <v>1007</v>
      </c>
      <c r="C68" s="3403">
        <f ca="1">IF(C67&lt;=0,0,ROUND(C67*D68/(1+D68),0))</f>
        <v>2782</v>
      </c>
      <c r="D68" s="3404">
        <v>0.05</v>
      </c>
      <c r="E68" s="4393"/>
      <c r="F68" s="3405" t="s">
        <v>1016</v>
      </c>
      <c r="G68" s="3406" t="s">
        <v>1029</v>
      </c>
      <c r="H68" s="3301"/>
      <c r="I68" s="3407">
        <v>0.06</v>
      </c>
      <c r="J68" s="4400"/>
      <c r="K68" s="3387" t="s">
        <v>1030</v>
      </c>
      <c r="L68" s="3388">
        <f ca="1">IF(M49&gt;10000,M49*0.5%,IF(AND(M49&gt;5000,M49&lt;=10000),M49*1%,IF(AND(M49&gt;1000,M49&lt;=5000),M49*2%,IF(AND(M49&gt;200,M49&lt;=1000),M49*3%,M49*5%))))</f>
        <v>287.84545200000002</v>
      </c>
      <c r="M68" s="2053">
        <f ca="1">ROUND(L68,1)</f>
        <v>287.8</v>
      </c>
      <c r="N68" s="2986"/>
      <c r="Z68" s="3205"/>
      <c r="AI68" s="3206"/>
    </row>
    <row r="69" spans="1:35" ht="16.5" customHeight="1">
      <c r="A69" s="3408"/>
      <c r="B69" s="3409"/>
      <c r="C69" s="3410"/>
      <c r="D69" s="1111"/>
      <c r="E69" s="3332"/>
      <c r="F69" s="3370"/>
      <c r="G69" s="3370"/>
      <c r="H69" s="3302"/>
      <c r="I69" s="1954"/>
      <c r="J69" s="4401"/>
      <c r="K69" s="3387" t="s">
        <v>1031</v>
      </c>
      <c r="L69" s="3388"/>
      <c r="M69" s="2053">
        <f ca="1">ROUND(SUM(M63:M68),0)</f>
        <v>933</v>
      </c>
      <c r="N69" s="3411">
        <f ca="1">M69/M49</f>
        <v>1.6206613540657923E-2</v>
      </c>
      <c r="Z69" s="3205"/>
      <c r="AI69" s="3206"/>
    </row>
    <row r="70" spans="1:35" s="1173" customFormat="1" ht="13.8">
      <c r="A70" s="4462" t="s">
        <v>1032</v>
      </c>
      <c r="B70" s="4463"/>
      <c r="C70" s="4463"/>
      <c r="D70" s="4463"/>
      <c r="E70" s="4463"/>
      <c r="F70" s="4463"/>
      <c r="G70" s="4463"/>
      <c r="H70" s="4463"/>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64" t="s">
        <v>1033</v>
      </c>
      <c r="B71" s="4465"/>
      <c r="C71" s="828"/>
      <c r="D71" s="828" t="s">
        <v>1034</v>
      </c>
      <c r="E71" s="3415" t="s">
        <v>933</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1004</v>
      </c>
      <c r="B72" s="3419" t="s">
        <v>1035</v>
      </c>
      <c r="C72" s="3420">
        <f ca="1">ROUND(D45-D54,0)</f>
        <v>53594</v>
      </c>
      <c r="D72" s="3421"/>
      <c r="E72" s="3422" t="s">
        <v>1036</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1020</v>
      </c>
      <c r="B73" s="2020" t="s">
        <v>1037</v>
      </c>
      <c r="C73" s="3425">
        <f ca="1">C74+C78</f>
        <v>-4824</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1010</v>
      </c>
      <c r="B74" s="791" t="s">
        <v>1038</v>
      </c>
      <c r="C74" s="793">
        <f>ROUND(IF(G77="2016年5月1日后购买",C75/(1+D72)+C76+C77,C75+C76+C77),0)</f>
        <v>0</v>
      </c>
      <c r="D74" s="793" t="s">
        <v>124</v>
      </c>
      <c r="E74" s="2743" t="s">
        <v>1039</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1040</v>
      </c>
      <c r="B75" s="791" t="s">
        <v>1041</v>
      </c>
      <c r="C75" s="3393"/>
      <c r="D75" s="793" t="s">
        <v>124</v>
      </c>
      <c r="E75" s="3427" t="s">
        <v>1042</v>
      </c>
      <c r="F75" s="3428"/>
      <c r="G75" s="3427" t="s">
        <v>1043</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1044</v>
      </c>
      <c r="B76" s="3430" t="s">
        <v>1045</v>
      </c>
      <c r="C76" s="793">
        <f>IF(F75="购房发票",ROUND(C75*H75*D76,0),0)</f>
        <v>0</v>
      </c>
      <c r="D76" s="3431">
        <v>0.05</v>
      </c>
      <c r="E76" s="4466" t="s">
        <v>1046</v>
      </c>
      <c r="F76" s="4467"/>
      <c r="G76" s="4467"/>
      <c r="H76" s="4468"/>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1047</v>
      </c>
      <c r="B77" s="791" t="s">
        <v>1048</v>
      </c>
      <c r="C77" s="793">
        <f>ROUND(IF(G77="个人住宅",0,IF(G77="2016年5月1日前购买",C75*D77,C75*D77/(1+D72))),0)</f>
        <v>0</v>
      </c>
      <c r="D77" s="3433">
        <f>'数据-取费表'!B49+'数据-取费表'!B50</f>
        <v>3.0499999999999999E-2</v>
      </c>
      <c r="E77" s="2743" t="s">
        <v>1049</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1016</v>
      </c>
      <c r="B78" s="3436" t="s">
        <v>1050</v>
      </c>
      <c r="C78" s="3437">
        <f ca="1">D48-D54</f>
        <v>-4824</v>
      </c>
      <c r="D78" s="3438">
        <f>'数据-取费表'!B44</f>
        <v>0.1</v>
      </c>
      <c r="E78" s="4469" t="s">
        <v>1051</v>
      </c>
      <c r="F78" s="4410"/>
      <c r="G78" s="4410"/>
      <c r="H78" s="4411"/>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1025</v>
      </c>
      <c r="B79" s="3419" t="s">
        <v>1052</v>
      </c>
      <c r="C79" s="3425">
        <f ca="1">C72-C73</f>
        <v>58418</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1028</v>
      </c>
      <c r="B80" s="3419" t="s">
        <v>1053</v>
      </c>
      <c r="C80" s="3440">
        <f ca="1">IF(C79&lt;=0,0,C79/C73)</f>
        <v>-12.109867330016584</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1054</v>
      </c>
      <c r="B81" s="3441" t="s">
        <v>1055</v>
      </c>
      <c r="C81" s="3442">
        <f ca="1">ROUND(IF(C79&lt;=0,0,IF(C80&gt;=200%,C79*60%-C73*35%,IF(C80&gt;=100%,C79*50%-C73*15%,IF(C80&gt;=50%,C79*40%-C73*5%,IF(C80&lt;50%,C79*30%,0))))),0)</f>
        <v>17525</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62" t="s">
        <v>1056</v>
      </c>
      <c r="B83" s="4463"/>
      <c r="C83" s="4463"/>
      <c r="D83" s="4463"/>
      <c r="E83" s="4463"/>
      <c r="F83" s="4463"/>
      <c r="G83" s="4463"/>
      <c r="H83" s="4463"/>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64" t="s">
        <v>1033</v>
      </c>
      <c r="B84" s="4465"/>
      <c r="C84" s="828"/>
      <c r="D84" s="828" t="s">
        <v>1034</v>
      </c>
      <c r="E84" s="3415" t="s">
        <v>933</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1004</v>
      </c>
      <c r="B85" s="3419" t="s">
        <v>1035</v>
      </c>
      <c r="C85" s="3420">
        <f ca="1">ROUND(D45-D53,0)</f>
        <v>53594</v>
      </c>
      <c r="D85" s="3421"/>
      <c r="E85" s="3449" t="s">
        <v>1057</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1020</v>
      </c>
      <c r="B86" s="2020" t="s">
        <v>1037</v>
      </c>
      <c r="C86" s="3425">
        <f ca="1">IF(H88="仅含出让金",C87+C90+C91+C92+C93+C94,C87+C91+C92+C93+C94)</f>
        <v>-4824</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1010</v>
      </c>
      <c r="B87" s="791" t="s">
        <v>1058</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1040</v>
      </c>
      <c r="B88" s="791" t="s">
        <v>1059</v>
      </c>
      <c r="C88" s="3393"/>
      <c r="D88" s="3453"/>
      <c r="E88" s="3457" t="s">
        <v>1060</v>
      </c>
      <c r="F88" s="3455"/>
      <c r="G88" s="3458" t="s">
        <v>1061</v>
      </c>
      <c r="H88" s="3459" t="s">
        <v>1062</v>
      </c>
      <c r="I88" s="1089"/>
      <c r="J88" s="3460" t="s">
        <v>1063</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1044</v>
      </c>
      <c r="B89" s="791" t="s">
        <v>1048</v>
      </c>
      <c r="C89" s="793">
        <f>ROUND(C88*D89,0)</f>
        <v>0</v>
      </c>
      <c r="D89" s="3453">
        <f>'数据-取费表'!B49+'数据-取费表'!B50</f>
        <v>3.0499999999999999E-2</v>
      </c>
      <c r="E89" s="3457" t="s">
        <v>1064</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1016</v>
      </c>
      <c r="B90" s="791" t="s">
        <v>1065</v>
      </c>
      <c r="C90" s="3393"/>
      <c r="D90" s="3453"/>
      <c r="E90" s="3457" t="str">
        <f>IF(H88="-","土地取得成本中已包含该笔费用"," ")</f>
        <v/>
      </c>
      <c r="F90" s="3455"/>
      <c r="G90" s="4470" t="s">
        <v>1066</v>
      </c>
      <c r="H90" s="4471"/>
      <c r="I90" s="1089"/>
      <c r="J90" s="3460" t="s">
        <v>1067</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1068</v>
      </c>
      <c r="B91" s="791" t="s">
        <v>1069</v>
      </c>
      <c r="C91" s="793">
        <f>IF(H91="——",成本法!C9,I91)</f>
        <v>0</v>
      </c>
      <c r="D91" s="3453"/>
      <c r="E91" s="4472" t="s">
        <v>1070</v>
      </c>
      <c r="F91" s="4473"/>
      <c r="G91" s="4473"/>
      <c r="H91" s="3461" t="s">
        <v>1071</v>
      </c>
      <c r="I91" s="3462"/>
      <c r="J91" s="3413" t="s">
        <v>1072</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1073</v>
      </c>
      <c r="B92" s="791" t="s">
        <v>1074</v>
      </c>
      <c r="C92" s="793">
        <f>ROUND((C87+C90+C91)*D92,0)</f>
        <v>0</v>
      </c>
      <c r="D92" s="3463"/>
      <c r="E92" s="4472" t="s">
        <v>1075</v>
      </c>
      <c r="F92" s="4473"/>
      <c r="G92" s="4473"/>
      <c r="H92" s="4474"/>
      <c r="I92" s="1089"/>
      <c r="J92" s="3464" t="s">
        <v>1076</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1077</v>
      </c>
      <c r="B93" s="3436" t="s">
        <v>1050</v>
      </c>
      <c r="C93" s="3437">
        <f ca="1">ROUND(D48-D53,0)</f>
        <v>-4824</v>
      </c>
      <c r="D93" s="3438">
        <f>'数据-取费表'!B44</f>
        <v>0.1</v>
      </c>
      <c r="E93" s="4409" t="s">
        <v>1078</v>
      </c>
      <c r="F93" s="4410"/>
      <c r="G93" s="4410"/>
      <c r="H93" s="4411"/>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1079</v>
      </c>
      <c r="B94" s="791" t="s">
        <v>1080</v>
      </c>
      <c r="C94" s="3393">
        <f>ROUND((C87+C90+C91)*D94,0)</f>
        <v>0</v>
      </c>
      <c r="D94" s="3453">
        <v>0.2</v>
      </c>
      <c r="E94" s="4412" t="s">
        <v>1081</v>
      </c>
      <c r="F94" s="4413"/>
      <c r="G94" s="4413"/>
      <c r="H94" s="4414"/>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1025</v>
      </c>
      <c r="B95" s="3419" t="s">
        <v>1052</v>
      </c>
      <c r="C95" s="3425">
        <f ca="1">ROUND(C85-C86,0)</f>
        <v>58418</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1028</v>
      </c>
      <c r="B96" s="3419" t="s">
        <v>1053</v>
      </c>
      <c r="C96" s="3425">
        <f ca="1">IF(C95&lt;=0,0,C95/C86)</f>
        <v>-12.109867330016584</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1054</v>
      </c>
      <c r="B97" s="3441" t="s">
        <v>1055</v>
      </c>
      <c r="C97" s="3442">
        <f ca="1">ROUND(IF(C95&lt;=0,0,IF(C96&gt;=200%,C95*60%-C86*35%,IF(C96&gt;=100%,C95*50%-C86*15%,IF(C96&gt;=50%,C95*40%-C86*5%,IF(C96&lt;50%,C95*30%,0))))),0)</f>
        <v>17525</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1082</v>
      </c>
      <c r="B99" s="1954"/>
      <c r="C99" s="1954"/>
      <c r="D99" s="1954"/>
      <c r="E99" s="3370"/>
      <c r="F99" s="3370"/>
      <c r="G99" s="3370"/>
      <c r="H99" s="3302"/>
      <c r="I99" s="662"/>
    </row>
    <row r="100" spans="1:35" ht="18.75" customHeight="1">
      <c r="A100" s="4385" t="s">
        <v>1083</v>
      </c>
      <c r="B100" s="4386"/>
      <c r="C100" s="4386"/>
      <c r="D100" s="4448"/>
      <c r="E100" s="4386" t="s">
        <v>1084</v>
      </c>
      <c r="F100" s="4386"/>
      <c r="G100" s="4386"/>
      <c r="H100" s="4448"/>
      <c r="I100" s="662"/>
    </row>
    <row r="101" spans="1:35" ht="18.75" customHeight="1">
      <c r="A101" s="4449" t="s">
        <v>1085</v>
      </c>
      <c r="B101" s="4450"/>
      <c r="C101" s="3468" t="str">
        <f>C4</f>
        <v>成本法</v>
      </c>
      <c r="D101" s="3469" t="str">
        <f>D4</f>
        <v>假设开发法</v>
      </c>
      <c r="E101" s="4408" t="s">
        <v>1086</v>
      </c>
      <c r="F101" s="4403"/>
      <c r="G101" s="3471" t="s">
        <v>1087</v>
      </c>
      <c r="H101" s="3472">
        <f ca="1">I118</f>
        <v>58418.090400000001</v>
      </c>
      <c r="I101" s="662"/>
    </row>
    <row r="102" spans="1:35" ht="18.75" customHeight="1">
      <c r="A102" s="4430" t="s">
        <v>1088</v>
      </c>
      <c r="B102" s="3473" t="s">
        <v>1087</v>
      </c>
      <c r="C102" s="3474">
        <f ca="1">C19</f>
        <v>62137</v>
      </c>
      <c r="D102" s="3475">
        <f ca="1">D19</f>
        <v>54699</v>
      </c>
      <c r="E102" s="4408"/>
      <c r="F102" s="4403"/>
      <c r="G102" s="3471" t="s">
        <v>99</v>
      </c>
      <c r="H102" s="1988">
        <f ca="1">H118</f>
        <v>8754</v>
      </c>
      <c r="I102" s="662"/>
    </row>
    <row r="103" spans="1:35" ht="42.75" customHeight="1">
      <c r="A103" s="4430"/>
      <c r="B103" s="3473" t="s">
        <v>99</v>
      </c>
      <c r="C103" s="3476">
        <f ca="1">C20</f>
        <v>24054</v>
      </c>
      <c r="D103" s="3477">
        <f ca="1">D20</f>
        <v>21174</v>
      </c>
      <c r="E103" s="4451" t="s">
        <v>1089</v>
      </c>
      <c r="F103" s="4452"/>
      <c r="G103" s="3478" t="s">
        <v>102</v>
      </c>
      <c r="H103" s="3472">
        <f>IF(D36="正常操作",H104+H105+H106,H105+H106)</f>
        <v>849</v>
      </c>
      <c r="I103" s="662"/>
    </row>
    <row r="104" spans="1:35" ht="18.75" customHeight="1">
      <c r="A104" s="4430" t="s">
        <v>1090</v>
      </c>
      <c r="B104" s="3479" t="s">
        <v>1087</v>
      </c>
      <c r="C104" s="4453">
        <f ca="1">I118</f>
        <v>58418.090400000001</v>
      </c>
      <c r="D104" s="4454"/>
      <c r="E104" s="1243" t="s">
        <v>1091</v>
      </c>
      <c r="F104" s="3480"/>
      <c r="G104" s="3478" t="s">
        <v>102</v>
      </c>
      <c r="H104" s="3481">
        <f>IF(D36="同一抵押权人同一抵押物续贷",C36&amp;"（续贷，未扣减，详见特别提示）",C36)</f>
        <v>0</v>
      </c>
      <c r="I104" s="662"/>
    </row>
    <row r="105" spans="1:35" ht="18.75" customHeight="1">
      <c r="A105" s="4431"/>
      <c r="B105" s="3482" t="s">
        <v>99</v>
      </c>
      <c r="C105" s="4455">
        <f ca="1">H118</f>
        <v>8754</v>
      </c>
      <c r="D105" s="4456"/>
      <c r="E105" s="1243" t="s">
        <v>1092</v>
      </c>
      <c r="F105" s="3480"/>
      <c r="G105" s="3478" t="s">
        <v>102</v>
      </c>
      <c r="H105" s="3483">
        <f>C37</f>
        <v>0</v>
      </c>
      <c r="I105" s="662"/>
    </row>
    <row r="106" spans="1:35" ht="18.75" customHeight="1">
      <c r="A106" s="1954" t="s">
        <v>1093</v>
      </c>
      <c r="B106" s="1954"/>
      <c r="C106" s="1954"/>
      <c r="D106" s="1954"/>
      <c r="E106" s="3484" t="s">
        <v>1094</v>
      </c>
      <c r="F106" s="3480"/>
      <c r="G106" s="3478" t="s">
        <v>102</v>
      </c>
      <c r="H106" s="3483">
        <f>C38</f>
        <v>849</v>
      </c>
      <c r="I106" s="662"/>
    </row>
    <row r="107" spans="1:35" ht="18.75" customHeight="1">
      <c r="A107" s="662"/>
      <c r="B107" s="662"/>
      <c r="C107" s="662"/>
      <c r="D107" s="662"/>
      <c r="E107" s="4402" t="str">
        <f>IF(项目基本情况!E8="已注销","——","3.房地产抵押价值")</f>
        <v>3.房地产抵押价值</v>
      </c>
      <c r="F107" s="4403"/>
      <c r="G107" s="3471" t="s">
        <v>1087</v>
      </c>
      <c r="H107" s="3472">
        <f ca="1">IF(E107="——","——",H101-H103)</f>
        <v>57569.090400000001</v>
      </c>
      <c r="I107" s="662"/>
    </row>
    <row r="108" spans="1:35" ht="18.75" customHeight="1">
      <c r="A108" s="662"/>
      <c r="B108" s="662"/>
      <c r="C108" s="662"/>
      <c r="D108" s="662"/>
      <c r="E108" s="4402"/>
      <c r="F108" s="4403"/>
      <c r="G108" s="3471" t="s">
        <v>99</v>
      </c>
      <c r="H108" s="1988">
        <f ca="1">IF(H107=H101,H102,ROUND(H107*10000/'数据-汇总表'!E3,0))</f>
        <v>22285</v>
      </c>
      <c r="I108" s="662"/>
    </row>
    <row r="109" spans="1:35" ht="18.75" customHeight="1">
      <c r="A109" s="662"/>
      <c r="B109" s="662"/>
      <c r="C109" s="662"/>
      <c r="D109" s="662"/>
      <c r="E109" s="4402" t="str">
        <f>IF(项目基本情况!E8="已注销及未注销","4.抵押担保权已注销时的房地产抵押价值",IF(项目基本情况!E8="已注销","3.抵押担保权已注销时的房地产抵押价值","——"))</f>
        <v>——</v>
      </c>
      <c r="F109" s="4403"/>
      <c r="G109" s="3471" t="s">
        <v>1087</v>
      </c>
      <c r="H109" s="1935" t="str">
        <f>IF(E109="——","——",H101-H105-H106)</f>
        <v>——</v>
      </c>
      <c r="I109" s="662"/>
    </row>
    <row r="110" spans="1:35" ht="18.75" customHeight="1">
      <c r="A110" s="662"/>
      <c r="B110" s="662"/>
      <c r="C110" s="662"/>
      <c r="D110" s="662"/>
      <c r="E110" s="4402"/>
      <c r="F110" s="4403"/>
      <c r="G110" s="3471" t="s">
        <v>99</v>
      </c>
      <c r="H110" s="1988" t="str">
        <f>IF(H109="——","——",ROUND(H109*10000/'数据-汇总表'!E3,0))</f>
        <v>——</v>
      </c>
      <c r="I110" s="662"/>
    </row>
    <row r="111" spans="1:35" ht="18.75" customHeight="1">
      <c r="A111" s="662"/>
      <c r="B111" s="662"/>
      <c r="C111" s="662"/>
      <c r="D111" s="662"/>
      <c r="E111" s="4458" t="str">
        <f>IF(项目基本情况!E9="抵押净值",IF(OR(项目基本情况!E8="已注销",项目基本情况!E8="房地产抵押价值"),"4.抵押净值","5.抵押净值"),"——")</f>
        <v>——</v>
      </c>
      <c r="F111" s="4459"/>
      <c r="G111" s="3471" t="s">
        <v>1087</v>
      </c>
      <c r="H111" s="3472" t="str">
        <f>IF(E111="——","——",N59)</f>
        <v>——</v>
      </c>
      <c r="I111" s="662"/>
    </row>
    <row r="112" spans="1:35" ht="18.75" customHeight="1">
      <c r="A112" s="662"/>
      <c r="B112" s="662"/>
      <c r="C112" s="662"/>
      <c r="D112" s="662"/>
      <c r="E112" s="4460"/>
      <c r="F112" s="4461"/>
      <c r="G112" s="3485" t="s">
        <v>99</v>
      </c>
      <c r="H112" s="3236" t="str">
        <f>IF(E111="——","——",N61)</f>
        <v>——</v>
      </c>
      <c r="I112" s="662"/>
    </row>
    <row r="113" spans="1:27" ht="18.75" customHeight="1">
      <c r="A113" s="662"/>
      <c r="B113" s="662"/>
      <c r="C113" s="662"/>
      <c r="D113" s="662"/>
      <c r="E113" s="4457" t="s">
        <v>1093</v>
      </c>
      <c r="F113" s="4457"/>
      <c r="G113" s="4457"/>
      <c r="H113" s="4457"/>
      <c r="I113" s="662"/>
    </row>
    <row r="114" spans="1:27" ht="3.75" customHeight="1">
      <c r="A114" s="1954"/>
      <c r="B114" s="1954"/>
      <c r="C114" s="1954"/>
      <c r="D114" s="1954"/>
      <c r="E114" s="3369"/>
      <c r="F114" s="3369"/>
      <c r="G114" s="3369"/>
      <c r="H114" s="3369"/>
      <c r="I114" s="1954"/>
    </row>
    <row r="115" spans="1:27" ht="18.75" customHeight="1">
      <c r="A115" s="4440" t="s">
        <v>1095</v>
      </c>
      <c r="B115" s="4441"/>
      <c r="C115" s="4441"/>
      <c r="D115" s="4441"/>
      <c r="E115" s="4441"/>
      <c r="F115" s="4441"/>
      <c r="G115" s="4441"/>
      <c r="H115" s="4441"/>
      <c r="I115" s="4442"/>
    </row>
    <row r="116" spans="1:27" ht="27" customHeight="1">
      <c r="A116" s="4424" t="s">
        <v>1096</v>
      </c>
      <c r="B116" s="4433" t="s">
        <v>1097</v>
      </c>
      <c r="C116" s="4433" t="s">
        <v>1098</v>
      </c>
      <c r="D116" s="4443" t="s">
        <v>1099</v>
      </c>
      <c r="E116" s="4444"/>
      <c r="F116" s="4445"/>
      <c r="G116" s="4445"/>
      <c r="H116" s="4424" t="s">
        <v>1100</v>
      </c>
      <c r="I116" s="4424"/>
      <c r="K116" s="3486"/>
      <c r="L116" s="3487" t="s">
        <v>199</v>
      </c>
      <c r="M116" s="3487" t="s">
        <v>1101</v>
      </c>
      <c r="N116" s="3487" t="s">
        <v>1102</v>
      </c>
    </row>
    <row r="117" spans="1:27" ht="18.75" customHeight="1">
      <c r="A117" s="4424"/>
      <c r="B117" s="4434"/>
      <c r="C117" s="4434"/>
      <c r="D117" s="1137" t="s">
        <v>890</v>
      </c>
      <c r="E117" s="1137" t="s">
        <v>1103</v>
      </c>
      <c r="F117" s="1137" t="s">
        <v>890</v>
      </c>
      <c r="G117" s="1137" t="s">
        <v>1103</v>
      </c>
      <c r="H117" s="1137" t="s">
        <v>890</v>
      </c>
      <c r="I117" s="1137" t="s">
        <v>1103</v>
      </c>
      <c r="K117" s="3487" t="s">
        <v>1104</v>
      </c>
      <c r="L117" s="3488" t="e">
        <f ca="1">C34</f>
        <v>#REF!</v>
      </c>
      <c r="M117" s="3489" t="e">
        <f ca="1">C35</f>
        <v>#REF!</v>
      </c>
      <c r="N117" s="3489">
        <f ca="1">C32</f>
        <v>22614</v>
      </c>
    </row>
    <row r="118" spans="1:27" ht="24.75" customHeight="1">
      <c r="A118" s="3490" t="str">
        <f>项目基本情况!S2</f>
        <v>北京市通州区宋庄镇双埠头村、大庞村、大兴庄村土地共56套住宅用房出让国有建设用地使用权及在建建筑物房地产</v>
      </c>
      <c r="B118" s="3491">
        <f>M18</f>
        <v>25832.71</v>
      </c>
      <c r="C118" s="3491">
        <f>M19</f>
        <v>11094.04</v>
      </c>
      <c r="D118" s="3218" t="e">
        <f ca="1">ROUND(IF(C33="自定义",IF(D32="楼面单价",L119,E118*10000/B118),H118-F118),0)</f>
        <v>#REF!</v>
      </c>
      <c r="E118" s="3218" t="e">
        <f ca="1">ROUND(IF(D32="总价",L117,L119*B118/10000),0)</f>
        <v>#REF!</v>
      </c>
      <c r="F118" s="3218" t="e">
        <f ca="1">ROUND(IF(D32="楼面单价",,G118*10000/B118),0)</f>
        <v>#REF!</v>
      </c>
      <c r="G118" s="3218" t="e">
        <f ca="1">ROUND(IF(D32="总价",M117,M119*B118/10000),0)</f>
        <v>#REF!</v>
      </c>
      <c r="H118" s="3218">
        <f ca="1">ROUND(IF(D32="楼面单价",C32,N117*10000/B118),0)</f>
        <v>8754</v>
      </c>
      <c r="I118" s="3218">
        <f ca="1">ROUND(IF(D32="总价",C32,N119*B118/10000),4)</f>
        <v>58418.090400000001</v>
      </c>
      <c r="K118" s="3486"/>
      <c r="L118" s="3486"/>
      <c r="M118" s="3486"/>
      <c r="N118" s="3486"/>
    </row>
    <row r="119" spans="1:27" ht="18.75" customHeight="1">
      <c r="A119" s="4424" t="s">
        <v>1105</v>
      </c>
      <c r="B119" s="4424"/>
      <c r="C119" s="4424"/>
      <c r="D119" s="4420" t="e">
        <f ca="1">NUMBERSTRING(INT(E118*10000),2)&amp;"元整"</f>
        <v>#REF!</v>
      </c>
      <c r="E119" s="4422"/>
      <c r="F119" s="4420" t="e">
        <f ca="1">NUMBERSTRING(INT(G118*10000),2)&amp;"元整"</f>
        <v>#REF!</v>
      </c>
      <c r="G119" s="4422"/>
      <c r="H119" s="4420" t="str">
        <f ca="1">NUMBERSTRING(INT(I118*10000),2)&amp;"元整"</f>
        <v>伍亿捌仟肆佰壹拾捌万零玖佰零肆元整</v>
      </c>
      <c r="I119" s="4422"/>
      <c r="K119" s="3487" t="s">
        <v>1106</v>
      </c>
      <c r="L119" s="3489" t="e">
        <f ca="1">C34</f>
        <v>#REF!</v>
      </c>
      <c r="M119" s="3489" t="e">
        <f ca="1">C35</f>
        <v>#REF!</v>
      </c>
      <c r="N119" s="3489">
        <f ca="1">C32</f>
        <v>22614</v>
      </c>
    </row>
    <row r="120" spans="1:27" ht="18.75" hidden="1" customHeight="1">
      <c r="A120" s="4415" t="str">
        <f>IF(项目基本情况!B9="房地产市场价值","",MID(E103,3,LEN(E103)-2))</f>
        <v>估价师知悉的法定优先受偿款</v>
      </c>
      <c r="B120" s="4416"/>
      <c r="C120" s="4416"/>
      <c r="D120" s="4416"/>
      <c r="E120" s="4416"/>
      <c r="F120" s="4416"/>
      <c r="G120" s="4417"/>
      <c r="H120" s="4446">
        <f>H103</f>
        <v>849</v>
      </c>
      <c r="I120" s="4447"/>
      <c r="J120" s="3205"/>
      <c r="K120" s="3205" t="str">
        <f>IF(H120=0,"故，本次评估不存在"&amp;A120,"故，本次评估"&amp;A120&amp;"为人民币"&amp;H120&amp;"万元整。")</f>
        <v>故，本次评估估价师知悉的法定优先受偿款为人民币849万元整。</v>
      </c>
      <c r="L120" s="3205"/>
      <c r="M120" s="3205"/>
      <c r="N120" s="3205"/>
      <c r="O120" s="3205"/>
      <c r="P120" s="3205"/>
      <c r="Q120" s="3205"/>
      <c r="R120" s="3205"/>
      <c r="S120" s="3205"/>
    </row>
    <row r="121" spans="1:27" ht="18.75" hidden="1" customHeight="1">
      <c r="A121" s="4420" t="s">
        <v>1105</v>
      </c>
      <c r="B121" s="4421"/>
      <c r="C121" s="4421"/>
      <c r="D121" s="4421"/>
      <c r="E121" s="4421"/>
      <c r="F121" s="4421"/>
      <c r="G121" s="4422"/>
      <c r="H121" s="4438" t="str">
        <f>IF(H120=0,"零元整",NUMBERSTRING(INT(H120*10000),2)&amp;"元整")</f>
        <v>捌佰肆拾玖万元整</v>
      </c>
      <c r="I121" s="4439"/>
      <c r="AA121" s="682"/>
    </row>
    <row r="122" spans="1:27" ht="18.75" hidden="1" customHeight="1">
      <c r="A122" s="4415" t="str">
        <f>IF(项目基本情况!B9="房地产市场价值","",MID(E107,3,LEN(E107)-2))</f>
        <v>房地产抵押价值</v>
      </c>
      <c r="B122" s="4416"/>
      <c r="C122" s="4416"/>
      <c r="D122" s="4416"/>
      <c r="E122" s="4416"/>
      <c r="F122" s="4416"/>
      <c r="G122" s="4417"/>
      <c r="H122" s="4418">
        <f ca="1">H107</f>
        <v>57569.090400000001</v>
      </c>
      <c r="I122" s="4419"/>
      <c r="AA122" s="682"/>
    </row>
    <row r="123" spans="1:27" ht="18.75" hidden="1" customHeight="1">
      <c r="A123" s="4420" t="s">
        <v>1105</v>
      </c>
      <c r="B123" s="4421"/>
      <c r="C123" s="4421"/>
      <c r="D123" s="4421"/>
      <c r="E123" s="4421"/>
      <c r="F123" s="4421"/>
      <c r="G123" s="4422"/>
      <c r="H123" s="4420" t="str">
        <f ca="1">NUMBERSTRING(INT(H122*10000),2)&amp;"元整"</f>
        <v>伍亿柒仟伍佰陆拾玖万零玖佰零肆元整</v>
      </c>
      <c r="I123" s="4422"/>
      <c r="AA123" s="682"/>
    </row>
    <row r="124" spans="1:27" ht="18.75" hidden="1" customHeight="1">
      <c r="A124" s="4415" t="str">
        <f>IF(项目基本情况!B9="房地产市场价值","",MID(E109,3,LEN(E109)-2))</f>
        <v/>
      </c>
      <c r="B124" s="4416"/>
      <c r="C124" s="4416"/>
      <c r="D124" s="4416"/>
      <c r="E124" s="4416"/>
      <c r="F124" s="4416"/>
      <c r="G124" s="4417"/>
      <c r="H124" s="4418" t="str">
        <f>H109</f>
        <v>——</v>
      </c>
      <c r="I124" s="4419"/>
      <c r="AA124" s="682"/>
    </row>
    <row r="125" spans="1:27" ht="18.75" hidden="1" customHeight="1">
      <c r="A125" s="4420" t="s">
        <v>1105</v>
      </c>
      <c r="B125" s="4421"/>
      <c r="C125" s="4421"/>
      <c r="D125" s="4421"/>
      <c r="E125" s="4421"/>
      <c r="F125" s="4421"/>
      <c r="G125" s="4422"/>
      <c r="H125" s="4420" t="e">
        <f>NUMBERSTRING(INT(H124*10000),2)&amp;"元整"</f>
        <v>#VALUE!</v>
      </c>
      <c r="I125" s="4422"/>
      <c r="AA125" s="682"/>
    </row>
    <row r="126" spans="1:27" ht="18.75" hidden="1" customHeight="1">
      <c r="A126" s="4415" t="str">
        <f>IF(项目基本情况!B9="房地产市场价值","",MID(E111,3,LEN(E111)-2))</f>
        <v/>
      </c>
      <c r="B126" s="4416"/>
      <c r="C126" s="4416"/>
      <c r="D126" s="4416"/>
      <c r="E126" s="4416"/>
      <c r="F126" s="4416"/>
      <c r="G126" s="4417"/>
      <c r="H126" s="4418" t="str">
        <f>H111</f>
        <v>——</v>
      </c>
      <c r="I126" s="4419"/>
      <c r="AA126" s="682"/>
    </row>
    <row r="127" spans="1:27" ht="18.75" hidden="1" customHeight="1">
      <c r="A127" s="4420" t="s">
        <v>1105</v>
      </c>
      <c r="B127" s="4421"/>
      <c r="C127" s="4421"/>
      <c r="D127" s="4421"/>
      <c r="E127" s="4421"/>
      <c r="F127" s="4421"/>
      <c r="G127" s="4422"/>
      <c r="H127" s="4420" t="e">
        <f>NUMBERSTRING(INT(H126*10000),2)&amp;"元整"</f>
        <v>#VALUE!</v>
      </c>
      <c r="I127" s="4422"/>
      <c r="AA127" s="682"/>
    </row>
    <row r="128" spans="1:27" ht="21.75" hidden="1" customHeight="1">
      <c r="A128" s="4423" t="s">
        <v>113</v>
      </c>
      <c r="B128" s="4423"/>
      <c r="C128" s="4423"/>
      <c r="D128" s="4423"/>
      <c r="E128" s="4423"/>
      <c r="F128" s="4423"/>
      <c r="G128" s="4423"/>
      <c r="H128" s="4423"/>
      <c r="I128" s="4423"/>
      <c r="AA128" s="682"/>
    </row>
    <row r="129" spans="1:35" ht="21.75" hidden="1" customHeight="1">
      <c r="A129" s="3492" t="s">
        <v>1107</v>
      </c>
      <c r="B129" s="3493"/>
      <c r="C129" s="3494" t="s">
        <v>1108</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1109</v>
      </c>
      <c r="G135" s="3507"/>
      <c r="H135" s="3507"/>
      <c r="I135" s="3508" t="s">
        <v>1110</v>
      </c>
    </row>
    <row r="136" spans="1:35" ht="21.75" hidden="1" customHeight="1">
      <c r="A136" s="682"/>
      <c r="B136" s="3509" t="s">
        <v>1111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1112</v>
      </c>
    </row>
    <row r="139" spans="1:35" ht="21.75" hidden="1" customHeight="1">
      <c r="A139" s="682"/>
      <c r="B139" s="3509" t="s">
        <v>1113</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1112</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296" t="str">
        <f>项目基本情况!B1</f>
        <v>北京市通州区宋庄镇双埠头村、大庞村、大兴庄村土地共56套住宅用房出让国有建设用地使用权及在建建筑物房地产抵押价值预评估</v>
      </c>
      <c r="C37" s="4296"/>
      <c r="D37" s="4296"/>
      <c r="E37" s="4296"/>
      <c r="F37" s="4296"/>
      <c r="G37" s="4296"/>
      <c r="H37" s="4296"/>
      <c r="I37" s="4296"/>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view="pageBreakPreview" topLeftCell="A16" zoomScale="70" zoomScaleNormal="60" workbookViewId="0">
      <selection activeCell="K30" sqref="K30"/>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6" width="16.33203125" style="1192" customWidth="1"/>
    <col min="7" max="7" width="14.44140625" style="1192" customWidth="1"/>
    <col min="8" max="8" width="12.21875" style="1192" customWidth="1"/>
    <col min="9" max="9" width="14.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1114</v>
      </c>
      <c r="B1" s="1196"/>
      <c r="C1" s="1197" t="s">
        <v>1115</v>
      </c>
      <c r="D1" s="1198"/>
      <c r="E1" s="1198"/>
      <c r="F1" s="1199" t="s">
        <v>1116</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1117</v>
      </c>
      <c r="B2" s="561">
        <f>F67</f>
        <v>30122</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210">
        <f>ROUND(IF(D3="",B2*10000/'数据-汇总表'!E3,B2*10000/D3),0)</f>
        <v>11660</v>
      </c>
      <c r="C3" s="378" t="s">
        <v>1119</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1120</v>
      </c>
      <c r="B4" s="1213">
        <f>IF(B48="单位面积地价",C50,ROUND(B2*10000/'数据-汇总表'!D3,0))</f>
        <v>27152</v>
      </c>
      <c r="C4" s="669" t="s">
        <v>1121</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1810</v>
      </c>
      <c r="C5" s="670" t="s">
        <v>1122</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1123</v>
      </c>
      <c r="B6" s="1565"/>
      <c r="C6" s="4559" t="s">
        <v>1124</v>
      </c>
      <c r="D6" s="4560"/>
      <c r="E6" s="4561" t="s">
        <v>1125</v>
      </c>
      <c r="F6" s="4562"/>
      <c r="G6" s="4559" t="s">
        <v>1126</v>
      </c>
      <c r="H6" s="4560"/>
      <c r="I6" s="4559" t="s">
        <v>1127</v>
      </c>
      <c r="J6" s="4560"/>
      <c r="K6" s="1790" t="s">
        <v>1128</v>
      </c>
      <c r="L6" s="1218"/>
      <c r="M6" s="1219"/>
      <c r="N6" s="1219"/>
      <c r="O6" s="1219"/>
      <c r="P6" s="4518" t="s">
        <v>1129</v>
      </c>
      <c r="Q6" s="4519"/>
      <c r="R6" s="4524" t="s">
        <v>1125</v>
      </c>
      <c r="S6" s="4525"/>
      <c r="T6" s="4524" t="s">
        <v>1126</v>
      </c>
      <c r="U6" s="4525"/>
      <c r="V6" s="4530" t="s">
        <v>1127</v>
      </c>
      <c r="W6" s="4530"/>
      <c r="X6" s="1220"/>
      <c r="Y6" s="4531" t="s">
        <v>1129</v>
      </c>
      <c r="Z6" s="4532"/>
      <c r="AA6" s="4511" t="s">
        <v>1125</v>
      </c>
      <c r="AB6" s="4512" t="s">
        <v>1126</v>
      </c>
      <c r="AC6" s="4511" t="s">
        <v>1127</v>
      </c>
    </row>
    <row r="7" spans="1:29" ht="58.8" customHeight="1">
      <c r="A7" s="1570"/>
      <c r="B7" s="1571"/>
      <c r="C7" s="4563" t="s">
        <v>1130</v>
      </c>
      <c r="D7" s="4564"/>
      <c r="E7" s="4565" t="s">
        <v>1131</v>
      </c>
      <c r="F7" s="4566"/>
      <c r="G7" s="4567" t="s">
        <v>1132</v>
      </c>
      <c r="H7" s="4564"/>
      <c r="I7" s="4567" t="s">
        <v>1133</v>
      </c>
      <c r="J7" s="4564"/>
      <c r="K7" s="1790"/>
      <c r="L7" s="1218"/>
      <c r="M7" s="1219"/>
      <c r="N7" s="1219"/>
      <c r="O7" s="1219"/>
      <c r="P7" s="4520"/>
      <c r="Q7" s="4521"/>
      <c r="R7" s="4526"/>
      <c r="S7" s="4527"/>
      <c r="T7" s="4526"/>
      <c r="U7" s="4527"/>
      <c r="V7" s="4530"/>
      <c r="W7" s="4530"/>
      <c r="X7" s="1220"/>
      <c r="Y7" s="4533"/>
      <c r="Z7" s="4534"/>
      <c r="AA7" s="4512"/>
      <c r="AB7" s="4512"/>
      <c r="AC7" s="4512"/>
    </row>
    <row r="8" spans="1:29" ht="14.4">
      <c r="A8" s="1573"/>
      <c r="B8" s="1574"/>
      <c r="C8" s="4554" t="s">
        <v>1134</v>
      </c>
      <c r="D8" s="4555"/>
      <c r="E8" s="4556" t="s">
        <v>1134</v>
      </c>
      <c r="F8" s="4557"/>
      <c r="G8" s="4554" t="s">
        <v>1134</v>
      </c>
      <c r="H8" s="4555"/>
      <c r="I8" s="4554" t="s">
        <v>1134</v>
      </c>
      <c r="J8" s="4555"/>
      <c r="K8" s="1790" t="s">
        <v>1135</v>
      </c>
      <c r="L8" s="1218"/>
      <c r="M8" s="1219"/>
      <c r="N8" s="1219"/>
      <c r="O8" s="1219"/>
      <c r="P8" s="4522"/>
      <c r="Q8" s="4523"/>
      <c r="R8" s="4526"/>
      <c r="S8" s="4527"/>
      <c r="T8" s="4528"/>
      <c r="U8" s="4529"/>
      <c r="V8" s="4530"/>
      <c r="W8" s="4530"/>
      <c r="X8" s="1220"/>
      <c r="Y8" s="4535"/>
      <c r="Z8" s="4536"/>
      <c r="AA8" s="4513"/>
      <c r="AB8" s="4513"/>
      <c r="AC8" s="4513"/>
    </row>
    <row r="9" spans="1:29" s="1186" customFormat="1" ht="14.4">
      <c r="A9" s="1225" t="s">
        <v>1136</v>
      </c>
      <c r="B9" s="1226"/>
      <c r="C9" s="1227">
        <f>'数据-取费表'!B2</f>
        <v>46125</v>
      </c>
      <c r="D9" s="1228">
        <v>100</v>
      </c>
      <c r="E9" s="1229" t="s">
        <v>1137</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44" t="s">
        <v>1138</v>
      </c>
      <c r="Q9" s="4558"/>
      <c r="R9" s="1237" t="s">
        <v>1139</v>
      </c>
      <c r="S9" s="1238">
        <f t="shared" ref="S9:S17" si="0">F9</f>
        <v>102</v>
      </c>
      <c r="T9" s="1237" t="s">
        <v>1139</v>
      </c>
      <c r="U9" s="1238">
        <f t="shared" ref="U9:U17" si="1">H9</f>
        <v>100</v>
      </c>
      <c r="V9" s="1237" t="s">
        <v>1139</v>
      </c>
      <c r="W9" s="1238">
        <f t="shared" ref="W9:W17" si="2">J9</f>
        <v>100</v>
      </c>
      <c r="X9" s="1239"/>
      <c r="Y9" s="4542" t="s">
        <v>1138</v>
      </c>
      <c r="Z9" s="4543"/>
      <c r="AA9" s="1241">
        <f>D9/F9</f>
        <v>0.98039215686274495</v>
      </c>
      <c r="AB9" s="1241">
        <f>D9/H9</f>
        <v>1</v>
      </c>
      <c r="AC9" s="1241">
        <f>D9/J9</f>
        <v>1</v>
      </c>
    </row>
    <row r="10" spans="1:29" s="1186" customFormat="1" ht="14.4">
      <c r="A10" s="1225" t="s">
        <v>1140</v>
      </c>
      <c r="B10" s="1226"/>
      <c r="C10" s="1242" t="s">
        <v>1141</v>
      </c>
      <c r="D10" s="1228">
        <v>100</v>
      </c>
      <c r="E10" s="1242" t="s">
        <v>1141</v>
      </c>
      <c r="F10" s="1230">
        <f>SUMIF(74:74,E10,75:75)-SUMIF(74:74,C10,75:75)+100</f>
        <v>100</v>
      </c>
      <c r="G10" s="1242" t="s">
        <v>1141</v>
      </c>
      <c r="H10" s="1232">
        <f>SUMIF(74:74,G10,75:75)-SUMIF(74:74,C10,75:75)+100</f>
        <v>100</v>
      </c>
      <c r="I10" s="1242" t="s">
        <v>1141</v>
      </c>
      <c r="J10" s="1232">
        <f>SUMIF(74:74,I10,75:75)-SUMIF(74:74,C10,75:75)+100</f>
        <v>100</v>
      </c>
      <c r="K10" s="3152"/>
      <c r="L10" s="1234"/>
      <c r="M10" s="1235"/>
      <c r="N10" s="1235"/>
      <c r="O10" s="1235"/>
      <c r="P10" s="4544" t="s">
        <v>1142</v>
      </c>
      <c r="Q10" s="4545"/>
      <c r="R10" s="1237" t="s">
        <v>1139</v>
      </c>
      <c r="S10" s="1238">
        <f t="shared" si="0"/>
        <v>100</v>
      </c>
      <c r="T10" s="1237" t="s">
        <v>1139</v>
      </c>
      <c r="U10" s="1238">
        <f t="shared" si="1"/>
        <v>100</v>
      </c>
      <c r="V10" s="1237" t="s">
        <v>1139</v>
      </c>
      <c r="W10" s="1238">
        <f t="shared" si="2"/>
        <v>100</v>
      </c>
      <c r="X10" s="1239"/>
      <c r="Y10" s="4542" t="s">
        <v>1142</v>
      </c>
      <c r="Z10" s="4543"/>
      <c r="AA10" s="1241">
        <f t="shared" ref="AA10:AA47" si="3">D10/F10</f>
        <v>1</v>
      </c>
      <c r="AB10" s="1241">
        <f t="shared" ref="AB10:AB47" si="4">D10/H10</f>
        <v>1</v>
      </c>
      <c r="AC10" s="1241">
        <f t="shared" ref="AC10:AC47" si="5">D10/J10</f>
        <v>1</v>
      </c>
    </row>
    <row r="11" spans="1:29" s="1186" customFormat="1" ht="14.4">
      <c r="A11" s="1244" t="s">
        <v>1143</v>
      </c>
      <c r="B11" s="1245" t="s">
        <v>1144</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37" t="s">
        <v>1145</v>
      </c>
      <c r="Q11" s="1137" t="str">
        <f t="shared" ref="Q11:Q17" si="6">B11</f>
        <v>用途</v>
      </c>
      <c r="R11" s="1237" t="s">
        <v>1139</v>
      </c>
      <c r="S11" s="1238">
        <f t="shared" si="0"/>
        <v>100</v>
      </c>
      <c r="T11" s="1237" t="s">
        <v>1139</v>
      </c>
      <c r="U11" s="1238">
        <f t="shared" si="1"/>
        <v>100</v>
      </c>
      <c r="V11" s="1237" t="s">
        <v>1139</v>
      </c>
      <c r="W11" s="1238">
        <f t="shared" si="2"/>
        <v>100</v>
      </c>
      <c r="X11" s="1239"/>
      <c r="Y11" s="4550" t="s">
        <v>1146</v>
      </c>
      <c r="Z11" s="1241" t="str">
        <f t="shared" ref="Z11:Z17" si="7">Q11</f>
        <v>用途</v>
      </c>
      <c r="AA11" s="1241">
        <f t="shared" si="3"/>
        <v>1</v>
      </c>
      <c r="AB11" s="1241">
        <f t="shared" si="4"/>
        <v>1</v>
      </c>
      <c r="AC11" s="1241">
        <f t="shared" si="5"/>
        <v>1</v>
      </c>
    </row>
    <row r="12" spans="1:29" s="1187" customFormat="1" ht="28.8">
      <c r="A12" s="1250"/>
      <c r="B12" s="1251" t="s">
        <v>1147</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37"/>
      <c r="Q12" s="1137" t="str">
        <f t="shared" si="6"/>
        <v>土地使用年限（年）</v>
      </c>
      <c r="R12" s="1237" t="s">
        <v>1139</v>
      </c>
      <c r="S12" s="1238">
        <f t="shared" si="0"/>
        <v>101</v>
      </c>
      <c r="T12" s="1237" t="s">
        <v>1139</v>
      </c>
      <c r="U12" s="1238">
        <f t="shared" si="1"/>
        <v>101</v>
      </c>
      <c r="V12" s="1237" t="s">
        <v>1139</v>
      </c>
      <c r="W12" s="1238">
        <f t="shared" si="2"/>
        <v>101</v>
      </c>
      <c r="X12" s="1239"/>
      <c r="Y12" s="4550"/>
      <c r="Z12" s="1241" t="str">
        <f t="shared" si="7"/>
        <v>土地使用年限（年）</v>
      </c>
      <c r="AA12" s="1241">
        <f t="shared" si="3"/>
        <v>0.99009900990099009</v>
      </c>
      <c r="AB12" s="1241">
        <f t="shared" si="4"/>
        <v>0.99009900990099009</v>
      </c>
      <c r="AC12" s="1241">
        <f t="shared" si="5"/>
        <v>0.99009900990099009</v>
      </c>
    </row>
    <row r="13" spans="1:29" ht="15">
      <c r="A13" s="1259"/>
      <c r="B13" s="1251" t="s">
        <v>1148</v>
      </c>
      <c r="C13" s="1260">
        <v>1.8</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37"/>
      <c r="Q13" s="1137" t="str">
        <f t="shared" si="6"/>
        <v>容积率</v>
      </c>
      <c r="R13" s="1237" t="s">
        <v>1139</v>
      </c>
      <c r="S13" s="1238">
        <f t="shared" si="0"/>
        <v>100</v>
      </c>
      <c r="T13" s="1237" t="s">
        <v>1139</v>
      </c>
      <c r="U13" s="1238">
        <f t="shared" si="1"/>
        <v>99</v>
      </c>
      <c r="V13" s="1237" t="s">
        <v>1139</v>
      </c>
      <c r="W13" s="1238">
        <f t="shared" si="2"/>
        <v>100</v>
      </c>
      <c r="X13" s="1239"/>
      <c r="Y13" s="4550"/>
      <c r="Z13" s="1241" t="str">
        <f t="shared" si="7"/>
        <v>容积率</v>
      </c>
      <c r="AA13" s="1241">
        <f t="shared" si="3"/>
        <v>1</v>
      </c>
      <c r="AB13" s="1241">
        <f t="shared" si="4"/>
        <v>1.0101010101010099</v>
      </c>
      <c r="AC13" s="1241">
        <f t="shared" si="5"/>
        <v>1</v>
      </c>
    </row>
    <row r="14" spans="1:29" s="1186" customFormat="1" ht="15">
      <c r="A14" s="1265"/>
      <c r="B14" s="1266" t="s">
        <v>1149</v>
      </c>
      <c r="C14" s="1268">
        <v>47000</v>
      </c>
      <c r="D14" s="1267">
        <v>100</v>
      </c>
      <c r="E14" s="1268">
        <v>47000</v>
      </c>
      <c r="F14" s="1254">
        <f>SUMIF(83:83,E14,84:84)-SUMIF(83:83,C14,84:84)+100</f>
        <v>100</v>
      </c>
      <c r="G14" s="3155" t="s">
        <v>1150</v>
      </c>
      <c r="H14" s="1254">
        <f>SUMIF(83:83,G14,84:84)-SUMIF(83:83,C14,84:84)+100</f>
        <v>102</v>
      </c>
      <c r="I14" s="3155" t="s">
        <v>1150</v>
      </c>
      <c r="J14" s="1254">
        <f>SUMIF(83:83,I14,84:84)-SUMIF(83:83,C14,84:84)+100</f>
        <v>102</v>
      </c>
      <c r="K14" s="3156"/>
      <c r="L14" s="1234"/>
      <c r="M14" s="1235"/>
      <c r="N14" s="1235"/>
      <c r="O14" s="1249"/>
      <c r="P14" s="4537"/>
      <c r="Q14" s="1137" t="str">
        <f t="shared" si="6"/>
        <v>配建</v>
      </c>
      <c r="R14" s="1237" t="s">
        <v>1139</v>
      </c>
      <c r="S14" s="1238">
        <f t="shared" si="0"/>
        <v>100</v>
      </c>
      <c r="T14" s="1237" t="s">
        <v>1139</v>
      </c>
      <c r="U14" s="1238">
        <f t="shared" si="1"/>
        <v>102</v>
      </c>
      <c r="V14" s="1237" t="s">
        <v>1139</v>
      </c>
      <c r="W14" s="1238">
        <f t="shared" si="2"/>
        <v>102</v>
      </c>
      <c r="X14" s="1239"/>
      <c r="Y14" s="4550"/>
      <c r="Z14" s="1241" t="str">
        <f t="shared" si="7"/>
        <v>配建</v>
      </c>
      <c r="AA14" s="1241">
        <f t="shared" si="3"/>
        <v>1</v>
      </c>
      <c r="AB14" s="1241">
        <f t="shared" si="4"/>
        <v>0.98039215686274495</v>
      </c>
      <c r="AC14" s="1241">
        <f t="shared" si="5"/>
        <v>0.98039215686274495</v>
      </c>
    </row>
    <row r="15" spans="1:29" ht="15">
      <c r="A15" s="1259"/>
      <c r="B15" s="1266">
        <v>111</v>
      </c>
      <c r="C15" s="1270"/>
      <c r="D15" s="1271">
        <v>100</v>
      </c>
      <c r="E15" s="1268"/>
      <c r="F15" s="1254">
        <f>SUMIF(85:85,E15,86:86)-SUMIF(85:85,C15,86:86)+100</f>
        <v>100</v>
      </c>
      <c r="G15" s="3155"/>
      <c r="H15" s="1272">
        <f>SUMIF(85:85,G15,86:86)-SUMIF(85:85,C15,86:86)+100</f>
        <v>100</v>
      </c>
      <c r="I15" s="3155"/>
      <c r="J15" s="1272">
        <f>SUMIF(85:85,I15,86:86)-SUMIF(85:85,C15,86:86)+100</f>
        <v>100</v>
      </c>
      <c r="K15" s="3156"/>
      <c r="L15" s="1273"/>
      <c r="M15" s="1219"/>
      <c r="N15" s="1219"/>
      <c r="O15" s="1264"/>
      <c r="P15" s="4537"/>
      <c r="Q15" s="1137">
        <f t="shared" si="6"/>
        <v>111</v>
      </c>
      <c r="R15" s="1237" t="s">
        <v>1139</v>
      </c>
      <c r="S15" s="1238">
        <f t="shared" si="0"/>
        <v>100</v>
      </c>
      <c r="T15" s="1237" t="s">
        <v>1139</v>
      </c>
      <c r="U15" s="1238">
        <f t="shared" si="1"/>
        <v>100</v>
      </c>
      <c r="V15" s="1237" t="s">
        <v>1139</v>
      </c>
      <c r="W15" s="1238">
        <f t="shared" si="2"/>
        <v>100</v>
      </c>
      <c r="X15" s="1239"/>
      <c r="Y15" s="4550"/>
      <c r="Z15" s="1241">
        <f t="shared" si="7"/>
        <v>111</v>
      </c>
      <c r="AA15" s="1241">
        <f t="shared" si="3"/>
        <v>1</v>
      </c>
      <c r="AB15" s="1241">
        <f t="shared" si="4"/>
        <v>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37"/>
      <c r="Q16" s="1137">
        <f t="shared" si="6"/>
        <v>111</v>
      </c>
      <c r="R16" s="1237" t="s">
        <v>1139</v>
      </c>
      <c r="S16" s="1238">
        <f t="shared" si="0"/>
        <v>100</v>
      </c>
      <c r="T16" s="1237" t="s">
        <v>1139</v>
      </c>
      <c r="U16" s="1238">
        <f t="shared" si="1"/>
        <v>100</v>
      </c>
      <c r="V16" s="1237" t="s">
        <v>1139</v>
      </c>
      <c r="W16" s="1238">
        <f t="shared" si="2"/>
        <v>100</v>
      </c>
      <c r="X16" s="1239"/>
      <c r="Y16" s="4550"/>
      <c r="Z16" s="1241">
        <f t="shared" si="7"/>
        <v>111</v>
      </c>
      <c r="AA16" s="1241">
        <f t="shared" si="3"/>
        <v>1</v>
      </c>
      <c r="AB16" s="1241">
        <f t="shared" si="4"/>
        <v>1</v>
      </c>
      <c r="AC16" s="1241">
        <f t="shared" si="5"/>
        <v>1</v>
      </c>
    </row>
    <row r="17" spans="1:29" ht="55.2">
      <c r="A17" s="1279" t="s">
        <v>1151</v>
      </c>
      <c r="B17" s="1801" t="s">
        <v>1152</v>
      </c>
      <c r="C17" s="1802" t="str">
        <f>估价对象房地状况!C15</f>
        <v>在建：金地北京壹街区；佰富苑、艺和苑等，一般</v>
      </c>
      <c r="D17" s="1282">
        <v>100</v>
      </c>
      <c r="E17" s="1283"/>
      <c r="F17" s="1284">
        <f>SUMIF(89:89,E18,90:90)-SUMIF(89:89,C18,90:90)+100</f>
        <v>100</v>
      </c>
      <c r="G17" s="3157" t="s">
        <v>1153</v>
      </c>
      <c r="H17" s="1284">
        <f>SUMIF(89:89,G18,90:90)-SUMIF(89:89,C18,90:90)+100</f>
        <v>100</v>
      </c>
      <c r="I17" s="3157" t="s">
        <v>1153</v>
      </c>
      <c r="J17" s="1284">
        <f>SUMIF(89:89,I18,90:90)-SUMIF(89:89,C18,90:90)+100</f>
        <v>100</v>
      </c>
      <c r="K17" s="3154">
        <v>3</v>
      </c>
      <c r="L17" s="1273"/>
      <c r="M17" s="1219"/>
      <c r="N17" s="1219"/>
      <c r="O17" s="1264"/>
      <c r="P17" s="4546" t="s">
        <v>1154</v>
      </c>
      <c r="Q17" s="988" t="str">
        <f t="shared" si="6"/>
        <v>居住社区成熟度</v>
      </c>
      <c r="R17" s="1286" t="s">
        <v>1139</v>
      </c>
      <c r="S17" s="1287">
        <f t="shared" si="0"/>
        <v>100</v>
      </c>
      <c r="T17" s="1286" t="s">
        <v>1139</v>
      </c>
      <c r="U17" s="1287">
        <f t="shared" si="1"/>
        <v>100</v>
      </c>
      <c r="V17" s="1286" t="s">
        <v>1139</v>
      </c>
      <c r="W17" s="1287">
        <f t="shared" si="2"/>
        <v>100</v>
      </c>
      <c r="X17" s="1220"/>
      <c r="Y17" s="4551" t="s">
        <v>1154</v>
      </c>
      <c r="Z17" s="1288" t="str">
        <f t="shared" si="7"/>
        <v>居住社区成熟度</v>
      </c>
      <c r="AA17" s="1288">
        <f t="shared" si="3"/>
        <v>1</v>
      </c>
      <c r="AB17" s="1288">
        <f t="shared" si="4"/>
        <v>1</v>
      </c>
      <c r="AC17" s="1288">
        <f t="shared" si="5"/>
        <v>1</v>
      </c>
    </row>
    <row r="18" spans="1:29" ht="15">
      <c r="A18" s="1259"/>
      <c r="B18" s="1805"/>
      <c r="C18" s="1290" t="s">
        <v>1155</v>
      </c>
      <c r="D18" s="1291"/>
      <c r="E18" s="1303" t="s">
        <v>1155</v>
      </c>
      <c r="F18" s="1293"/>
      <c r="G18" s="1303" t="s">
        <v>1155</v>
      </c>
      <c r="H18" s="1294"/>
      <c r="I18" s="1304" t="s">
        <v>1155</v>
      </c>
      <c r="J18" s="1293"/>
      <c r="K18" s="3156"/>
      <c r="L18" s="1273"/>
      <c r="M18" s="1219"/>
      <c r="N18" s="1219"/>
      <c r="O18" s="1264"/>
      <c r="P18" s="4547"/>
      <c r="Q18" s="988"/>
      <c r="R18" s="1286"/>
      <c r="S18" s="1287"/>
      <c r="T18" s="1286"/>
      <c r="U18" s="1287"/>
      <c r="V18" s="1286"/>
      <c r="W18" s="1287"/>
      <c r="X18" s="1220"/>
      <c r="Y18" s="4552"/>
      <c r="Z18" s="1288"/>
      <c r="AA18" s="1288">
        <v>1</v>
      </c>
      <c r="AB18" s="1288">
        <v>1</v>
      </c>
      <c r="AC18" s="1288">
        <v>1</v>
      </c>
    </row>
    <row r="19" spans="1:29" ht="15">
      <c r="A19" s="1259"/>
      <c r="B19" s="1808" t="s">
        <v>1156</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47"/>
      <c r="Q19" s="988" t="str">
        <f>B19</f>
        <v>商业繁华度</v>
      </c>
      <c r="R19" s="1286" t="s">
        <v>1139</v>
      </c>
      <c r="S19" s="1287">
        <f>F19</f>
        <v>100</v>
      </c>
      <c r="T19" s="1286" t="s">
        <v>1139</v>
      </c>
      <c r="U19" s="1287">
        <f>H19</f>
        <v>100</v>
      </c>
      <c r="V19" s="1286" t="s">
        <v>1139</v>
      </c>
      <c r="W19" s="1287">
        <f>J19</f>
        <v>100</v>
      </c>
      <c r="X19" s="1220"/>
      <c r="Y19" s="4552"/>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47"/>
      <c r="Q20" s="988"/>
      <c r="R20" s="1286"/>
      <c r="S20" s="1287"/>
      <c r="T20" s="1286"/>
      <c r="U20" s="1287"/>
      <c r="V20" s="1286"/>
      <c r="W20" s="1287"/>
      <c r="X20" s="1220"/>
      <c r="Y20" s="4552"/>
      <c r="Z20" s="1288"/>
      <c r="AA20" s="1288">
        <v>1</v>
      </c>
      <c r="AB20" s="1288">
        <v>1</v>
      </c>
      <c r="AC20" s="1288">
        <v>1</v>
      </c>
    </row>
    <row r="21" spans="1:29" ht="15">
      <c r="A21" s="1259"/>
      <c r="B21" s="1808" t="s">
        <v>1157</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47"/>
      <c r="Q21" s="988" t="str">
        <f>B21</f>
        <v>办公集聚程度</v>
      </c>
      <c r="R21" s="1286" t="s">
        <v>1139</v>
      </c>
      <c r="S21" s="1287">
        <f>F21</f>
        <v>100</v>
      </c>
      <c r="T21" s="1286" t="s">
        <v>1139</v>
      </c>
      <c r="U21" s="1287">
        <f>H21</f>
        <v>100</v>
      </c>
      <c r="V21" s="1286" t="s">
        <v>1139</v>
      </c>
      <c r="W21" s="1287">
        <f>J21</f>
        <v>100</v>
      </c>
      <c r="X21" s="1220"/>
      <c r="Y21" s="4552"/>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47"/>
      <c r="Q22" s="988"/>
      <c r="R22" s="1286"/>
      <c r="S22" s="1287"/>
      <c r="T22" s="1286"/>
      <c r="U22" s="1287"/>
      <c r="V22" s="1286"/>
      <c r="W22" s="1287"/>
      <c r="X22" s="1220"/>
      <c r="Y22" s="4552"/>
      <c r="Z22" s="1288"/>
      <c r="AA22" s="1288">
        <v>1</v>
      </c>
      <c r="AB22" s="1288">
        <v>1</v>
      </c>
      <c r="AC22" s="1288">
        <v>1</v>
      </c>
    </row>
    <row r="23" spans="1:29" ht="28.8">
      <c r="A23" s="1259"/>
      <c r="B23" s="1808" t="s">
        <v>1158</v>
      </c>
      <c r="C23" s="1297" t="str">
        <f>估价对象房地状况!C18</f>
        <v>T18\T48，较差</v>
      </c>
      <c r="D23" s="1298">
        <v>100</v>
      </c>
      <c r="E23" s="1299"/>
      <c r="F23" s="1300">
        <f>SUMIF(95:95,E24,96:96)-SUMIF(95:95,C24,96:96)+100</f>
        <v>100</v>
      </c>
      <c r="G23" s="1299" t="s">
        <v>1159</v>
      </c>
      <c r="H23" s="1294">
        <f>SUMIF(95:95,G24,96:96)-SUMIF(95:95,C24,96:96)+100</f>
        <v>102</v>
      </c>
      <c r="I23" s="1299" t="s">
        <v>1159</v>
      </c>
      <c r="J23" s="1294">
        <f>SUMIF(95:95,I24,96:96)-SUMIF(95:95,C24,96:96)+100</f>
        <v>102</v>
      </c>
      <c r="K23" s="3154">
        <v>2</v>
      </c>
      <c r="L23" s="1273"/>
      <c r="M23" s="1219"/>
      <c r="N23" s="1219"/>
      <c r="O23" s="1264"/>
      <c r="P23" s="4547"/>
      <c r="Q23" s="988" t="str">
        <f>B23</f>
        <v>交通便捷度</v>
      </c>
      <c r="R23" s="1286" t="s">
        <v>1139</v>
      </c>
      <c r="S23" s="1287">
        <f>F23</f>
        <v>100</v>
      </c>
      <c r="T23" s="1286" t="s">
        <v>1139</v>
      </c>
      <c r="U23" s="1287">
        <f>H23</f>
        <v>102</v>
      </c>
      <c r="V23" s="1286" t="s">
        <v>1139</v>
      </c>
      <c r="W23" s="1287">
        <f>J23</f>
        <v>102</v>
      </c>
      <c r="X23" s="1220"/>
      <c r="Y23" s="4552"/>
      <c r="Z23" s="1288" t="str">
        <f>Q23</f>
        <v>交通便捷度</v>
      </c>
      <c r="AA23" s="1288">
        <f t="shared" si="3"/>
        <v>1</v>
      </c>
      <c r="AB23" s="1288">
        <f t="shared" si="4"/>
        <v>0.98039215686274495</v>
      </c>
      <c r="AC23" s="1288">
        <f t="shared" si="5"/>
        <v>0.98039215686274495</v>
      </c>
    </row>
    <row r="24" spans="1:29" ht="15">
      <c r="A24" s="1259"/>
      <c r="B24" s="1817"/>
      <c r="C24" s="1290" t="s">
        <v>1160</v>
      </c>
      <c r="D24" s="1298"/>
      <c r="E24" s="1303" t="s">
        <v>1160</v>
      </c>
      <c r="F24" s="1293"/>
      <c r="G24" s="1303" t="s">
        <v>1155</v>
      </c>
      <c r="H24" s="1293"/>
      <c r="I24" s="1304" t="s">
        <v>1155</v>
      </c>
      <c r="J24" s="1293"/>
      <c r="K24" s="3156"/>
      <c r="L24" s="1273"/>
      <c r="M24" s="1219"/>
      <c r="N24" s="1219"/>
      <c r="O24" s="1264"/>
      <c r="P24" s="4547"/>
      <c r="Q24" s="988"/>
      <c r="R24" s="1286"/>
      <c r="S24" s="1287"/>
      <c r="T24" s="1286"/>
      <c r="U24" s="1287"/>
      <c r="V24" s="1286"/>
      <c r="W24" s="1287"/>
      <c r="X24" s="1220"/>
      <c r="Y24" s="4552"/>
      <c r="Z24" s="1288"/>
      <c r="AA24" s="1288">
        <v>1</v>
      </c>
      <c r="AB24" s="1288">
        <v>1</v>
      </c>
      <c r="AC24" s="1288">
        <v>1</v>
      </c>
    </row>
    <row r="25" spans="1:29" ht="28.8">
      <c r="A25" s="1221"/>
      <c r="B25" s="1808" t="s">
        <v>1161</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47"/>
      <c r="Q25" s="988" t="str">
        <f t="shared" ref="Q25:Q40" si="8">B25</f>
        <v>区域土地利用方向</v>
      </c>
      <c r="R25" s="1286" t="s">
        <v>1139</v>
      </c>
      <c r="S25" s="1287">
        <f>F25</f>
        <v>100</v>
      </c>
      <c r="T25" s="1286" t="s">
        <v>1139</v>
      </c>
      <c r="U25" s="1287">
        <f>H25</f>
        <v>100</v>
      </c>
      <c r="V25" s="1286" t="s">
        <v>1139</v>
      </c>
      <c r="W25" s="1287">
        <f>J25</f>
        <v>100</v>
      </c>
      <c r="X25" s="1220"/>
      <c r="Y25" s="4552"/>
      <c r="Z25" s="1288" t="str">
        <f>Q25</f>
        <v>区域土地利用方向</v>
      </c>
      <c r="AA25" s="1288">
        <f t="shared" si="3"/>
        <v>1</v>
      </c>
      <c r="AB25" s="1288">
        <f t="shared" si="4"/>
        <v>1</v>
      </c>
      <c r="AC25" s="1288">
        <f t="shared" si="5"/>
        <v>1</v>
      </c>
    </row>
    <row r="26" spans="1:29" ht="15">
      <c r="A26" s="1221"/>
      <c r="B26" s="1332"/>
      <c r="C26" s="1310" t="s">
        <v>1162</v>
      </c>
      <c r="D26" s="1291"/>
      <c r="E26" s="1303" t="s">
        <v>1162</v>
      </c>
      <c r="F26" s="1293"/>
      <c r="G26" s="1303" t="s">
        <v>1162</v>
      </c>
      <c r="H26" s="1293"/>
      <c r="I26" s="1303" t="s">
        <v>1162</v>
      </c>
      <c r="J26" s="1293"/>
      <c r="K26" s="3158"/>
      <c r="L26" s="1273"/>
      <c r="M26" s="1219"/>
      <c r="N26" s="1219"/>
      <c r="O26" s="1264"/>
      <c r="P26" s="4547"/>
      <c r="Q26" s="988"/>
      <c r="R26" s="1286"/>
      <c r="S26" s="1287"/>
      <c r="T26" s="1286"/>
      <c r="U26" s="1287"/>
      <c r="V26" s="1286"/>
      <c r="W26" s="1287"/>
      <c r="X26" s="1220"/>
      <c r="Y26" s="4552"/>
      <c r="Z26" s="1288"/>
      <c r="AA26" s="1288"/>
      <c r="AB26" s="1288"/>
      <c r="AC26" s="1288"/>
    </row>
    <row r="27" spans="1:29" ht="69">
      <c r="A27" s="1221"/>
      <c r="B27" s="1817" t="s">
        <v>1163</v>
      </c>
      <c r="C27" s="1819" t="str">
        <f>估价对象房地状况!C20</f>
        <v>区域自然环境：；人文环境：北塘艺术区；综合评价环境状况一般</v>
      </c>
      <c r="D27" s="1298">
        <v>100</v>
      </c>
      <c r="E27" s="1299"/>
      <c r="F27" s="1294">
        <f>SUMIF(99:99,E28,100:100)-SUMIF(99:99,C28,100:100)+100</f>
        <v>100</v>
      </c>
      <c r="G27" s="3159" t="s">
        <v>1164</v>
      </c>
      <c r="H27" s="1294">
        <f>SUMIF(99:99,G28,100:100)-SUMIF(99:99,C28,100:100)+100</f>
        <v>100</v>
      </c>
      <c r="I27" s="3159" t="s">
        <v>1164</v>
      </c>
      <c r="J27" s="1294">
        <f>SUMIF(99:99,I28,100:100)-SUMIF(99:99,C28,100:100)+100</f>
        <v>100</v>
      </c>
      <c r="K27" s="3154">
        <v>2</v>
      </c>
      <c r="L27" s="1273"/>
      <c r="M27" s="1219"/>
      <c r="N27" s="1219"/>
      <c r="O27" s="1264"/>
      <c r="P27" s="4547"/>
      <c r="Q27" s="988" t="str">
        <f t="shared" si="8"/>
        <v>自然及人文环境状况</v>
      </c>
      <c r="R27" s="1286" t="s">
        <v>1139</v>
      </c>
      <c r="S27" s="1287">
        <f>F27</f>
        <v>100</v>
      </c>
      <c r="T27" s="1286" t="s">
        <v>1139</v>
      </c>
      <c r="U27" s="1287">
        <f>H27</f>
        <v>100</v>
      </c>
      <c r="V27" s="1286" t="s">
        <v>1139</v>
      </c>
      <c r="W27" s="1287">
        <f>J27</f>
        <v>100</v>
      </c>
      <c r="X27" s="1220"/>
      <c r="Y27" s="4552"/>
      <c r="Z27" s="1288" t="str">
        <f>Q27</f>
        <v>自然及人文环境状况</v>
      </c>
      <c r="AA27" s="1288">
        <f t="shared" si="3"/>
        <v>1</v>
      </c>
      <c r="AB27" s="1288">
        <f t="shared" si="4"/>
        <v>1</v>
      </c>
      <c r="AC27" s="1288">
        <f t="shared" si="5"/>
        <v>1</v>
      </c>
    </row>
    <row r="28" spans="1:29" ht="15">
      <c r="A28" s="1221"/>
      <c r="B28" s="1332"/>
      <c r="C28" s="1290" t="s">
        <v>1155</v>
      </c>
      <c r="D28" s="1291"/>
      <c r="E28" s="1292" t="s">
        <v>1155</v>
      </c>
      <c r="F28" s="1293"/>
      <c r="G28" s="1292" t="s">
        <v>1155</v>
      </c>
      <c r="H28" s="1293"/>
      <c r="I28" s="1292" t="s">
        <v>1155</v>
      </c>
      <c r="J28" s="1293"/>
      <c r="K28" s="3156"/>
      <c r="L28" s="1273"/>
      <c r="M28" s="1219"/>
      <c r="N28" s="1219"/>
      <c r="O28" s="1264"/>
      <c r="P28" s="4547"/>
      <c r="Q28" s="988"/>
      <c r="R28" s="1286"/>
      <c r="S28" s="1287"/>
      <c r="T28" s="1286"/>
      <c r="U28" s="1287"/>
      <c r="V28" s="1286"/>
      <c r="W28" s="1287"/>
      <c r="X28" s="1220"/>
      <c r="Y28" s="4552"/>
      <c r="Z28" s="1288"/>
      <c r="AA28" s="1288">
        <v>1</v>
      </c>
      <c r="AB28" s="1288">
        <v>1</v>
      </c>
      <c r="AC28" s="1288">
        <v>1</v>
      </c>
    </row>
    <row r="29" spans="1:29" s="1186" customFormat="1" ht="55.2">
      <c r="A29" s="1306"/>
      <c r="B29" s="1817" t="s">
        <v>1165</v>
      </c>
      <c r="C29" s="1297" t="str">
        <f>估价对象房地状况!C21</f>
        <v>新华联生活超市等；北京电影学院培训中心等，较差</v>
      </c>
      <c r="D29" s="1298">
        <v>100</v>
      </c>
      <c r="E29" s="1299"/>
      <c r="F29" s="1294">
        <f>SUMIF(101:101,E30,102:102)-SUMIF(101:101,C30,102:102)+100</f>
        <v>100</v>
      </c>
      <c r="G29" s="3159" t="s">
        <v>1166</v>
      </c>
      <c r="H29" s="1294">
        <f>SUMIF(101:101,G30,102:102)-SUMIF(101:101,C30,102:102)+100</f>
        <v>102</v>
      </c>
      <c r="I29" s="3159" t="s">
        <v>1166</v>
      </c>
      <c r="J29" s="1294">
        <f>SUMIF(101:101,I30,102:102)-SUMIF(101:101,C30,102:102)+100</f>
        <v>102</v>
      </c>
      <c r="K29" s="3154">
        <v>2</v>
      </c>
      <c r="L29" s="1234"/>
      <c r="M29" s="1235"/>
      <c r="N29" s="1235"/>
      <c r="O29" s="1249"/>
      <c r="P29" s="4547"/>
      <c r="Q29" s="1137" t="str">
        <f t="shared" si="8"/>
        <v>公共配套设施</v>
      </c>
      <c r="R29" s="1237" t="s">
        <v>1139</v>
      </c>
      <c r="S29" s="1238">
        <f>F29</f>
        <v>100</v>
      </c>
      <c r="T29" s="1237" t="s">
        <v>1139</v>
      </c>
      <c r="U29" s="1238">
        <f>H29</f>
        <v>102</v>
      </c>
      <c r="V29" s="1237" t="s">
        <v>1139</v>
      </c>
      <c r="W29" s="1238">
        <f>J29</f>
        <v>102</v>
      </c>
      <c r="X29" s="1239"/>
      <c r="Y29" s="4552"/>
      <c r="Z29" s="1241" t="str">
        <f>Q29</f>
        <v>公共配套设施</v>
      </c>
      <c r="AA29" s="1288">
        <f>D29/F29</f>
        <v>1</v>
      </c>
      <c r="AB29" s="1288">
        <f>D29/H29</f>
        <v>0.98039215686274495</v>
      </c>
      <c r="AC29" s="1288">
        <f>D29/J29</f>
        <v>0.98039215686274495</v>
      </c>
    </row>
    <row r="30" spans="1:29" s="1186" customFormat="1" ht="15">
      <c r="A30" s="1306"/>
      <c r="B30" s="1332"/>
      <c r="C30" s="1308" t="s">
        <v>1160</v>
      </c>
      <c r="D30" s="1291"/>
      <c r="E30" s="1292" t="s">
        <v>1160</v>
      </c>
      <c r="F30" s="1293"/>
      <c r="G30" s="1292" t="s">
        <v>1155</v>
      </c>
      <c r="H30" s="1293"/>
      <c r="I30" s="1290" t="s">
        <v>1155</v>
      </c>
      <c r="J30" s="1293"/>
      <c r="K30" s="3156"/>
      <c r="L30" s="1234"/>
      <c r="M30" s="1235"/>
      <c r="N30" s="1235"/>
      <c r="O30" s="1249"/>
      <c r="P30" s="4547"/>
      <c r="Q30" s="1137"/>
      <c r="R30" s="1237"/>
      <c r="S30" s="1238"/>
      <c r="T30" s="1237"/>
      <c r="U30" s="1238"/>
      <c r="V30" s="1237"/>
      <c r="W30" s="1238"/>
      <c r="X30" s="1239"/>
      <c r="Y30" s="4552"/>
      <c r="Z30" s="1241"/>
      <c r="AA30" s="1288">
        <v>1</v>
      </c>
      <c r="AB30" s="1288">
        <v>1</v>
      </c>
      <c r="AC30" s="1288">
        <v>1</v>
      </c>
    </row>
    <row r="31" spans="1:29" s="1186" customFormat="1" ht="15">
      <c r="A31" s="1306"/>
      <c r="B31" s="1817" t="s">
        <v>1167</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47"/>
      <c r="Q31" s="1137" t="str">
        <f t="shared" ref="Q31" si="9">B31</f>
        <v>基础设施水平</v>
      </c>
      <c r="R31" s="1237" t="s">
        <v>1139</v>
      </c>
      <c r="S31" s="1238">
        <f>F31</f>
        <v>100</v>
      </c>
      <c r="T31" s="1237" t="s">
        <v>1139</v>
      </c>
      <c r="U31" s="1238">
        <f>H31</f>
        <v>100</v>
      </c>
      <c r="V31" s="1237" t="s">
        <v>1139</v>
      </c>
      <c r="W31" s="1238">
        <f>J31</f>
        <v>100</v>
      </c>
      <c r="X31" s="1239"/>
      <c r="Y31" s="4552"/>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47"/>
      <c r="Q32" s="1137"/>
      <c r="R32" s="1237"/>
      <c r="S32" s="1238"/>
      <c r="T32" s="1237"/>
      <c r="U32" s="1238"/>
      <c r="V32" s="1237"/>
      <c r="W32" s="1238"/>
      <c r="X32" s="1239"/>
      <c r="Y32" s="4552"/>
      <c r="Z32" s="1241"/>
      <c r="AA32" s="1288">
        <v>1</v>
      </c>
      <c r="AB32" s="1288">
        <v>1</v>
      </c>
      <c r="AC32" s="1288">
        <v>1</v>
      </c>
    </row>
    <row r="33" spans="1:29" ht="15">
      <c r="A33" s="1259"/>
      <c r="B33" s="1332" t="s">
        <v>1168</v>
      </c>
      <c r="C33" s="1310" t="s">
        <v>1169</v>
      </c>
      <c r="D33" s="1271">
        <v>100</v>
      </c>
      <c r="E33" s="1311" t="s">
        <v>1169</v>
      </c>
      <c r="F33" s="1272">
        <f>SUMIF(105:105,E33,106:106)-SUMIF(105:105,C33,106:106)+100</f>
        <v>100</v>
      </c>
      <c r="G33" s="1311" t="s">
        <v>1170</v>
      </c>
      <c r="H33" s="1272">
        <f>SUMIF(105:105,G33,106:106)-SUMIF(105:105,C33,106:106)+100</f>
        <v>98</v>
      </c>
      <c r="I33" s="1311" t="s">
        <v>1170</v>
      </c>
      <c r="J33" s="1272">
        <f>SUMIF(105:105,I33,106:106)-SUMIF(105:105,C33,106:106)+100</f>
        <v>98</v>
      </c>
      <c r="K33" s="3154">
        <v>2</v>
      </c>
      <c r="L33" s="1273"/>
      <c r="M33" s="1219"/>
      <c r="N33" s="1219"/>
      <c r="O33" s="1264"/>
      <c r="P33" s="4547"/>
      <c r="Q33" s="988" t="str">
        <f t="shared" si="8"/>
        <v>临街状况</v>
      </c>
      <c r="R33" s="1286" t="s">
        <v>1139</v>
      </c>
      <c r="S33" s="1287">
        <f t="shared" ref="S33:S47" si="10">F33</f>
        <v>100</v>
      </c>
      <c r="T33" s="1286" t="s">
        <v>1139</v>
      </c>
      <c r="U33" s="1287">
        <f t="shared" ref="U33:U47" si="11">H33</f>
        <v>98</v>
      </c>
      <c r="V33" s="1286" t="s">
        <v>1139</v>
      </c>
      <c r="W33" s="1287">
        <f t="shared" ref="W33:W47" si="12">J33</f>
        <v>98</v>
      </c>
      <c r="X33" s="1220"/>
      <c r="Y33" s="4552"/>
      <c r="Z33" s="1288" t="str">
        <f t="shared" ref="Z33:Z47" si="13">Q33</f>
        <v>临街状况</v>
      </c>
      <c r="AA33" s="1288">
        <f t="shared" si="3"/>
        <v>1</v>
      </c>
      <c r="AB33" s="1288">
        <f t="shared" si="4"/>
        <v>1.0204081632653099</v>
      </c>
      <c r="AC33" s="1288">
        <f t="shared" si="5"/>
        <v>1.0204081632653099</v>
      </c>
    </row>
    <row r="34" spans="1:29" ht="28.8">
      <c r="A34" s="1259"/>
      <c r="B34" s="1817" t="s">
        <v>1171</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47"/>
      <c r="Q34" s="988" t="str">
        <f t="shared" si="8"/>
        <v>毗邻道路的类型与等级</v>
      </c>
      <c r="R34" s="1286" t="s">
        <v>1139</v>
      </c>
      <c r="S34" s="1287">
        <f t="shared" si="10"/>
        <v>100</v>
      </c>
      <c r="T34" s="1286" t="s">
        <v>1139</v>
      </c>
      <c r="U34" s="1287">
        <f t="shared" si="11"/>
        <v>100</v>
      </c>
      <c r="V34" s="1286" t="s">
        <v>1139</v>
      </c>
      <c r="W34" s="1287">
        <f t="shared" si="12"/>
        <v>100</v>
      </c>
      <c r="X34" s="1220"/>
      <c r="Y34" s="4552"/>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47"/>
      <c r="Q35" s="988"/>
      <c r="R35" s="1286"/>
      <c r="S35" s="1287"/>
      <c r="T35" s="1286"/>
      <c r="U35" s="1287"/>
      <c r="V35" s="1286"/>
      <c r="W35" s="1287"/>
      <c r="X35" s="1220"/>
      <c r="Y35" s="4552"/>
      <c r="Z35" s="1288"/>
      <c r="AA35" s="1288">
        <v>1</v>
      </c>
      <c r="AB35" s="1288">
        <v>1</v>
      </c>
      <c r="AC35" s="1288">
        <v>1</v>
      </c>
    </row>
    <row r="36" spans="1:29" ht="15">
      <c r="A36" s="1259"/>
      <c r="B36" s="1251" t="s">
        <v>1172</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47"/>
      <c r="Q36" s="988" t="str">
        <f t="shared" si="8"/>
        <v>土地级别</v>
      </c>
      <c r="R36" s="1286" t="s">
        <v>1139</v>
      </c>
      <c r="S36" s="1287">
        <f t="shared" si="10"/>
        <v>100</v>
      </c>
      <c r="T36" s="1286" t="s">
        <v>1139</v>
      </c>
      <c r="U36" s="1287">
        <f t="shared" si="11"/>
        <v>100</v>
      </c>
      <c r="V36" s="1286" t="s">
        <v>1139</v>
      </c>
      <c r="W36" s="1287">
        <f t="shared" si="12"/>
        <v>100</v>
      </c>
      <c r="X36" s="1220"/>
      <c r="Y36" s="4552"/>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47"/>
      <c r="Q37" s="988">
        <f t="shared" si="8"/>
        <v>111</v>
      </c>
      <c r="R37" s="1286" t="s">
        <v>1139</v>
      </c>
      <c r="S37" s="1287">
        <f t="shared" si="10"/>
        <v>100</v>
      </c>
      <c r="T37" s="1286" t="s">
        <v>1139</v>
      </c>
      <c r="U37" s="1287">
        <f t="shared" si="11"/>
        <v>100</v>
      </c>
      <c r="V37" s="1286" t="s">
        <v>1139</v>
      </c>
      <c r="W37" s="1287">
        <f t="shared" si="12"/>
        <v>100</v>
      </c>
      <c r="X37" s="1220"/>
      <c r="Y37" s="4552"/>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48" t="s">
        <v>1173</v>
      </c>
      <c r="Q38" s="988">
        <f t="shared" si="8"/>
        <v>111</v>
      </c>
      <c r="R38" s="1286" t="s">
        <v>1139</v>
      </c>
      <c r="S38" s="1287">
        <f t="shared" si="10"/>
        <v>100</v>
      </c>
      <c r="T38" s="1286" t="s">
        <v>1139</v>
      </c>
      <c r="U38" s="1287">
        <f t="shared" si="11"/>
        <v>100</v>
      </c>
      <c r="V38" s="1286" t="s">
        <v>1139</v>
      </c>
      <c r="W38" s="1287">
        <f t="shared" si="12"/>
        <v>100</v>
      </c>
      <c r="X38" s="1220"/>
      <c r="Y38" s="4553" t="s">
        <v>1173</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49"/>
      <c r="Q39" s="988">
        <f t="shared" si="8"/>
        <v>111</v>
      </c>
      <c r="R39" s="1328" t="s">
        <v>1139</v>
      </c>
      <c r="S39" s="1329">
        <f t="shared" si="10"/>
        <v>100</v>
      </c>
      <c r="T39" s="1328" t="s">
        <v>1139</v>
      </c>
      <c r="U39" s="1329">
        <f t="shared" si="11"/>
        <v>100</v>
      </c>
      <c r="V39" s="1328" t="s">
        <v>1139</v>
      </c>
      <c r="W39" s="1329">
        <f t="shared" si="12"/>
        <v>100</v>
      </c>
      <c r="X39" s="1330"/>
      <c r="Y39" s="4553"/>
      <c r="Z39" s="1331">
        <f t="shared" si="13"/>
        <v>111</v>
      </c>
      <c r="AA39" s="1288">
        <f t="shared" si="3"/>
        <v>1</v>
      </c>
      <c r="AB39" s="1288">
        <f t="shared" si="4"/>
        <v>1</v>
      </c>
      <c r="AC39" s="1288">
        <f t="shared" si="5"/>
        <v>1</v>
      </c>
    </row>
    <row r="40" spans="1:29" ht="15.6">
      <c r="A40" s="1337" t="s">
        <v>1174</v>
      </c>
      <c r="B40" s="1332" t="s">
        <v>1175</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49"/>
      <c r="Q40" s="988" t="str">
        <f t="shared" si="8"/>
        <v>宗地面积</v>
      </c>
      <c r="R40" s="1286" t="s">
        <v>1139</v>
      </c>
      <c r="S40" s="1287">
        <f t="shared" si="10"/>
        <v>102</v>
      </c>
      <c r="T40" s="1286" t="s">
        <v>1139</v>
      </c>
      <c r="U40" s="1287">
        <f t="shared" si="11"/>
        <v>102</v>
      </c>
      <c r="V40" s="1286" t="s">
        <v>1139</v>
      </c>
      <c r="W40" s="1287">
        <f t="shared" si="12"/>
        <v>102</v>
      </c>
      <c r="X40" s="1220"/>
      <c r="Y40" s="4553"/>
      <c r="Z40" s="1288" t="str">
        <f t="shared" si="13"/>
        <v>宗地面积</v>
      </c>
      <c r="AA40" s="1288">
        <f t="shared" si="3"/>
        <v>0.98039215686274495</v>
      </c>
      <c r="AB40" s="1288">
        <f t="shared" si="4"/>
        <v>0.98039215686274495</v>
      </c>
      <c r="AC40" s="1288">
        <f t="shared" si="5"/>
        <v>0.98039215686274495</v>
      </c>
    </row>
    <row r="41" spans="1:29" ht="15">
      <c r="A41" s="1337"/>
      <c r="B41" s="1251" t="s">
        <v>1176</v>
      </c>
      <c r="C41" s="1338" t="s">
        <v>1177</v>
      </c>
      <c r="D41" s="1271">
        <v>100</v>
      </c>
      <c r="E41" s="1338" t="s">
        <v>1177</v>
      </c>
      <c r="F41" s="1272">
        <f>SUMIF(120:120,E41,121:121)-SUMIF(120:120,C41,121:121)+100</f>
        <v>100</v>
      </c>
      <c r="G41" s="1338" t="s">
        <v>1177</v>
      </c>
      <c r="H41" s="1272">
        <f>SUMIF(120:120,G41,121:121)-SUMIF(120:120,C41,121:121)+100</f>
        <v>100</v>
      </c>
      <c r="I41" s="1338" t="s">
        <v>1177</v>
      </c>
      <c r="J41" s="1272">
        <f>SUMIF(120:120,I41,121:121)-SUMIF(120:120,C41,121:121)+100</f>
        <v>100</v>
      </c>
      <c r="K41" s="1798">
        <v>2</v>
      </c>
      <c r="L41" s="1273"/>
      <c r="M41" s="1219"/>
      <c r="N41" s="1219"/>
      <c r="O41" s="1264"/>
      <c r="P41" s="4549"/>
      <c r="Q41" s="988" t="str">
        <f t="shared" ref="Q41:Q47" si="14">B41</f>
        <v>宗地形状</v>
      </c>
      <c r="R41" s="1286" t="s">
        <v>1139</v>
      </c>
      <c r="S41" s="1287">
        <f t="shared" si="10"/>
        <v>100</v>
      </c>
      <c r="T41" s="1286" t="s">
        <v>1139</v>
      </c>
      <c r="U41" s="1287">
        <f t="shared" si="11"/>
        <v>100</v>
      </c>
      <c r="V41" s="1286" t="s">
        <v>1139</v>
      </c>
      <c r="W41" s="1287">
        <f t="shared" si="12"/>
        <v>100</v>
      </c>
      <c r="X41" s="1220"/>
      <c r="Y41" s="4553"/>
      <c r="Z41" s="1288" t="str">
        <f t="shared" si="13"/>
        <v>宗地形状</v>
      </c>
      <c r="AA41" s="1288">
        <f t="shared" si="3"/>
        <v>1</v>
      </c>
      <c r="AB41" s="1288">
        <f t="shared" si="4"/>
        <v>1</v>
      </c>
      <c r="AC41" s="1288">
        <f t="shared" si="5"/>
        <v>1</v>
      </c>
    </row>
    <row r="42" spans="1:29" ht="15">
      <c r="A42" s="1337"/>
      <c r="B42" s="1251" t="s">
        <v>1178</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49"/>
      <c r="Q42" s="988" t="str">
        <f t="shared" si="14"/>
        <v>临街宽度及深度</v>
      </c>
      <c r="R42" s="1286" t="s">
        <v>1139</v>
      </c>
      <c r="S42" s="1287">
        <f t="shared" si="10"/>
        <v>100</v>
      </c>
      <c r="T42" s="1286" t="s">
        <v>1139</v>
      </c>
      <c r="U42" s="1287">
        <f t="shared" si="11"/>
        <v>100</v>
      </c>
      <c r="V42" s="1286" t="s">
        <v>1139</v>
      </c>
      <c r="W42" s="1287">
        <f t="shared" si="12"/>
        <v>100</v>
      </c>
      <c r="X42" s="1220"/>
      <c r="Y42" s="4553"/>
      <c r="Z42" s="1288" t="str">
        <f t="shared" si="13"/>
        <v>临街宽度及深度</v>
      </c>
      <c r="AA42" s="1288">
        <f t="shared" si="3"/>
        <v>1</v>
      </c>
      <c r="AB42" s="1288">
        <f t="shared" si="4"/>
        <v>1</v>
      </c>
      <c r="AC42" s="1288">
        <f t="shared" si="5"/>
        <v>1</v>
      </c>
    </row>
    <row r="43" spans="1:29" s="1186" customFormat="1" ht="15">
      <c r="A43" s="1339"/>
      <c r="B43" s="1251" t="s">
        <v>1179</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49"/>
      <c r="Q43" s="988" t="str">
        <f t="shared" si="14"/>
        <v>宗地开发程度</v>
      </c>
      <c r="R43" s="1237" t="s">
        <v>1139</v>
      </c>
      <c r="S43" s="1238">
        <f t="shared" si="10"/>
        <v>97</v>
      </c>
      <c r="T43" s="1237" t="s">
        <v>1139</v>
      </c>
      <c r="U43" s="1238">
        <f t="shared" si="11"/>
        <v>101</v>
      </c>
      <c r="V43" s="1237" t="s">
        <v>1139</v>
      </c>
      <c r="W43" s="1238">
        <f t="shared" si="12"/>
        <v>97</v>
      </c>
      <c r="X43" s="1239"/>
      <c r="Y43" s="4553"/>
      <c r="Z43" s="1241" t="str">
        <f t="shared" si="13"/>
        <v>宗地开发程度</v>
      </c>
      <c r="AA43" s="1241">
        <f t="shared" si="3"/>
        <v>1.0309278350515501</v>
      </c>
      <c r="AB43" s="1241">
        <f t="shared" si="4"/>
        <v>0.99009900990098998</v>
      </c>
      <c r="AC43" s="1241">
        <f t="shared" si="5"/>
        <v>1.0309278350515501</v>
      </c>
    </row>
    <row r="44" spans="1:29" ht="15">
      <c r="A44" s="1337"/>
      <c r="B44" s="1251" t="s">
        <v>1180</v>
      </c>
      <c r="C44" s="1338" t="s">
        <v>1162</v>
      </c>
      <c r="D44" s="1271">
        <v>100</v>
      </c>
      <c r="E44" s="1338" t="s">
        <v>1162</v>
      </c>
      <c r="F44" s="1272">
        <f>SUMIF(126:126,E44,127:127)-SUMIF(126:126,C44,127:127)+100</f>
        <v>100</v>
      </c>
      <c r="G44" s="1338" t="s">
        <v>1162</v>
      </c>
      <c r="H44" s="1272">
        <f>SUMIF(126:126,G44,127:127)-SUMIF(126:126,C44,127:127)+100</f>
        <v>100</v>
      </c>
      <c r="I44" s="1338" t="s">
        <v>1162</v>
      </c>
      <c r="J44" s="1272">
        <f>SUMIF(126:126,I44,127:127)-SUMIF(126:126,C44,127:127)+100</f>
        <v>100</v>
      </c>
      <c r="K44" s="1798">
        <v>2</v>
      </c>
      <c r="L44" s="1273"/>
      <c r="M44" s="1219"/>
      <c r="N44" s="1219"/>
      <c r="O44" s="1264"/>
      <c r="P44" s="4549" t="s">
        <v>1173</v>
      </c>
      <c r="Q44" s="988" t="str">
        <f t="shared" si="14"/>
        <v>工程地质条件</v>
      </c>
      <c r="R44" s="1286" t="s">
        <v>1139</v>
      </c>
      <c r="S44" s="1287">
        <f t="shared" si="10"/>
        <v>100</v>
      </c>
      <c r="T44" s="1286" t="s">
        <v>1139</v>
      </c>
      <c r="U44" s="1287">
        <f t="shared" si="11"/>
        <v>100</v>
      </c>
      <c r="V44" s="1286" t="s">
        <v>1139</v>
      </c>
      <c r="W44" s="1287">
        <f t="shared" si="12"/>
        <v>100</v>
      </c>
      <c r="X44" s="1220"/>
      <c r="Y44" s="4553" t="s">
        <v>1173</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49"/>
      <c r="Q45" s="988">
        <f t="shared" si="14"/>
        <v>111</v>
      </c>
      <c r="R45" s="1286" t="s">
        <v>1139</v>
      </c>
      <c r="S45" s="1287">
        <f t="shared" si="10"/>
        <v>100</v>
      </c>
      <c r="T45" s="1286" t="s">
        <v>1139</v>
      </c>
      <c r="U45" s="1287">
        <f t="shared" si="11"/>
        <v>100</v>
      </c>
      <c r="V45" s="1286" t="s">
        <v>1139</v>
      </c>
      <c r="W45" s="1287">
        <f t="shared" si="12"/>
        <v>100</v>
      </c>
      <c r="X45" s="1220"/>
      <c r="Y45" s="4553"/>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49"/>
      <c r="Q46" s="988">
        <f t="shared" si="14"/>
        <v>111</v>
      </c>
      <c r="R46" s="1286" t="s">
        <v>1139</v>
      </c>
      <c r="S46" s="1287">
        <f t="shared" si="10"/>
        <v>100</v>
      </c>
      <c r="T46" s="1286" t="s">
        <v>1139</v>
      </c>
      <c r="U46" s="1287">
        <f t="shared" si="11"/>
        <v>100</v>
      </c>
      <c r="V46" s="1286" t="s">
        <v>1139</v>
      </c>
      <c r="W46" s="1287">
        <f t="shared" si="12"/>
        <v>100</v>
      </c>
      <c r="X46" s="1220"/>
      <c r="Y46" s="4553"/>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49"/>
      <c r="Q47" s="988">
        <f t="shared" si="14"/>
        <v>111</v>
      </c>
      <c r="R47" s="1328" t="s">
        <v>1139</v>
      </c>
      <c r="S47" s="1329">
        <f t="shared" si="10"/>
        <v>100</v>
      </c>
      <c r="T47" s="1328" t="s">
        <v>1139</v>
      </c>
      <c r="U47" s="1329">
        <f t="shared" si="11"/>
        <v>100</v>
      </c>
      <c r="V47" s="1328" t="s">
        <v>1139</v>
      </c>
      <c r="W47" s="1329">
        <f t="shared" si="12"/>
        <v>100</v>
      </c>
      <c r="X47" s="1330"/>
      <c r="Y47" s="4553"/>
      <c r="Z47" s="1331">
        <f t="shared" si="13"/>
        <v>111</v>
      </c>
      <c r="AA47" s="1288">
        <f t="shared" si="3"/>
        <v>1</v>
      </c>
      <c r="AB47" s="1288">
        <f t="shared" si="4"/>
        <v>1</v>
      </c>
      <c r="AC47" s="1288">
        <f t="shared" si="5"/>
        <v>1</v>
      </c>
    </row>
    <row r="48" spans="1:29" ht="14.4">
      <c r="A48" s="1345" t="s">
        <v>1181</v>
      </c>
      <c r="B48" s="1346" t="s">
        <v>1182</v>
      </c>
      <c r="C48" s="1347" t="s">
        <v>124</v>
      </c>
      <c r="D48" s="1657"/>
      <c r="E48" s="1349">
        <v>20817</v>
      </c>
      <c r="F48" s="1350"/>
      <c r="G48" s="1351">
        <v>19154</v>
      </c>
      <c r="H48" s="1352"/>
      <c r="I48" s="1349">
        <v>17981</v>
      </c>
      <c r="J48" s="1352"/>
      <c r="K48" s="1353"/>
      <c r="L48" s="1354"/>
      <c r="M48" s="1219"/>
      <c r="N48" s="1219"/>
      <c r="O48" s="1219"/>
      <c r="P48" s="4537" t="str">
        <f>A48</f>
        <v>成交单价</v>
      </c>
      <c r="Q48" s="4537"/>
      <c r="R48" s="4538">
        <f>E48</f>
        <v>20817</v>
      </c>
      <c r="S48" s="4538"/>
      <c r="T48" s="4538">
        <f>G48</f>
        <v>19154</v>
      </c>
      <c r="U48" s="4538"/>
      <c r="V48" s="4538">
        <f>I48</f>
        <v>17981</v>
      </c>
      <c r="W48" s="4538"/>
      <c r="X48" s="1355"/>
      <c r="Y48" s="1356"/>
      <c r="Z48" s="1355"/>
      <c r="AA48" s="1355"/>
      <c r="AB48" s="1355"/>
      <c r="AC48" s="1355"/>
    </row>
    <row r="49" spans="1:29" ht="14.4">
      <c r="A49" s="1357" t="s">
        <v>1183</v>
      </c>
      <c r="B49" s="1358"/>
      <c r="C49" s="1359">
        <f>R50</f>
        <v>18157</v>
      </c>
      <c r="D49" s="1659" t="s">
        <v>1184</v>
      </c>
      <c r="E49" s="1359">
        <f>R49</f>
        <v>20423</v>
      </c>
      <c r="F49" s="1361">
        <v>0.2</v>
      </c>
      <c r="G49" s="1362">
        <f>T49</f>
        <v>17879</v>
      </c>
      <c r="H49" s="1361">
        <v>0.4</v>
      </c>
      <c r="I49" s="1359">
        <f>V49</f>
        <v>17302</v>
      </c>
      <c r="J49" s="1361">
        <v>0.4</v>
      </c>
      <c r="K49" s="1363">
        <f>F49+H49+J49</f>
        <v>1</v>
      </c>
      <c r="L49" s="1354"/>
      <c r="M49" s="1219"/>
      <c r="N49" s="1219"/>
      <c r="O49" s="1219"/>
      <c r="P49" s="4537" t="str">
        <f>A49</f>
        <v>比较价值（元/平方米）</v>
      </c>
      <c r="Q49" s="4537"/>
      <c r="R49" s="4538">
        <f>ROUND(PRODUCT(R48,AA9:AA47),0)</f>
        <v>20423</v>
      </c>
      <c r="S49" s="4538"/>
      <c r="T49" s="4538">
        <f>ROUND(PRODUCT(T48,AB9:AB47),0)</f>
        <v>17879</v>
      </c>
      <c r="U49" s="4538"/>
      <c r="V49" s="4538">
        <f>ROUND(PRODUCT(V48,AC9:AC47),0)</f>
        <v>17302</v>
      </c>
      <c r="W49" s="4538"/>
      <c r="X49" s="1355"/>
      <c r="Y49" s="1355"/>
      <c r="Z49" s="1355"/>
      <c r="AA49" s="1355"/>
      <c r="AB49" s="1355"/>
      <c r="AC49" s="1355"/>
    </row>
    <row r="50" spans="1:29" ht="14.4">
      <c r="A50" s="1364" t="s">
        <v>1185</v>
      </c>
      <c r="B50" s="1365"/>
      <c r="C50" s="1366">
        <f>R50</f>
        <v>18157</v>
      </c>
      <c r="D50" s="1761"/>
      <c r="E50" s="1761"/>
      <c r="F50" s="1761"/>
      <c r="G50" s="1761"/>
      <c r="H50" s="1761"/>
      <c r="I50" s="1761"/>
      <c r="J50" s="1761"/>
      <c r="K50" s="3163"/>
      <c r="L50" s="1354"/>
      <c r="M50" s="1219"/>
      <c r="N50" s="1219"/>
      <c r="O50" s="1219"/>
      <c r="P50" s="4539" t="str">
        <f>A50</f>
        <v>估价对象XX用房的比较价值（楼面单价，元/平方米）</v>
      </c>
      <c r="Q50" s="4540"/>
      <c r="R50" s="4541">
        <f>ROUND(IF(D49="简单平均",AVERAGE(R49:W49),R49*F49+T49*H49+V49*J49),0)</f>
        <v>18157</v>
      </c>
      <c r="S50" s="4541"/>
      <c r="T50" s="4541"/>
      <c r="U50" s="4541"/>
      <c r="V50" s="4541"/>
      <c r="W50" s="4541"/>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1186</v>
      </c>
      <c r="D53" s="1058"/>
      <c r="E53" s="1373">
        <f>IF(E48&lt;E49,E49/E48-1,E48/E49-1)</f>
        <v>1.9291974734368056E-2</v>
      </c>
      <c r="F53" s="1374" t="str">
        <f>IF(OR(E53&gt;=0.3,E53&lt;=-0.3),"超过30%","")</f>
        <v/>
      </c>
      <c r="G53" s="1373">
        <f>IF(G48&lt;G49,G49/G48-1,G48/G49-1)</f>
        <v>7.1312713238995462E-2</v>
      </c>
      <c r="H53" s="1374" t="str">
        <f>IF(OR(G53&gt;=0.3,G53&lt;=-0.3),"超过30%","")</f>
        <v/>
      </c>
      <c r="I53" s="1373">
        <f>IF(I48&lt;I49,I49/I48-1,I48/I49-1)</f>
        <v>3.9244018032597472E-2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1187</v>
      </c>
      <c r="D54" s="1057"/>
      <c r="E54" s="1373">
        <f>IF(E49&lt;G49,G49/E49-1,E49/G49-1)</f>
        <v>0.14228983723921917</v>
      </c>
      <c r="F54" s="1374" t="str">
        <f>IF(OR(E54&gt;=0.2,E54&lt;=-0.2),"超过20%","")</f>
        <v/>
      </c>
      <c r="G54" s="1373">
        <f>IF(G49&lt;I49,I49/G49-1,G49/I49-1)</f>
        <v>3.3348745809733016E-2</v>
      </c>
      <c r="H54" s="1374" t="str">
        <f>IF(OR(G54&gt;=0.2,G54&lt;=-0.2),"超过20%","")</f>
        <v/>
      </c>
      <c r="I54" s="1373">
        <f>IF(I49&lt;E49,E49/I49-1,I49/E49-1)</f>
        <v>0.18038377066235123</v>
      </c>
      <c r="J54" s="1374" t="str">
        <f>IF(OR(I54&gt;=0.2,I54&lt;=-0.2),"超过20%","")</f>
        <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1188</v>
      </c>
      <c r="D55" s="1057"/>
      <c r="E55" s="1373">
        <f>IF(E48&lt;G48,G48/E48-1,E48/G48-1)</f>
        <v>8.6822595802443295E-2</v>
      </c>
      <c r="F55" s="1374" t="str">
        <f>IF(OR(E55&gt;=0.3,E55&lt;=-0.3),"超过30%","")</f>
        <v/>
      </c>
      <c r="G55" s="1373">
        <f>IF(G48&lt;I48,I48/G48-1,G48/I48-1)</f>
        <v>6.5235526388966097E-2</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1189</v>
      </c>
      <c r="B57" s="1382" t="s">
        <v>1190</v>
      </c>
      <c r="C57" s="1383" t="s">
        <v>1191</v>
      </c>
      <c r="D57" s="1384" t="s">
        <v>1192</v>
      </c>
      <c r="E57" s="1385" t="s">
        <v>1193</v>
      </c>
      <c r="F57" s="3166" t="s">
        <v>1194</v>
      </c>
      <c r="G57" s="4514" t="s">
        <v>1195</v>
      </c>
      <c r="H57" s="4515"/>
      <c r="I57" s="3167" t="s">
        <v>1196</v>
      </c>
      <c r="J57" s="3168">
        <f>项目基本情况!F35</f>
        <v>0</v>
      </c>
      <c r="K57" s="1388" t="s">
        <v>1197</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1198</v>
      </c>
      <c r="B58" s="1390">
        <f>C50</f>
        <v>18157</v>
      </c>
      <c r="C58" s="2235">
        <v>1</v>
      </c>
      <c r="D58" s="1391">
        <v>1</v>
      </c>
      <c r="E58" s="1392">
        <f>'数据-汇总表'!E8+'数据-汇总表'!E9</f>
        <v>16229.82</v>
      </c>
      <c r="F58" s="3169">
        <f t="shared" ref="F58:F66" si="15">ROUND(B58*E58/10000,0)</f>
        <v>29468</v>
      </c>
      <c r="G58" s="4516"/>
      <c r="H58" s="4517"/>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1199</v>
      </c>
      <c r="B59" s="1390">
        <f>ROUND($C$50*C59*D59,0)</f>
        <v>2724</v>
      </c>
      <c r="C59" s="852">
        <f t="shared" ref="C59:C66" si="16">IF($C$57="北京市系数",I59,J59)</f>
        <v>0.6</v>
      </c>
      <c r="D59" s="1397">
        <v>0.25</v>
      </c>
      <c r="E59" s="1398"/>
      <c r="F59" s="3169">
        <f t="shared" si="15"/>
        <v>0</v>
      </c>
      <c r="G59" s="3173" t="s">
        <v>1200</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1201</v>
      </c>
      <c r="B60" s="1390">
        <f t="shared" ref="B60:B66" si="17">ROUND($C$50*C60*D60,0)</f>
        <v>1362</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1202</v>
      </c>
      <c r="B61" s="1390">
        <f t="shared" si="17"/>
        <v>1135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1203</v>
      </c>
      <c r="B62" s="1390">
        <f t="shared" si="17"/>
        <v>1135</v>
      </c>
      <c r="C62" s="852">
        <f t="shared" si="16"/>
        <v>0.25</v>
      </c>
      <c r="D62" s="1397">
        <v>0.25</v>
      </c>
      <c r="E62" s="1404">
        <f>'数据-汇总表'!E11</f>
        <v>0</v>
      </c>
      <c r="F62" s="3169">
        <f t="shared" si="15"/>
        <v>0</v>
      </c>
      <c r="G62" s="1405" t="s">
        <v>1204</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1205</v>
      </c>
      <c r="B63" s="1390">
        <f t="shared" si="17"/>
        <v>1135</v>
      </c>
      <c r="C63" s="852">
        <f t="shared" si="16"/>
        <v>0.25</v>
      </c>
      <c r="D63" s="1397">
        <v>0.25</v>
      </c>
      <c r="E63" s="1404">
        <f>'数据-汇总表'!E12</f>
        <v>0</v>
      </c>
      <c r="F63" s="3169">
        <f t="shared" si="15"/>
        <v>0</v>
      </c>
      <c r="G63" s="1406" t="s">
        <v>1206</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1207</v>
      </c>
      <c r="B64" s="1390">
        <f t="shared" si="17"/>
        <v>681</v>
      </c>
      <c r="C64" s="852">
        <f t="shared" si="16"/>
        <v>0.15</v>
      </c>
      <c r="D64" s="1397">
        <v>0.25</v>
      </c>
      <c r="E64" s="1404">
        <f>'数据-汇总表'!E13</f>
        <v>9602.89</v>
      </c>
      <c r="F64" s="3169">
        <f t="shared" si="15"/>
        <v>654</v>
      </c>
      <c r="G64" s="1406" t="s">
        <v>1208</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1209</v>
      </c>
      <c r="B65" s="1390">
        <f t="shared" si="17"/>
        <v>681</v>
      </c>
      <c r="C65" s="852">
        <f t="shared" si="16"/>
        <v>0.15</v>
      </c>
      <c r="D65" s="1397">
        <v>0.25</v>
      </c>
      <c r="E65" s="1404">
        <f>'数据-汇总表'!E14</f>
        <v>0</v>
      </c>
      <c r="F65" s="3169">
        <f t="shared" si="15"/>
        <v>0</v>
      </c>
      <c r="G65" s="1405" t="s">
        <v>1200</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1210</v>
      </c>
      <c r="B66" s="1390">
        <f t="shared" si="17"/>
        <v>681</v>
      </c>
      <c r="C66" s="852">
        <f t="shared" si="16"/>
        <v>0.15</v>
      </c>
      <c r="D66" s="1397">
        <v>0.25</v>
      </c>
      <c r="E66" s="1404">
        <f>'数据-汇总表'!E15</f>
        <v>0</v>
      </c>
      <c r="F66" s="3169">
        <f t="shared" si="15"/>
        <v>0</v>
      </c>
      <c r="G66" s="1407" t="s">
        <v>1204</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1211</v>
      </c>
      <c r="B67" s="1410" t="s">
        <v>1212</v>
      </c>
      <c r="C67" s="1410" t="s">
        <v>1212</v>
      </c>
      <c r="D67" s="3181" t="s">
        <v>1212</v>
      </c>
      <c r="E67" s="1411">
        <f>IF(B48="楼面地价",SUM(E58:E66),'数据-汇总表'!D3)</f>
        <v>25832.71</v>
      </c>
      <c r="F67" s="1412">
        <f>IF(B48="楼面地价",SUM(F58:F66),ROUND(C50*E67/10000,0))</f>
        <v>30122</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1213</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1214</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1215</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1216</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1140</v>
      </c>
      <c r="B74" s="1444"/>
      <c r="C74" s="1445" t="s">
        <v>1217</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1218</v>
      </c>
      <c r="B76" s="1454" t="s">
        <v>1144</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1147</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1148</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配建</v>
      </c>
      <c r="C83" s="1482">
        <v>47000</v>
      </c>
      <c r="D83" s="2301" t="s">
        <v>1150</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c r="A85" s="1481"/>
      <c r="B85" s="1465">
        <f>B15</f>
        <v>111</v>
      </c>
      <c r="C85" s="1482"/>
      <c r="D85" s="1482"/>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c r="A86" s="1481"/>
      <c r="B86" s="1470"/>
      <c r="C86" s="1488"/>
      <c r="D86" s="1488"/>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1151</v>
      </c>
      <c r="B89" s="1454" t="s">
        <v>1152</v>
      </c>
      <c r="C89" s="1501" t="s">
        <v>1219</v>
      </c>
      <c r="D89" s="1501" t="s">
        <v>1220</v>
      </c>
      <c r="E89" s="1501" t="s">
        <v>1221</v>
      </c>
      <c r="F89" s="1501" t="s">
        <v>1222</v>
      </c>
      <c r="G89" s="1501" t="s">
        <v>1223</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1156</v>
      </c>
      <c r="C91" s="1506" t="s">
        <v>1219</v>
      </c>
      <c r="D91" s="1506" t="s">
        <v>1220</v>
      </c>
      <c r="E91" s="1506" t="s">
        <v>1221</v>
      </c>
      <c r="F91" s="1506" t="s">
        <v>1222</v>
      </c>
      <c r="G91" s="1506" t="s">
        <v>1223</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1157</v>
      </c>
      <c r="C93" s="1506" t="s">
        <v>1219</v>
      </c>
      <c r="D93" s="1506" t="s">
        <v>1220</v>
      </c>
      <c r="E93" s="1506" t="s">
        <v>1221</v>
      </c>
      <c r="F93" s="1506" t="s">
        <v>1222</v>
      </c>
      <c r="G93" s="1506" t="s">
        <v>1223</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1158</v>
      </c>
      <c r="C95" s="1506" t="s">
        <v>1219</v>
      </c>
      <c r="D95" s="1506" t="s">
        <v>1220</v>
      </c>
      <c r="E95" s="1506" t="s">
        <v>1221</v>
      </c>
      <c r="F95" s="1506" t="s">
        <v>1222</v>
      </c>
      <c r="G95" s="1506" t="s">
        <v>1223</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1161</v>
      </c>
      <c r="C97" s="1506" t="s">
        <v>1219</v>
      </c>
      <c r="D97" s="1506" t="s">
        <v>1220</v>
      </c>
      <c r="E97" s="1506" t="s">
        <v>1221</v>
      </c>
      <c r="F97" s="1506" t="s">
        <v>1222</v>
      </c>
      <c r="G97" s="1506" t="s">
        <v>1223</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1163</v>
      </c>
      <c r="C99" s="1501" t="s">
        <v>1219</v>
      </c>
      <c r="D99" s="1501" t="s">
        <v>1220</v>
      </c>
      <c r="E99" s="1501" t="s">
        <v>1221</v>
      </c>
      <c r="F99" s="1501" t="s">
        <v>1222</v>
      </c>
      <c r="G99" s="1501" t="s">
        <v>1223</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1165</v>
      </c>
      <c r="C101" s="1501" t="s">
        <v>1219</v>
      </c>
      <c r="D101" s="1501" t="s">
        <v>1220</v>
      </c>
      <c r="E101" s="1501" t="s">
        <v>1221</v>
      </c>
      <c r="F101" s="1501" t="s">
        <v>1222</v>
      </c>
      <c r="G101" s="1501" t="s">
        <v>1223</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1167</v>
      </c>
      <c r="C103" s="1295" t="s">
        <v>1224</v>
      </c>
      <c r="D103" s="1295" t="s">
        <v>1225</v>
      </c>
      <c r="E103" s="1295" t="s">
        <v>1226</v>
      </c>
      <c r="F103" s="1295" t="s">
        <v>1227</v>
      </c>
      <c r="G103" s="1295" t="s">
        <v>1228</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1229</v>
      </c>
      <c r="D105" s="1466" t="s">
        <v>1230</v>
      </c>
      <c r="E105" s="1466" t="s">
        <v>1231</v>
      </c>
      <c r="F105" s="1466" t="s">
        <v>1232</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1171</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1172</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1174</v>
      </c>
      <c r="B117" s="1454" t="s">
        <v>1175</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1176</v>
      </c>
      <c r="C120" s="1517" t="s">
        <v>1233</v>
      </c>
      <c r="D120" s="1517" t="s">
        <v>1177</v>
      </c>
      <c r="E120" s="1517" t="s">
        <v>1234</v>
      </c>
      <c r="F120" s="1517" t="s">
        <v>1235</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1178</v>
      </c>
      <c r="C122" s="2301" t="s">
        <v>1236</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1179</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1180</v>
      </c>
      <c r="C126" s="2301" t="s">
        <v>1162</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1237</v>
      </c>
      <c r="D2" s="3132" t="s">
        <v>1238</v>
      </c>
      <c r="E2" s="3133">
        <v>42633.99</v>
      </c>
      <c r="F2" s="3133">
        <v>92358.19</v>
      </c>
      <c r="G2" s="3132" t="s">
        <v>1239</v>
      </c>
      <c r="H2" s="3132" t="s">
        <v>1240</v>
      </c>
      <c r="I2" s="3132" t="s">
        <v>1241</v>
      </c>
      <c r="J2" s="3132" t="s">
        <v>1242</v>
      </c>
      <c r="L2" s="3134">
        <v>46114</v>
      </c>
      <c r="M2" s="3132" t="s">
        <v>1243</v>
      </c>
      <c r="N2" s="3135" t="s">
        <v>1244</v>
      </c>
      <c r="O2" s="3133">
        <v>176900</v>
      </c>
      <c r="P2" s="3133">
        <v>35380</v>
      </c>
      <c r="Q2" s="3136">
        <v>46113.708333333299</v>
      </c>
      <c r="R2" s="3133">
        <v>176900</v>
      </c>
      <c r="S2" s="3133">
        <v>41492.71</v>
      </c>
      <c r="T2" s="3133">
        <v>2766.18</v>
      </c>
      <c r="U2" s="3133">
        <v>19154</v>
      </c>
      <c r="V2" s="3133" t="s">
        <v>1245</v>
      </c>
      <c r="W2" s="3133">
        <v>0</v>
      </c>
      <c r="X2" s="3133" t="s">
        <v>1245</v>
      </c>
      <c r="Y2" s="3133" t="s">
        <v>1245</v>
      </c>
      <c r="Z2" s="3133" t="s">
        <v>1245</v>
      </c>
      <c r="AA2" s="3132" t="s">
        <v>1246</v>
      </c>
      <c r="AB2" s="3137"/>
      <c r="AC2" s="3132" t="s">
        <v>1247</v>
      </c>
      <c r="AD2" s="3135" t="s">
        <v>1245</v>
      </c>
      <c r="AE2" s="3138" t="s">
        <v>1245</v>
      </c>
      <c r="AF2" s="3133" t="s">
        <v>1245</v>
      </c>
      <c r="AG2" s="3132" t="s">
        <v>1248</v>
      </c>
      <c r="AH2" s="3133">
        <v>3</v>
      </c>
    </row>
    <row r="3" spans="1:34" s="3130" customFormat="1">
      <c r="A3" s="3132"/>
      <c r="B3" s="3132" t="s">
        <v>522</v>
      </c>
      <c r="C3" s="3132" t="s">
        <v>1237</v>
      </c>
      <c r="D3" s="3132" t="s">
        <v>1249</v>
      </c>
      <c r="E3" s="3133">
        <v>48537.62</v>
      </c>
      <c r="F3" s="3133">
        <v>87367.71</v>
      </c>
      <c r="G3" s="3132" t="s">
        <v>1250</v>
      </c>
      <c r="H3" s="3132" t="s">
        <v>1251</v>
      </c>
      <c r="I3" s="3132">
        <v>1.8</v>
      </c>
      <c r="J3" s="3132" t="s">
        <v>1242</v>
      </c>
      <c r="L3" s="3134">
        <v>46056</v>
      </c>
      <c r="M3" s="3132" t="s">
        <v>1243</v>
      </c>
      <c r="N3" s="3139" t="s">
        <v>1252</v>
      </c>
      <c r="O3" s="3133">
        <v>156200</v>
      </c>
      <c r="P3" s="3133">
        <v>31240</v>
      </c>
      <c r="Q3" s="3136">
        <v>46055.708333333299</v>
      </c>
      <c r="R3" s="3133">
        <v>156200</v>
      </c>
      <c r="S3" s="3133">
        <v>32181.22</v>
      </c>
      <c r="T3" s="3133">
        <v>2145.41</v>
      </c>
      <c r="U3" s="3133">
        <v>17878</v>
      </c>
      <c r="V3" s="3133" t="s">
        <v>1245</v>
      </c>
      <c r="W3" s="3133">
        <v>0</v>
      </c>
      <c r="X3" s="3133" t="s">
        <v>1245</v>
      </c>
      <c r="Y3" s="3133" t="s">
        <v>1245</v>
      </c>
      <c r="Z3" s="3133" t="s">
        <v>1245</v>
      </c>
      <c r="AA3" s="3132" t="s">
        <v>1246</v>
      </c>
      <c r="AB3" s="3137"/>
      <c r="AC3" s="3132" t="s">
        <v>640</v>
      </c>
      <c r="AD3" s="3135" t="s">
        <v>1253</v>
      </c>
      <c r="AE3" s="3140">
        <v>46086</v>
      </c>
      <c r="AF3" s="3133">
        <v>78100</v>
      </c>
      <c r="AG3" s="3132" t="s">
        <v>1248</v>
      </c>
      <c r="AH3" s="3133">
        <v>3</v>
      </c>
    </row>
    <row r="4" spans="1:34">
      <c r="A4" s="3141"/>
      <c r="B4" s="3141" t="s">
        <v>522</v>
      </c>
      <c r="C4" s="3141" t="s">
        <v>1254</v>
      </c>
      <c r="D4" s="3141" t="s">
        <v>1255</v>
      </c>
      <c r="E4" s="3142">
        <v>24740.13</v>
      </c>
      <c r="F4" s="3142">
        <v>54428.28</v>
      </c>
      <c r="G4" s="3141" t="s">
        <v>1250</v>
      </c>
      <c r="H4" s="3141" t="s">
        <v>1251</v>
      </c>
      <c r="I4" s="3141">
        <v>2.2000000000000002</v>
      </c>
      <c r="J4" s="3141" t="s">
        <v>1242</v>
      </c>
      <c r="L4" s="3143">
        <v>45988</v>
      </c>
      <c r="M4" s="3141" t="s">
        <v>1243</v>
      </c>
      <c r="N4" s="3144" t="s">
        <v>1256</v>
      </c>
      <c r="O4" s="3142">
        <v>123600</v>
      </c>
      <c r="P4" s="3142">
        <v>24720</v>
      </c>
      <c r="Q4" s="3145">
        <v>45988.625</v>
      </c>
      <c r="R4" s="3142">
        <v>124800</v>
      </c>
      <c r="S4" s="3142">
        <v>49959.31</v>
      </c>
      <c r="T4" s="3142">
        <v>3330.62</v>
      </c>
      <c r="U4" s="3142">
        <v>22929</v>
      </c>
      <c r="V4" s="3142" t="s">
        <v>1245</v>
      </c>
      <c r="W4" s="3142">
        <v>0.97</v>
      </c>
      <c r="X4" s="3142" t="s">
        <v>1245</v>
      </c>
      <c r="Y4" s="3142" t="s">
        <v>1245</v>
      </c>
      <c r="Z4" s="3142" t="s">
        <v>1245</v>
      </c>
      <c r="AA4" s="3141" t="s">
        <v>1257</v>
      </c>
      <c r="AB4" s="3144" t="s">
        <v>1258</v>
      </c>
      <c r="AC4" s="3141" t="s">
        <v>640</v>
      </c>
      <c r="AD4" s="3144" t="s">
        <v>1259</v>
      </c>
      <c r="AE4" s="3146">
        <v>46018</v>
      </c>
      <c r="AF4" s="3142">
        <v>62400</v>
      </c>
      <c r="AG4" s="3141" t="s">
        <v>1248</v>
      </c>
      <c r="AH4" s="3142">
        <v>5</v>
      </c>
    </row>
    <row r="5" spans="1:34">
      <c r="A5" s="3141"/>
      <c r="B5" s="3141" t="s">
        <v>522</v>
      </c>
      <c r="C5" s="3141" t="s">
        <v>1260</v>
      </c>
      <c r="D5" s="3141" t="s">
        <v>1261</v>
      </c>
      <c r="E5" s="3142">
        <v>112782.45</v>
      </c>
      <c r="F5" s="3142">
        <v>261935.08</v>
      </c>
      <c r="G5" s="3141" t="s">
        <v>1239</v>
      </c>
      <c r="H5" s="3141" t="s">
        <v>1262</v>
      </c>
      <c r="I5" s="3141" t="s">
        <v>1263</v>
      </c>
      <c r="J5" s="3141" t="s">
        <v>1242</v>
      </c>
      <c r="L5" s="3143">
        <v>45812</v>
      </c>
      <c r="M5" s="3141" t="s">
        <v>1243</v>
      </c>
      <c r="N5" s="3144" t="s">
        <v>1264</v>
      </c>
      <c r="O5" s="3142">
        <v>749100</v>
      </c>
      <c r="P5" s="3142">
        <v>149820</v>
      </c>
      <c r="Q5" s="3145">
        <v>45811.708333333299</v>
      </c>
      <c r="R5" s="3142">
        <v>749100</v>
      </c>
      <c r="S5" s="3142">
        <v>66419.91</v>
      </c>
      <c r="T5" s="3142">
        <v>4427.99</v>
      </c>
      <c r="U5" s="3142">
        <v>28599</v>
      </c>
      <c r="V5" s="3142" t="s">
        <v>1245</v>
      </c>
      <c r="W5" s="3142">
        <v>0</v>
      </c>
      <c r="X5" s="3142" t="s">
        <v>1245</v>
      </c>
      <c r="Y5" s="3142" t="s">
        <v>1245</v>
      </c>
      <c r="Z5" s="3142" t="s">
        <v>1245</v>
      </c>
      <c r="AA5" s="3141" t="s">
        <v>1265</v>
      </c>
      <c r="AB5" s="3144" t="s">
        <v>1266</v>
      </c>
      <c r="AC5" s="3141" t="s">
        <v>640</v>
      </c>
      <c r="AD5" s="3144" t="s">
        <v>1267</v>
      </c>
      <c r="AE5" s="3147" t="s">
        <v>1245</v>
      </c>
      <c r="AF5" s="3142" t="s">
        <v>1245</v>
      </c>
      <c r="AG5" s="3141" t="s">
        <v>1248</v>
      </c>
      <c r="AH5" s="3142">
        <v>5</v>
      </c>
    </row>
    <row r="6" spans="1:34">
      <c r="A6" s="3141"/>
      <c r="B6" s="3141" t="s">
        <v>522</v>
      </c>
      <c r="C6" s="3141" t="s">
        <v>1254</v>
      </c>
      <c r="D6" s="3141" t="s">
        <v>1268</v>
      </c>
      <c r="E6" s="3142">
        <v>12744.21</v>
      </c>
      <c r="F6" s="3142">
        <v>21665.15</v>
      </c>
      <c r="G6" s="3141" t="s">
        <v>1250</v>
      </c>
      <c r="H6" s="3141" t="s">
        <v>1251</v>
      </c>
      <c r="I6" s="3141">
        <v>1.7</v>
      </c>
      <c r="J6" s="3141" t="s">
        <v>1242</v>
      </c>
      <c r="L6" s="3143">
        <v>45776</v>
      </c>
      <c r="M6" s="3141" t="s">
        <v>1243</v>
      </c>
      <c r="N6" s="3144" t="s">
        <v>1269</v>
      </c>
      <c r="O6" s="3142">
        <v>63600</v>
      </c>
      <c r="P6" s="3142">
        <v>12720</v>
      </c>
      <c r="Q6" s="3141" t="s">
        <v>1245</v>
      </c>
      <c r="R6" s="3142">
        <v>77552</v>
      </c>
      <c r="S6" s="3142">
        <v>49905.01</v>
      </c>
      <c r="T6" s="3142">
        <v>3327</v>
      </c>
      <c r="U6" s="3142">
        <v>35796</v>
      </c>
      <c r="V6" s="3142" t="s">
        <v>1245</v>
      </c>
      <c r="W6" s="3142">
        <v>21.94</v>
      </c>
      <c r="X6" s="3142" t="s">
        <v>1245</v>
      </c>
      <c r="Y6" s="3142" t="s">
        <v>1245</v>
      </c>
      <c r="Z6" s="3142" t="s">
        <v>1245</v>
      </c>
      <c r="AA6" s="3141" t="s">
        <v>1257</v>
      </c>
      <c r="AB6" s="3144" t="s">
        <v>1270</v>
      </c>
      <c r="AC6" s="3141" t="s">
        <v>640</v>
      </c>
      <c r="AD6" s="3144" t="s">
        <v>1271</v>
      </c>
      <c r="AE6" s="3146">
        <v>45816</v>
      </c>
      <c r="AF6" s="3142">
        <v>77552</v>
      </c>
      <c r="AG6" s="3141" t="s">
        <v>1248</v>
      </c>
      <c r="AH6" s="3142">
        <v>5</v>
      </c>
    </row>
    <row r="7" spans="1:34">
      <c r="A7" s="3141"/>
      <c r="B7" s="3141" t="s">
        <v>522</v>
      </c>
      <c r="C7" s="3141" t="s">
        <v>1272</v>
      </c>
      <c r="D7" s="3141" t="s">
        <v>1273</v>
      </c>
      <c r="E7" s="3142">
        <v>34729.57</v>
      </c>
      <c r="F7" s="3142">
        <v>86823.93</v>
      </c>
      <c r="G7" s="3141" t="s">
        <v>1250</v>
      </c>
      <c r="H7" s="3141" t="s">
        <v>1251</v>
      </c>
      <c r="I7" s="3141">
        <v>2.5</v>
      </c>
      <c r="J7" s="3141" t="s">
        <v>1242</v>
      </c>
      <c r="L7" s="3143">
        <v>45755</v>
      </c>
      <c r="M7" s="3141" t="s">
        <v>1243</v>
      </c>
      <c r="N7" s="3144" t="s">
        <v>1274</v>
      </c>
      <c r="O7" s="3142">
        <v>232900</v>
      </c>
      <c r="P7" s="3142">
        <v>46580</v>
      </c>
      <c r="Q7" s="3145">
        <v>45754.708333333299</v>
      </c>
      <c r="R7" s="3142">
        <v>270820</v>
      </c>
      <c r="S7" s="3142">
        <v>67061.009999999995</v>
      </c>
      <c r="T7" s="3142">
        <v>4470.7299999999996</v>
      </c>
      <c r="U7" s="3142">
        <v>31192</v>
      </c>
      <c r="V7" s="3142" t="s">
        <v>1245</v>
      </c>
      <c r="W7" s="3142">
        <v>16.28</v>
      </c>
      <c r="X7" s="3142" t="s">
        <v>1245</v>
      </c>
      <c r="Y7" s="3142" t="s">
        <v>1245</v>
      </c>
      <c r="Z7" s="3142" t="s">
        <v>1245</v>
      </c>
      <c r="AA7" s="3141" t="s">
        <v>1246</v>
      </c>
      <c r="AB7" s="3144" t="s">
        <v>1275</v>
      </c>
      <c r="AC7" s="3141" t="s">
        <v>640</v>
      </c>
      <c r="AD7" s="3144" t="s">
        <v>1276</v>
      </c>
      <c r="AE7" s="3147" t="s">
        <v>1245</v>
      </c>
      <c r="AF7" s="3142" t="s">
        <v>1245</v>
      </c>
      <c r="AG7" s="3141" t="s">
        <v>1248</v>
      </c>
      <c r="AH7" s="3142">
        <v>5</v>
      </c>
    </row>
    <row r="12" spans="1:34">
      <c r="A12" s="5" t="s">
        <v>1277</v>
      </c>
      <c r="B12" s="5" t="s">
        <v>1278</v>
      </c>
      <c r="C12" s="5" t="s">
        <v>1279</v>
      </c>
      <c r="D12" s="5" t="s">
        <v>1280</v>
      </c>
      <c r="E12" s="5" t="s">
        <v>1281</v>
      </c>
      <c r="F12" s="5" t="s">
        <v>1282</v>
      </c>
      <c r="G12" s="5" t="s">
        <v>1283</v>
      </c>
      <c r="H12" s="5" t="s">
        <v>1284</v>
      </c>
      <c r="I12" s="5" t="s">
        <v>1285</v>
      </c>
      <c r="J12" s="5" t="s">
        <v>1286</v>
      </c>
      <c r="K12" s="5" t="s">
        <v>1287</v>
      </c>
      <c r="L12" s="5" t="s">
        <v>1288</v>
      </c>
      <c r="M12" s="5" t="s">
        <v>1289</v>
      </c>
      <c r="N12" s="5" t="s">
        <v>1290</v>
      </c>
      <c r="O12" s="5" t="s">
        <v>1291</v>
      </c>
      <c r="P12" s="5" t="s">
        <v>1292</v>
      </c>
      <c r="Q12" s="5" t="s">
        <v>1293</v>
      </c>
      <c r="R12" s="5" t="s">
        <v>1294</v>
      </c>
      <c r="S12" s="5" t="s">
        <v>1295</v>
      </c>
      <c r="T12" s="5" t="s">
        <v>1296</v>
      </c>
      <c r="U12" s="5" t="s">
        <v>1297</v>
      </c>
      <c r="V12" s="5" t="s">
        <v>1298</v>
      </c>
      <c r="W12" s="5" t="s">
        <v>1299</v>
      </c>
      <c r="X12" s="5" t="s">
        <v>1300</v>
      </c>
      <c r="Y12" s="5" t="s">
        <v>1301</v>
      </c>
      <c r="Z12" s="5" t="s">
        <v>1302</v>
      </c>
      <c r="AA12" s="5" t="s">
        <v>1303</v>
      </c>
    </row>
    <row r="13" spans="1:34" s="3130" customFormat="1">
      <c r="A13" s="3130" t="s">
        <v>1304</v>
      </c>
      <c r="B13" s="3130" t="s">
        <v>522</v>
      </c>
      <c r="C13" s="3130" t="s">
        <v>1305</v>
      </c>
      <c r="D13" s="3130" t="s">
        <v>1306</v>
      </c>
      <c r="E13" s="3130">
        <v>21536.1</v>
      </c>
      <c r="F13" s="3130">
        <v>47379.41</v>
      </c>
      <c r="G13" s="3130" t="s">
        <v>1250</v>
      </c>
      <c r="H13" s="3130" t="s">
        <v>1251</v>
      </c>
      <c r="I13" s="3130" t="s">
        <v>1307</v>
      </c>
      <c r="J13" s="3130" t="s">
        <v>1308</v>
      </c>
      <c r="K13" s="3130" t="s">
        <v>1309</v>
      </c>
      <c r="L13" s="3130" t="s">
        <v>1310</v>
      </c>
      <c r="M13" s="3130" t="s">
        <v>1243</v>
      </c>
      <c r="N13" s="3130" t="s">
        <v>1311</v>
      </c>
      <c r="O13" s="3130">
        <v>119600</v>
      </c>
      <c r="P13" s="3130">
        <v>24000</v>
      </c>
      <c r="Q13" s="3130" t="s">
        <v>1312</v>
      </c>
      <c r="R13" s="3130">
        <v>119600</v>
      </c>
      <c r="S13" s="3130">
        <v>55534.66</v>
      </c>
      <c r="T13" s="3130">
        <v>3702.31</v>
      </c>
      <c r="U13" s="3130">
        <v>25243</v>
      </c>
      <c r="V13" s="3130" t="s">
        <v>1309</v>
      </c>
      <c r="W13" s="3130">
        <v>0</v>
      </c>
      <c r="X13" s="3130">
        <v>137540</v>
      </c>
      <c r="Y13" s="3130">
        <v>62000</v>
      </c>
      <c r="Z13" s="3130">
        <v>62000</v>
      </c>
      <c r="AA13" s="3130" t="s">
        <v>1257</v>
      </c>
    </row>
    <row r="14" spans="1:34">
      <c r="A14" s="5" t="s">
        <v>1313</v>
      </c>
      <c r="B14" s="5" t="s">
        <v>522</v>
      </c>
      <c r="C14" s="5" t="s">
        <v>1254</v>
      </c>
      <c r="D14" s="5" t="s">
        <v>1314</v>
      </c>
      <c r="E14" s="5">
        <v>15992.79</v>
      </c>
      <c r="F14" s="5">
        <v>34704.36</v>
      </c>
      <c r="G14" s="5" t="s">
        <v>1250</v>
      </c>
      <c r="H14" s="5" t="s">
        <v>1251</v>
      </c>
      <c r="I14" s="5" t="s">
        <v>1315</v>
      </c>
      <c r="J14" s="5" t="s">
        <v>1242</v>
      </c>
      <c r="K14" s="5" t="s">
        <v>1309</v>
      </c>
      <c r="L14" s="5" t="s">
        <v>1316</v>
      </c>
      <c r="M14" s="5" t="s">
        <v>1243</v>
      </c>
      <c r="N14" s="5" t="s">
        <v>1317</v>
      </c>
      <c r="O14" s="5">
        <v>99200</v>
      </c>
      <c r="P14" s="5">
        <v>20000</v>
      </c>
      <c r="Q14" s="5" t="s">
        <v>1318</v>
      </c>
      <c r="R14" s="5">
        <v>99200</v>
      </c>
      <c r="S14" s="5">
        <v>62027.95</v>
      </c>
      <c r="T14" s="5">
        <v>4135.2</v>
      </c>
      <c r="U14" s="5">
        <v>28584</v>
      </c>
      <c r="V14" s="5" t="s">
        <v>1309</v>
      </c>
      <c r="W14" s="5">
        <v>0</v>
      </c>
      <c r="X14" s="5">
        <v>114080</v>
      </c>
      <c r="Y14" s="5" t="s">
        <v>1309</v>
      </c>
      <c r="Z14" s="5" t="s">
        <v>1309</v>
      </c>
      <c r="AA14" s="5" t="s">
        <v>1257</v>
      </c>
    </row>
    <row r="15" spans="1:34" s="3130" customFormat="1">
      <c r="A15" s="3130" t="s">
        <v>1319</v>
      </c>
      <c r="B15" s="3130" t="s">
        <v>522</v>
      </c>
      <c r="C15" s="3130" t="s">
        <v>1320</v>
      </c>
      <c r="D15" s="3130" t="s">
        <v>1321</v>
      </c>
      <c r="E15" s="3130">
        <v>46815.8</v>
      </c>
      <c r="F15" s="3130">
        <v>80213.66</v>
      </c>
      <c r="G15" s="3130" t="s">
        <v>1239</v>
      </c>
      <c r="H15" s="3130" t="s">
        <v>1240</v>
      </c>
      <c r="I15" s="3130" t="s">
        <v>1322</v>
      </c>
      <c r="J15" s="3130" t="s">
        <v>1308</v>
      </c>
      <c r="K15" s="3130" t="s">
        <v>1309</v>
      </c>
      <c r="L15" s="3130" t="s">
        <v>1137</v>
      </c>
      <c r="M15" s="3130" t="s">
        <v>1243</v>
      </c>
      <c r="N15" s="3130" t="s">
        <v>1323</v>
      </c>
      <c r="O15" s="3130">
        <v>159600</v>
      </c>
      <c r="P15" s="3130">
        <v>32000</v>
      </c>
      <c r="Q15" s="3130" t="s">
        <v>1324</v>
      </c>
      <c r="R15" s="3130">
        <v>159600</v>
      </c>
      <c r="S15" s="3130">
        <v>34091.050000000003</v>
      </c>
      <c r="T15" s="3130">
        <v>2272.7399999999998</v>
      </c>
      <c r="U15" s="3130">
        <v>19897</v>
      </c>
      <c r="V15" s="3130" t="s">
        <v>1309</v>
      </c>
      <c r="W15" s="3130">
        <v>0</v>
      </c>
      <c r="X15" s="3130">
        <v>183540</v>
      </c>
      <c r="Y15" s="3130" t="s">
        <v>1309</v>
      </c>
      <c r="Z15" s="3130" t="s">
        <v>1309</v>
      </c>
      <c r="AA15" s="3130" t="s">
        <v>1325</v>
      </c>
    </row>
    <row r="16" spans="1:34" s="3131" customFormat="1">
      <c r="A16" s="3131" t="s">
        <v>1326</v>
      </c>
      <c r="B16" s="3131" t="s">
        <v>522</v>
      </c>
      <c r="C16" s="3131" t="s">
        <v>1320</v>
      </c>
      <c r="D16" s="3131" t="s">
        <v>1327</v>
      </c>
      <c r="E16" s="3131">
        <v>33463.35</v>
      </c>
      <c r="F16" s="3131">
        <v>57222.59</v>
      </c>
      <c r="G16" s="3131" t="s">
        <v>1250</v>
      </c>
      <c r="H16" s="3131" t="s">
        <v>1328</v>
      </c>
      <c r="I16" s="3131" t="s">
        <v>1329</v>
      </c>
      <c r="J16" s="3131" t="s">
        <v>1242</v>
      </c>
      <c r="K16" s="3131" t="s">
        <v>1309</v>
      </c>
      <c r="L16" s="3131" t="s">
        <v>1330</v>
      </c>
      <c r="M16" s="3131" t="s">
        <v>1243</v>
      </c>
      <c r="N16" s="3131" t="s">
        <v>1331</v>
      </c>
      <c r="O16" s="3131">
        <v>129000</v>
      </c>
      <c r="P16" s="3131">
        <v>26000</v>
      </c>
      <c r="Q16" s="3131" t="s">
        <v>1309</v>
      </c>
      <c r="R16" s="3131">
        <v>130400</v>
      </c>
      <c r="S16" s="3131">
        <v>38968</v>
      </c>
      <c r="T16" s="3131">
        <v>2597.87</v>
      </c>
      <c r="U16" s="3131">
        <v>22788</v>
      </c>
      <c r="V16" s="3131" t="s">
        <v>1309</v>
      </c>
      <c r="W16" s="3131">
        <v>1.0900000000000001</v>
      </c>
      <c r="X16" s="3131">
        <v>148350</v>
      </c>
      <c r="Y16" s="3131">
        <v>47000</v>
      </c>
      <c r="Z16" s="3131">
        <v>47000</v>
      </c>
      <c r="AA16" s="3131" t="s">
        <v>1325</v>
      </c>
    </row>
    <row r="17" spans="1:27">
      <c r="A17" s="5" t="s">
        <v>1332</v>
      </c>
      <c r="B17" s="5" t="s">
        <v>522</v>
      </c>
      <c r="C17" s="5" t="s">
        <v>1333</v>
      </c>
      <c r="D17" s="5" t="s">
        <v>1334</v>
      </c>
      <c r="E17" s="5">
        <v>42365.62</v>
      </c>
      <c r="F17" s="5">
        <v>78552.52</v>
      </c>
      <c r="G17" s="5" t="s">
        <v>1239</v>
      </c>
      <c r="H17" s="5" t="s">
        <v>1240</v>
      </c>
      <c r="I17" s="5" t="s">
        <v>1335</v>
      </c>
      <c r="J17" s="5" t="s">
        <v>1242</v>
      </c>
      <c r="K17" s="5" t="s">
        <v>1309</v>
      </c>
      <c r="L17" s="5" t="s">
        <v>1336</v>
      </c>
      <c r="M17" s="5" t="s">
        <v>1243</v>
      </c>
      <c r="N17" s="5" t="s">
        <v>1337</v>
      </c>
      <c r="O17" s="5">
        <v>249000</v>
      </c>
      <c r="P17" s="5">
        <v>50000</v>
      </c>
      <c r="Q17" s="5" t="s">
        <v>1338</v>
      </c>
      <c r="R17" s="5">
        <v>274000</v>
      </c>
      <c r="S17" s="5">
        <v>64675.08</v>
      </c>
      <c r="T17" s="5">
        <v>4311.67</v>
      </c>
      <c r="U17" s="5">
        <v>34881</v>
      </c>
      <c r="V17" s="5" t="s">
        <v>1309</v>
      </c>
      <c r="W17" s="5">
        <v>10.039999999999999</v>
      </c>
      <c r="X17" s="5">
        <v>286350</v>
      </c>
      <c r="Y17" s="5">
        <v>65000</v>
      </c>
      <c r="Z17" s="5">
        <v>65000</v>
      </c>
      <c r="AA17" s="5" t="s">
        <v>1246</v>
      </c>
    </row>
    <row r="18" spans="1:27" s="3130" customFormat="1">
      <c r="A18" s="3130" t="s">
        <v>1339</v>
      </c>
      <c r="B18" s="3130" t="s">
        <v>522</v>
      </c>
      <c r="C18" s="3130" t="s">
        <v>1340</v>
      </c>
      <c r="D18" s="3130" t="s">
        <v>1341</v>
      </c>
      <c r="E18" s="3130">
        <v>45880.63</v>
      </c>
      <c r="F18" s="3130">
        <v>100937.39</v>
      </c>
      <c r="G18" s="3130" t="s">
        <v>1250</v>
      </c>
      <c r="H18" s="3130" t="s">
        <v>1251</v>
      </c>
      <c r="I18" s="3130" t="s">
        <v>1307</v>
      </c>
      <c r="J18" s="3130" t="s">
        <v>1242</v>
      </c>
      <c r="K18" s="3130" t="s">
        <v>1309</v>
      </c>
      <c r="L18" s="3130" t="s">
        <v>1342</v>
      </c>
      <c r="M18" s="3130" t="s">
        <v>1243</v>
      </c>
      <c r="N18" s="3130" t="s">
        <v>1343</v>
      </c>
      <c r="O18" s="3130">
        <v>259000</v>
      </c>
      <c r="P18" s="3130">
        <v>52000</v>
      </c>
      <c r="Q18" s="3130" t="s">
        <v>1309</v>
      </c>
      <c r="R18" s="3130">
        <v>259000</v>
      </c>
      <c r="S18" s="3130">
        <v>56450.83</v>
      </c>
      <c r="T18" s="3130">
        <v>3763.39</v>
      </c>
      <c r="U18" s="3130">
        <v>25659</v>
      </c>
      <c r="V18" s="3130" t="s">
        <v>1309</v>
      </c>
      <c r="W18" s="3130">
        <v>0</v>
      </c>
      <c r="X18" s="3130">
        <v>297850</v>
      </c>
      <c r="Y18" s="3130">
        <v>55000</v>
      </c>
      <c r="Z18" s="3130">
        <v>55000</v>
      </c>
      <c r="AA18" s="3130" t="s">
        <v>1246</v>
      </c>
    </row>
    <row r="19" spans="1:27">
      <c r="A19" s="5" t="s">
        <v>1344</v>
      </c>
      <c r="B19" s="5" t="s">
        <v>522</v>
      </c>
      <c r="C19" s="5" t="s">
        <v>1345</v>
      </c>
      <c r="D19" s="5" t="s">
        <v>1346</v>
      </c>
      <c r="E19" s="5">
        <v>33107.69</v>
      </c>
      <c r="F19" s="5">
        <v>73704.72</v>
      </c>
      <c r="G19" s="5" t="s">
        <v>1239</v>
      </c>
      <c r="H19" s="5" t="s">
        <v>1347</v>
      </c>
      <c r="I19" s="5" t="s">
        <v>1348</v>
      </c>
      <c r="J19" s="5" t="s">
        <v>1242</v>
      </c>
      <c r="K19" s="5" t="s">
        <v>1309</v>
      </c>
      <c r="L19" s="5" t="s">
        <v>1342</v>
      </c>
      <c r="M19" s="5" t="s">
        <v>1243</v>
      </c>
      <c r="N19" s="5" t="s">
        <v>1349</v>
      </c>
      <c r="O19" s="5">
        <v>143000</v>
      </c>
      <c r="P19" s="5">
        <v>28600</v>
      </c>
      <c r="Q19" s="5" t="s">
        <v>1309</v>
      </c>
      <c r="R19" s="5">
        <v>143000</v>
      </c>
      <c r="S19" s="5">
        <v>43192.38</v>
      </c>
      <c r="T19" s="5">
        <v>2879.49</v>
      </c>
      <c r="U19" s="5">
        <v>19402</v>
      </c>
      <c r="V19" s="5" t="s">
        <v>1309</v>
      </c>
      <c r="W19" s="5">
        <v>0</v>
      </c>
      <c r="X19" s="5">
        <v>164450</v>
      </c>
      <c r="Y19" s="5">
        <v>62000</v>
      </c>
      <c r="Z19" s="5">
        <v>62000</v>
      </c>
      <c r="AA19" s="5" t="s">
        <v>1246</v>
      </c>
    </row>
    <row r="20" spans="1:27">
      <c r="A20" s="5" t="s">
        <v>1350</v>
      </c>
      <c r="B20" s="5" t="s">
        <v>522</v>
      </c>
      <c r="C20" s="5" t="s">
        <v>1345</v>
      </c>
      <c r="D20" s="5" t="s">
        <v>1351</v>
      </c>
      <c r="E20" s="5">
        <v>29561.58</v>
      </c>
      <c r="F20" s="5">
        <v>65035.47</v>
      </c>
      <c r="G20" s="5" t="s">
        <v>1250</v>
      </c>
      <c r="H20" s="5" t="s">
        <v>1251</v>
      </c>
      <c r="I20" s="5" t="s">
        <v>1307</v>
      </c>
      <c r="J20" s="5" t="s">
        <v>1242</v>
      </c>
      <c r="K20" s="5" t="s">
        <v>1309</v>
      </c>
      <c r="L20" s="5" t="s">
        <v>1352</v>
      </c>
      <c r="M20" s="5" t="s">
        <v>1243</v>
      </c>
      <c r="N20" s="5" t="s">
        <v>1317</v>
      </c>
      <c r="O20" s="5">
        <v>202000</v>
      </c>
      <c r="P20" s="5">
        <v>41000</v>
      </c>
      <c r="Q20" s="5" t="s">
        <v>1353</v>
      </c>
      <c r="R20" s="5">
        <v>232000</v>
      </c>
      <c r="S20" s="5">
        <v>78480.240000000005</v>
      </c>
      <c r="T20" s="5">
        <v>5232.0200000000004</v>
      </c>
      <c r="U20" s="5">
        <v>35673</v>
      </c>
      <c r="V20" s="5" t="s">
        <v>1309</v>
      </c>
      <c r="W20" s="5">
        <v>14.85</v>
      </c>
      <c r="X20" s="5">
        <v>232000</v>
      </c>
      <c r="Y20" s="5">
        <v>62000</v>
      </c>
      <c r="Z20" s="5">
        <v>62000</v>
      </c>
      <c r="AA20" s="5" t="s">
        <v>1246</v>
      </c>
    </row>
    <row r="21" spans="1:27">
      <c r="A21" s="5" t="s">
        <v>1354</v>
      </c>
      <c r="B21" s="5" t="s">
        <v>522</v>
      </c>
      <c r="C21" s="5" t="s">
        <v>1345</v>
      </c>
      <c r="D21" s="5" t="s">
        <v>1355</v>
      </c>
      <c r="E21" s="5">
        <v>28612.54</v>
      </c>
      <c r="F21" s="5">
        <v>66536.039999999994</v>
      </c>
      <c r="G21" s="5" t="s">
        <v>1239</v>
      </c>
      <c r="H21" s="5" t="s">
        <v>1356</v>
      </c>
      <c r="I21" s="5" t="s">
        <v>1357</v>
      </c>
      <c r="J21" s="5" t="s">
        <v>1242</v>
      </c>
      <c r="K21" s="5" t="s">
        <v>1358</v>
      </c>
      <c r="L21" s="5" t="s">
        <v>1359</v>
      </c>
      <c r="M21" s="5" t="s">
        <v>1243</v>
      </c>
      <c r="N21" s="5" t="s">
        <v>1360</v>
      </c>
      <c r="O21" s="5">
        <v>104000</v>
      </c>
      <c r="P21" s="5">
        <v>20800</v>
      </c>
      <c r="Q21" s="5" t="s">
        <v>1361</v>
      </c>
      <c r="R21" s="5">
        <v>104000</v>
      </c>
      <c r="S21" s="5">
        <v>36347.699999999997</v>
      </c>
      <c r="T21" s="5">
        <v>2423.1799999999998</v>
      </c>
      <c r="U21" s="5">
        <v>15631</v>
      </c>
      <c r="V21" s="5" t="s">
        <v>1309</v>
      </c>
      <c r="W21" s="5">
        <v>0</v>
      </c>
      <c r="X21" s="5">
        <v>119600</v>
      </c>
      <c r="Y21" s="5">
        <v>62000</v>
      </c>
      <c r="Z21" s="5">
        <v>62000</v>
      </c>
      <c r="AA21" s="5" t="s">
        <v>1246</v>
      </c>
    </row>
    <row r="22" spans="1:27">
      <c r="A22" s="5" t="s">
        <v>1362</v>
      </c>
      <c r="B22" s="5" t="s">
        <v>522</v>
      </c>
      <c r="C22" s="5" t="s">
        <v>1333</v>
      </c>
      <c r="D22" s="5" t="s">
        <v>1363</v>
      </c>
      <c r="E22" s="5">
        <v>24837.200000000001</v>
      </c>
      <c r="F22" s="5">
        <v>49674.400000000001</v>
      </c>
      <c r="G22" s="5" t="s">
        <v>1250</v>
      </c>
      <c r="H22" s="5" t="s">
        <v>1251</v>
      </c>
      <c r="I22" s="5" t="s">
        <v>1364</v>
      </c>
      <c r="J22" s="5" t="s">
        <v>1242</v>
      </c>
      <c r="K22" s="5" t="s">
        <v>1365</v>
      </c>
      <c r="L22" s="5" t="s">
        <v>1366</v>
      </c>
      <c r="M22" s="5" t="s">
        <v>1243</v>
      </c>
      <c r="N22" s="5" t="s">
        <v>1367</v>
      </c>
      <c r="O22" s="5">
        <v>166000</v>
      </c>
      <c r="P22" s="5">
        <v>34000</v>
      </c>
      <c r="Q22" s="5" t="s">
        <v>1368</v>
      </c>
      <c r="R22" s="5">
        <v>166900</v>
      </c>
      <c r="S22" s="5">
        <v>67197.59</v>
      </c>
      <c r="T22" s="5">
        <v>4479.84</v>
      </c>
      <c r="U22" s="5">
        <v>33599</v>
      </c>
      <c r="V22" s="5" t="s">
        <v>1309</v>
      </c>
      <c r="W22" s="5">
        <v>0.54</v>
      </c>
      <c r="X22" s="5">
        <v>190900</v>
      </c>
      <c r="Y22" s="5">
        <v>65000</v>
      </c>
      <c r="Z22" s="5">
        <v>65000</v>
      </c>
      <c r="AA22" s="5" t="s">
        <v>1246</v>
      </c>
    </row>
    <row r="23" spans="1:27">
      <c r="A23" s="5" t="s">
        <v>1369</v>
      </c>
      <c r="B23" s="5" t="s">
        <v>522</v>
      </c>
      <c r="C23" s="5" t="s">
        <v>1345</v>
      </c>
      <c r="D23" s="5" t="s">
        <v>1370</v>
      </c>
      <c r="E23" s="5">
        <v>24601.759999999998</v>
      </c>
      <c r="F23" s="5">
        <v>56395.59</v>
      </c>
      <c r="G23" s="5" t="s">
        <v>1239</v>
      </c>
      <c r="H23" s="5" t="s">
        <v>1240</v>
      </c>
      <c r="I23" s="5" t="s">
        <v>1371</v>
      </c>
      <c r="J23" s="5" t="s">
        <v>1242</v>
      </c>
      <c r="K23" s="5" t="s">
        <v>1372</v>
      </c>
      <c r="L23" s="5" t="s">
        <v>1373</v>
      </c>
      <c r="M23" s="5" t="s">
        <v>1243</v>
      </c>
      <c r="N23" s="5" t="s">
        <v>1374</v>
      </c>
      <c r="O23" s="5">
        <v>165000</v>
      </c>
      <c r="P23" s="5">
        <v>33000</v>
      </c>
      <c r="Q23" s="5" t="s">
        <v>1375</v>
      </c>
      <c r="R23" s="5">
        <v>165000</v>
      </c>
      <c r="S23" s="5">
        <v>67068.37</v>
      </c>
      <c r="T23" s="5">
        <v>4471.22</v>
      </c>
      <c r="U23" s="5">
        <v>29258</v>
      </c>
      <c r="V23" s="5" t="s">
        <v>1309</v>
      </c>
      <c r="W23" s="5">
        <v>0</v>
      </c>
      <c r="X23" s="5">
        <v>189700</v>
      </c>
      <c r="Y23" s="5">
        <v>62000</v>
      </c>
      <c r="Z23" s="5">
        <v>62000</v>
      </c>
      <c r="AA23" s="5" t="s">
        <v>1246</v>
      </c>
    </row>
    <row r="24" spans="1:27">
      <c r="A24" s="5" t="s">
        <v>1376</v>
      </c>
      <c r="B24" s="5" t="s">
        <v>522</v>
      </c>
      <c r="C24" s="5" t="s">
        <v>1377</v>
      </c>
      <c r="D24" s="5" t="s">
        <v>1378</v>
      </c>
      <c r="E24" s="5">
        <v>33141.01</v>
      </c>
      <c r="F24" s="5">
        <v>61339.02</v>
      </c>
      <c r="G24" s="5" t="s">
        <v>1239</v>
      </c>
      <c r="H24" s="5" t="s">
        <v>1379</v>
      </c>
      <c r="I24" s="5" t="s">
        <v>1380</v>
      </c>
      <c r="J24" s="5" t="s">
        <v>1242</v>
      </c>
      <c r="K24" s="5" t="s">
        <v>1381</v>
      </c>
      <c r="L24" s="5" t="s">
        <v>1382</v>
      </c>
      <c r="M24" s="5" t="s">
        <v>1243</v>
      </c>
      <c r="N24" s="5" t="s">
        <v>1383</v>
      </c>
      <c r="O24" s="5">
        <v>133000</v>
      </c>
      <c r="P24" s="5">
        <v>27000</v>
      </c>
      <c r="Q24" s="5" t="s">
        <v>1384</v>
      </c>
      <c r="R24" s="5">
        <v>133000</v>
      </c>
      <c r="S24" s="5">
        <v>40131.54</v>
      </c>
      <c r="T24" s="5">
        <v>2675.44</v>
      </c>
      <c r="U24" s="5">
        <v>21683</v>
      </c>
      <c r="V24" s="5" t="s">
        <v>1309</v>
      </c>
      <c r="W24" s="5">
        <v>0</v>
      </c>
      <c r="X24" s="5">
        <v>152950</v>
      </c>
      <c r="Y24" s="5">
        <v>55000</v>
      </c>
      <c r="Z24" s="5">
        <v>55000</v>
      </c>
      <c r="AA24" s="5" t="s">
        <v>1246</v>
      </c>
    </row>
    <row r="25" spans="1:27">
      <c r="A25" s="5" t="s">
        <v>1385</v>
      </c>
      <c r="B25" s="5" t="s">
        <v>522</v>
      </c>
      <c r="C25" s="5" t="s">
        <v>1386</v>
      </c>
      <c r="D25" s="5" t="s">
        <v>1387</v>
      </c>
      <c r="E25" s="5">
        <v>25189.62</v>
      </c>
      <c r="F25" s="5">
        <v>37104</v>
      </c>
      <c r="G25" s="5" t="s">
        <v>1239</v>
      </c>
      <c r="H25" s="5" t="s">
        <v>1240</v>
      </c>
      <c r="I25" s="5" t="s">
        <v>1388</v>
      </c>
      <c r="J25" s="5" t="s">
        <v>1242</v>
      </c>
      <c r="K25" s="5" t="s">
        <v>1389</v>
      </c>
      <c r="L25" s="5" t="s">
        <v>1390</v>
      </c>
      <c r="M25" s="5" t="s">
        <v>1243</v>
      </c>
      <c r="N25" s="5" t="s">
        <v>1349</v>
      </c>
      <c r="O25" s="5">
        <v>29500</v>
      </c>
      <c r="P25" s="5">
        <v>5900</v>
      </c>
      <c r="Q25" s="5" t="s">
        <v>1391</v>
      </c>
      <c r="R25" s="5">
        <v>29500</v>
      </c>
      <c r="S25" s="5">
        <v>11711.17</v>
      </c>
      <c r="T25" s="5">
        <v>780.74</v>
      </c>
      <c r="U25" s="5">
        <v>7951</v>
      </c>
      <c r="V25" s="5" t="s">
        <v>1309</v>
      </c>
      <c r="W25" s="5">
        <v>0</v>
      </c>
      <c r="X25" s="5">
        <v>32450</v>
      </c>
      <c r="Y25" s="5">
        <v>31000</v>
      </c>
      <c r="Z25" s="5">
        <v>31000</v>
      </c>
      <c r="AA25" s="5" t="s">
        <v>1392</v>
      </c>
    </row>
    <row r="26" spans="1:27">
      <c r="A26" s="5" t="s">
        <v>1393</v>
      </c>
      <c r="B26" s="5" t="s">
        <v>522</v>
      </c>
      <c r="C26" s="5" t="s">
        <v>1320</v>
      </c>
      <c r="D26" s="5" t="s">
        <v>1394</v>
      </c>
      <c r="E26" s="5">
        <v>104979.3</v>
      </c>
      <c r="F26" s="5">
        <v>177256.92</v>
      </c>
      <c r="G26" s="5" t="s">
        <v>1239</v>
      </c>
      <c r="H26" s="5" t="s">
        <v>1395</v>
      </c>
      <c r="I26" s="5" t="s">
        <v>1396</v>
      </c>
      <c r="J26" s="5" t="s">
        <v>1242</v>
      </c>
      <c r="K26" s="5" t="s">
        <v>1397</v>
      </c>
      <c r="L26" s="5" t="s">
        <v>1398</v>
      </c>
      <c r="M26" s="5" t="s">
        <v>1243</v>
      </c>
      <c r="N26" s="5" t="s">
        <v>1399</v>
      </c>
      <c r="O26" s="5">
        <v>447000</v>
      </c>
      <c r="P26" s="5">
        <v>90000</v>
      </c>
      <c r="Q26" s="5" t="s">
        <v>1400</v>
      </c>
      <c r="R26" s="5">
        <v>451600</v>
      </c>
      <c r="S26" s="5">
        <v>43018</v>
      </c>
      <c r="T26" s="5">
        <v>2867.87</v>
      </c>
      <c r="U26" s="5">
        <v>25477</v>
      </c>
      <c r="V26" s="5" t="s">
        <v>1309</v>
      </c>
      <c r="W26" s="5">
        <v>1.03</v>
      </c>
      <c r="X26" s="5">
        <v>491500</v>
      </c>
      <c r="Y26" s="5" t="s">
        <v>1309</v>
      </c>
      <c r="Z26" s="5" t="s">
        <v>1309</v>
      </c>
      <c r="AA26" s="5" t="s">
        <v>1325</v>
      </c>
    </row>
    <row r="27" spans="1:27">
      <c r="A27" s="5" t="s">
        <v>1401</v>
      </c>
      <c r="B27" s="5" t="s">
        <v>522</v>
      </c>
      <c r="C27" s="5" t="s">
        <v>1345</v>
      </c>
      <c r="D27" s="5" t="s">
        <v>1402</v>
      </c>
      <c r="E27" s="5">
        <v>124063.23</v>
      </c>
      <c r="F27" s="5">
        <v>240662.81</v>
      </c>
      <c r="G27" s="5" t="s">
        <v>1239</v>
      </c>
      <c r="H27" s="5" t="s">
        <v>1403</v>
      </c>
      <c r="I27" s="5" t="s">
        <v>1404</v>
      </c>
      <c r="J27" s="5" t="s">
        <v>1242</v>
      </c>
      <c r="K27" s="5" t="s">
        <v>1397</v>
      </c>
      <c r="L27" s="5" t="s">
        <v>1405</v>
      </c>
      <c r="M27" s="5" t="s">
        <v>1243</v>
      </c>
      <c r="N27" s="5" t="s">
        <v>1406</v>
      </c>
      <c r="O27" s="5">
        <v>358000</v>
      </c>
      <c r="P27" s="5">
        <v>72000</v>
      </c>
      <c r="Q27" s="5" t="s">
        <v>1400</v>
      </c>
      <c r="R27" s="5">
        <v>411500</v>
      </c>
      <c r="S27" s="5">
        <v>33168.57</v>
      </c>
      <c r="T27" s="5">
        <v>2211.2399999999998</v>
      </c>
      <c r="U27" s="5">
        <v>17099</v>
      </c>
      <c r="V27" s="5" t="s">
        <v>1309</v>
      </c>
      <c r="W27" s="5">
        <v>14.94</v>
      </c>
      <c r="X27" s="5">
        <v>411500</v>
      </c>
      <c r="Y27" s="5" t="s">
        <v>1309</v>
      </c>
      <c r="Z27" s="5" t="s">
        <v>1309</v>
      </c>
      <c r="AA27" s="5" t="s">
        <v>1246</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E8" sqref="E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1407</v>
      </c>
      <c r="B1" s="545"/>
      <c r="C1" s="2996" t="s">
        <v>1408</v>
      </c>
      <c r="D1" s="373"/>
      <c r="E1" s="373"/>
      <c r="F1" s="373"/>
      <c r="G1" s="546">
        <f>MATCH(B1,'数据-取费表'!A6:A16,0)+5</f>
        <v>9</v>
      </c>
    </row>
    <row r="2" spans="1:9" s="363" customFormat="1" ht="15.6">
      <c r="A2" s="375" t="s">
        <v>1117</v>
      </c>
      <c r="B2" s="547">
        <f ca="1">IF(C1="含税",E2+C33,E2+C32)</f>
        <v>62137</v>
      </c>
      <c r="C2" s="374" t="s">
        <v>1409</v>
      </c>
      <c r="D2" s="2991" t="s">
        <v>124</v>
      </c>
      <c r="E2" s="3115">
        <f ca="1">IF(D2="——",0,SUMIF(INDIRECT("'"&amp;G2&amp;"'"&amp;"!A:A"),"承租人权益价值",INDIRECT("'"&amp;G2&amp;"'"&amp;"!c:c")))</f>
        <v>0</v>
      </c>
      <c r="F2" s="669" t="s">
        <v>1409</v>
      </c>
      <c r="G2" s="2993"/>
    </row>
    <row r="3" spans="1:9" s="363" customFormat="1" ht="15.6">
      <c r="A3" s="378" t="s">
        <v>1118</v>
      </c>
      <c r="B3" s="549">
        <f ca="1">ROUND(B2*10000/(IF(B1="",'数据-汇总表'!E3,INDIRECT("'数据-取费表'!k"&amp;$G$1))),0)</f>
        <v>24054</v>
      </c>
      <c r="C3" s="374" t="s">
        <v>1121</v>
      </c>
      <c r="D3" s="374"/>
      <c r="E3" s="548"/>
      <c r="F3" s="374"/>
      <c r="G3" s="374"/>
    </row>
    <row r="4" spans="1:9" s="363" customFormat="1" ht="15.6">
      <c r="A4" s="2999" t="s">
        <v>999</v>
      </c>
      <c r="B4" s="3000" t="s">
        <v>1000</v>
      </c>
      <c r="C4" s="3001" t="s">
        <v>1410</v>
      </c>
      <c r="D4" s="3002" t="s">
        <v>1411</v>
      </c>
      <c r="E4" s="3003" t="s">
        <v>1412</v>
      </c>
      <c r="F4" s="3003" t="s">
        <v>1413</v>
      </c>
      <c r="G4" s="3004" t="s">
        <v>1414</v>
      </c>
    </row>
    <row r="5" spans="1:9" s="364" customFormat="1" ht="15.6">
      <c r="A5" s="3005" t="s">
        <v>1415</v>
      </c>
      <c r="B5" s="3006" t="s">
        <v>1416</v>
      </c>
      <c r="C5" s="3007">
        <f ca="1">ROUND((C6+C9+C21+C24+C25+C28)/(1-F22-C26-C29),0)</f>
        <v>57006</v>
      </c>
      <c r="D5" s="3008"/>
      <c r="E5" s="3008"/>
      <c r="F5" s="3008"/>
      <c r="G5" s="3009" t="s">
        <v>1417</v>
      </c>
    </row>
    <row r="6" spans="1:9" s="542" customFormat="1" ht="14.4">
      <c r="A6" s="3010" t="s">
        <v>1418</v>
      </c>
      <c r="B6" s="3011" t="s">
        <v>1419</v>
      </c>
      <c r="C6" s="3012">
        <f>C7+C8</f>
        <v>31041</v>
      </c>
      <c r="D6" s="3013"/>
      <c r="E6" s="3013"/>
      <c r="F6" s="3013"/>
      <c r="G6" s="3014"/>
    </row>
    <row r="7" spans="1:9" s="365" customFormat="1">
      <c r="A7" s="3015" t="s">
        <v>1420</v>
      </c>
      <c r="B7" s="3016" t="s">
        <v>1421</v>
      </c>
      <c r="C7" s="589">
        <f>'土地比较法-住宅、综合'!F67</f>
        <v>30122</v>
      </c>
      <c r="D7" s="3017"/>
      <c r="E7" s="591"/>
      <c r="F7" s="591"/>
      <c r="G7" s="440"/>
    </row>
    <row r="8" spans="1:9" s="365" customFormat="1">
      <c r="A8" s="3015" t="s">
        <v>1422</v>
      </c>
      <c r="B8" s="3016" t="s">
        <v>1423</v>
      </c>
      <c r="C8" s="583">
        <f>ROUND(C7*F8,0)</f>
        <v>919</v>
      </c>
      <c r="D8" s="429"/>
      <c r="E8" s="591"/>
      <c r="F8" s="586">
        <f>IF(项目基本情况!B8="出让",0,'数据-取费表'!B49+'数据-取费表'!B50)</f>
        <v>3.0499999999999999E-2</v>
      </c>
      <c r="G8" s="440"/>
    </row>
    <row r="9" spans="1:9" s="542" customFormat="1" ht="14.4">
      <c r="A9" s="3018" t="s">
        <v>1424</v>
      </c>
      <c r="B9" s="3019" t="s">
        <v>1425</v>
      </c>
      <c r="C9" s="593">
        <f ca="1">C10+C11+C12+C13+C19+C20</f>
        <v>13621</v>
      </c>
      <c r="D9" s="3020"/>
      <c r="E9" s="3021"/>
      <c r="F9" s="596"/>
      <c r="G9" s="3022"/>
      <c r="I9" s="365"/>
    </row>
    <row r="10" spans="1:9" s="365" customFormat="1">
      <c r="A10" s="3023" t="s">
        <v>1420</v>
      </c>
      <c r="B10" s="3024" t="s">
        <v>1426</v>
      </c>
      <c r="C10" s="583">
        <f ca="1">IF(B1="",IF(F10=100%,'数据-取费表'!M16,'数据-取费表'!O16),IF(F10=100%,INDIRECT("'数据-取费表'!m"&amp;$G$1)+INDIRECT("'数据-取费表'!t"&amp;$G$1),INDIRECT("'数据-取费表'!o"&amp;$G$1)+INDIRECT("'数据-取费表'!aq"&amp;$G$1)))</f>
        <v>11932</v>
      </c>
      <c r="D10" s="3017"/>
      <c r="E10" s="429"/>
      <c r="F10" s="3025">
        <f ca="1">IF('数据-取费表'!B24=0,1,IF(B1="",'数据-取费表'!N16,INDIRECT("'数据-取费表'!n"&amp;$G$1)))</f>
        <v>0.99</v>
      </c>
      <c r="G10" s="440" t="s">
        <v>1427</v>
      </c>
    </row>
    <row r="11" spans="1:9" s="365" customFormat="1">
      <c r="A11" s="3023" t="s">
        <v>1422</v>
      </c>
      <c r="B11" s="3024" t="s">
        <v>1428</v>
      </c>
      <c r="C11" s="583">
        <f ca="1">ROUND(C10*F11,0)</f>
        <v>358</v>
      </c>
      <c r="D11" s="429"/>
      <c r="E11" s="429"/>
      <c r="F11" s="3026">
        <f>'数据-取费表'!B33</f>
        <v>0.03</v>
      </c>
      <c r="G11" s="592" t="s">
        <v>1429</v>
      </c>
    </row>
    <row r="12" spans="1:9" s="365" customFormat="1">
      <c r="A12" s="3023" t="s">
        <v>1430</v>
      </c>
      <c r="B12" s="3024" t="s">
        <v>1431</v>
      </c>
      <c r="C12" s="583">
        <f ca="1">ROUND(IF(B1="",SUMIF('数据-取费表'!C:C,"住宅",IF(F10=100%,'数据-取费表'!M:M,'数据-取费表'!O:O))*F12,IF(INDIRECT("'数据-取费表'!c"&amp;$G$1)="住宅",IF(F10=100%,INDIRECT("'数据-取费表'!m"&amp;$G$1)*F12,INDIRECT("'数据-取费表'!o"&amp;$G$1)*F12),0)),0)</f>
        <v>402</v>
      </c>
      <c r="D12" s="429"/>
      <c r="E12" s="429"/>
      <c r="F12" s="3026">
        <f>'数据-取费表'!B34</f>
        <v>0.05</v>
      </c>
      <c r="G12" s="3027" t="s">
        <v>1432</v>
      </c>
    </row>
    <row r="13" spans="1:9" s="365" customFormat="1">
      <c r="A13" s="3023" t="s">
        <v>1433</v>
      </c>
      <c r="B13" s="3024" t="s">
        <v>1434</v>
      </c>
      <c r="C13" s="583">
        <f ca="1">C14+C17+C18</f>
        <v>511</v>
      </c>
      <c r="D13" s="429"/>
      <c r="E13" s="591"/>
      <c r="F13" s="586"/>
      <c r="G13" s="440"/>
    </row>
    <row r="14" spans="1:9" s="366" customFormat="1">
      <c r="A14" s="604" t="s">
        <v>1435</v>
      </c>
      <c r="B14" s="3028" t="s">
        <v>1436</v>
      </c>
      <c r="C14" s="583">
        <f>IF(G14="已包含在土地购买价格中","0",IF(B1="",'数据-取费表'!B29,IF(G15="全部缴纳",C15+C16,H15)))</f>
        <v>0</v>
      </c>
      <c r="D14" s="3029"/>
      <c r="E14" s="429"/>
      <c r="F14" s="586"/>
      <c r="G14" s="603" t="s">
        <v>1437</v>
      </c>
    </row>
    <row r="15" spans="1:9" s="365" customFormat="1">
      <c r="A15" s="3030" t="s">
        <v>1438</v>
      </c>
      <c r="B15" s="3031" t="s">
        <v>1439</v>
      </c>
      <c r="C15" s="606">
        <f ca="1">ROUND(D15*E15/10000,0)</f>
        <v>227</v>
      </c>
      <c r="D15" s="606">
        <f ca="1">IF(B1="",'数据-汇总表'!E5,IF(INDIRECT("'数据-取费表'!c"&amp;$G$1)="住宅",INDIRECT("'数据-取费表'!k"&amp;$G$1),0))</f>
        <v>16229.82</v>
      </c>
      <c r="E15" s="606">
        <f>'数据-取费表'!B27</f>
        <v>140</v>
      </c>
      <c r="F15" s="586"/>
      <c r="G15" s="608" t="s">
        <v>1440</v>
      </c>
      <c r="H15" s="609"/>
      <c r="I15" s="610" t="s">
        <v>1441</v>
      </c>
    </row>
    <row r="16" spans="1:9" s="365" customFormat="1">
      <c r="A16" s="3030" t="s">
        <v>1442</v>
      </c>
      <c r="B16" s="3031" t="s">
        <v>1443</v>
      </c>
      <c r="C16" s="606">
        <f ca="1">ROUND(D16*E16/10000,0)</f>
        <v>163</v>
      </c>
      <c r="D16" s="606">
        <f ca="1">IF(B1="",'数据-汇总表'!E6,IF(INDIRECT("'数据-取费表'!c"&amp;$G$1)="住宅",INDIRECT("'数据-取费表'!s"&amp;$G$1),INDIRECT("'数据-取费表'!k"&amp;$G$1)+INDIRECT("'数据-取费表'!s"&amp;$G$1)))</f>
        <v>9602.89</v>
      </c>
      <c r="E16" s="606">
        <f>'数据-取费表'!B28</f>
        <v>170</v>
      </c>
      <c r="F16" s="586"/>
      <c r="G16" s="402"/>
    </row>
    <row r="17" spans="1:7" s="365" customFormat="1">
      <c r="A17" s="604" t="s">
        <v>1444</v>
      </c>
      <c r="B17" s="3032" t="s">
        <v>1445</v>
      </c>
      <c r="C17" s="583" t="str">
        <f>IF(G17="已包含在土地取得成本中","0",ROUND(D17*E17/10000,0))</f>
        <v>0</v>
      </c>
      <c r="D17" s="566">
        <f ca="1">D15+D16</f>
        <v>25832.71</v>
      </c>
      <c r="E17" s="566">
        <f>'数据-取费表'!B31</f>
        <v>200</v>
      </c>
      <c r="F17" s="3033"/>
      <c r="G17" s="603" t="s">
        <v>1446</v>
      </c>
    </row>
    <row r="18" spans="1:7" s="365" customFormat="1">
      <c r="A18" s="3034" t="s">
        <v>1447</v>
      </c>
      <c r="B18" s="3032" t="s">
        <v>1448</v>
      </c>
      <c r="C18" s="583">
        <f ca="1">ROUND(E18*D18*F10/10000,0)</f>
        <v>511</v>
      </c>
      <c r="D18" s="583">
        <f ca="1">D17</f>
        <v>25832.71</v>
      </c>
      <c r="E18" s="583">
        <f>'数据-取费表'!B35</f>
        <v>200</v>
      </c>
      <c r="F18" s="3026"/>
      <c r="G18" s="440" t="str">
        <f ca="1">IF(F10=100%,"","按工程进度计取")</f>
        <v>按工程进度计取</v>
      </c>
    </row>
    <row r="19" spans="1:7" s="365" customFormat="1">
      <c r="A19" s="3023" t="s">
        <v>1449</v>
      </c>
      <c r="B19" s="3024" t="s">
        <v>1450</v>
      </c>
      <c r="C19" s="583">
        <f ca="1">ROUND(C10*F19,0)</f>
        <v>179</v>
      </c>
      <c r="D19" s="429"/>
      <c r="E19" s="429"/>
      <c r="F19" s="3026">
        <f>'数据-取费表'!B36</f>
        <v>1.4999999999999999E-2</v>
      </c>
      <c r="G19" s="440" t="s">
        <v>1451</v>
      </c>
    </row>
    <row r="20" spans="1:7" s="365" customFormat="1">
      <c r="A20" s="3023" t="s">
        <v>1452</v>
      </c>
      <c r="B20" s="3024" t="s">
        <v>1453</v>
      </c>
      <c r="C20" s="583">
        <f ca="1">ROUND(C10*F20,0)</f>
        <v>239</v>
      </c>
      <c r="D20" s="3035"/>
      <c r="E20" s="425"/>
      <c r="F20" s="3026">
        <f>'数据-取费表'!B37</f>
        <v>0.02</v>
      </c>
      <c r="G20" s="440" t="s">
        <v>1451</v>
      </c>
    </row>
    <row r="21" spans="1:7" s="542" customFormat="1" ht="14.4">
      <c r="A21" s="3010" t="s">
        <v>1454</v>
      </c>
      <c r="B21" s="3011" t="s">
        <v>1455</v>
      </c>
      <c r="C21" s="593">
        <f ca="1">ROUND((C6+C9)*F21,0)</f>
        <v>893</v>
      </c>
      <c r="D21" s="1661"/>
      <c r="E21" s="1661"/>
      <c r="F21" s="3036">
        <f>'数据-取费表'!B38</f>
        <v>0.02</v>
      </c>
      <c r="G21" s="3037" t="s">
        <v>1456</v>
      </c>
    </row>
    <row r="22" spans="1:7" s="542" customFormat="1" ht="14.4">
      <c r="A22" s="3010" t="s">
        <v>1457</v>
      </c>
      <c r="B22" s="3011" t="s">
        <v>1458</v>
      </c>
      <c r="C22" s="3038" t="str">
        <f>F22&amp;"V"</f>
        <v>0.03V</v>
      </c>
      <c r="D22" s="624"/>
      <c r="E22" s="1661"/>
      <c r="F22" s="3036">
        <f>'数据-取费表'!B39</f>
        <v>0.03</v>
      </c>
      <c r="G22" s="3039" t="s">
        <v>1459</v>
      </c>
    </row>
    <row r="23" spans="1:7" s="542" customFormat="1" ht="14.4">
      <c r="A23" s="3010" t="s">
        <v>1460</v>
      </c>
      <c r="B23" s="3019" t="s">
        <v>1461</v>
      </c>
      <c r="C23" s="622" t="str">
        <f ca="1">SUM(C24:C25)&amp;"+"&amp;C26&amp;"V"</f>
        <v>3090+0.0012V</v>
      </c>
      <c r="D23" s="623"/>
      <c r="E23" s="624"/>
      <c r="F23" s="3036">
        <f ca="1">'数据-取费表'!B41</f>
        <v>3.1899999999999998E-2</v>
      </c>
      <c r="G23" s="3037" t="str">
        <f>IF('数据-取费表'!B22&lt;=1,"单利计息","复利计息")</f>
        <v>复利计息</v>
      </c>
    </row>
    <row r="24" spans="1:7" s="365" customFormat="1">
      <c r="A24" s="569" t="s">
        <v>1420</v>
      </c>
      <c r="B24" s="3032" t="s">
        <v>1462</v>
      </c>
      <c r="C24" s="3040">
        <f ca="1">ROUND(IF('数据-取费表'!B22&lt;=1,C6*F23*'数据-取费表'!B23,C6*(POWER((1+F23),'数据-取费表'!B23)-1)),0)</f>
        <v>2514</v>
      </c>
      <c r="D24" s="418"/>
      <c r="E24" s="418"/>
      <c r="F24" s="3041"/>
      <c r="G24" s="3027" t="s">
        <v>1463</v>
      </c>
    </row>
    <row r="25" spans="1:7" s="365" customFormat="1">
      <c r="A25" s="569" t="s">
        <v>1422</v>
      </c>
      <c r="B25" s="3032" t="s">
        <v>1464</v>
      </c>
      <c r="C25" s="3040">
        <f ca="1">ROUND(IF('数据-取费表'!B22&lt;=1,(C9+C21)*F23*'数据-取费表'!B23/2,(C9+C21)*(POWER((1+F23),'数据-取费表'!B23/2)-1)),0)</f>
        <v>576</v>
      </c>
      <c r="D25" s="418"/>
      <c r="E25" s="418"/>
      <c r="F25" s="3041"/>
      <c r="G25" s="3027" t="s">
        <v>1465</v>
      </c>
    </row>
    <row r="26" spans="1:7" s="365" customFormat="1">
      <c r="A26" s="569" t="s">
        <v>1466</v>
      </c>
      <c r="B26" s="3032" t="s">
        <v>1467</v>
      </c>
      <c r="C26" s="3042">
        <f ca="1">ROUND(IF('数据-取费表'!B22&lt;=1,F22*F23*'数据-取费表'!B23/2,F22*(POWER((1+F23),'数据-取费表'!B23/2)-1)),4)</f>
        <v>1.1999999999999999E-3</v>
      </c>
      <c r="D26" s="418"/>
      <c r="E26" s="421"/>
      <c r="F26" s="3041"/>
      <c r="G26" s="3043" t="s">
        <v>1465</v>
      </c>
    </row>
    <row r="27" spans="1:7" s="542" customFormat="1" ht="14.4">
      <c r="A27" s="3010" t="s">
        <v>1468</v>
      </c>
      <c r="B27" s="3019" t="s">
        <v>1469</v>
      </c>
      <c r="C27" s="627" t="str">
        <f ca="1">C28&amp;"+"&amp;C29&amp;"V"</f>
        <v>6343+0.0042V</v>
      </c>
      <c r="D27" s="623"/>
      <c r="E27" s="624"/>
      <c r="F27" s="3044">
        <f ca="1">IF(B1="",'数据-取费表'!Q16,INDIRECT("'数据-取费表'!q"&amp;$G$1))</f>
        <v>0.14000000000000001</v>
      </c>
      <c r="G27" s="3037" t="s">
        <v>1470</v>
      </c>
    </row>
    <row r="28" spans="1:7" s="365" customFormat="1">
      <c r="A28" s="3023" t="s">
        <v>1420</v>
      </c>
      <c r="B28" s="3032" t="s">
        <v>1471</v>
      </c>
      <c r="C28" s="735">
        <f ca="1">ROUND(C6*F27*'数据-取费表'!B23/'数据-取费表'!B22+(C9+C21)*F27,0)</f>
        <v>6343</v>
      </c>
      <c r="D28" s="411"/>
      <c r="E28" s="412"/>
      <c r="F28" s="3033"/>
      <c r="G28" s="3116" t="str">
        <f ca="1">IF(F10=100%,"","其中：土地取得成本产生的利润按已建工期计算")</f>
        <v>其中：土地取得成本产生的利润按已建工期计算</v>
      </c>
    </row>
    <row r="29" spans="1:7" s="365" customFormat="1">
      <c r="A29" s="3023" t="s">
        <v>1422</v>
      </c>
      <c r="B29" s="3032" t="s">
        <v>1472</v>
      </c>
      <c r="C29" s="3042">
        <f ca="1">ROUND(F22*F27,4)</f>
        <v>4.1999999999999997E-3</v>
      </c>
      <c r="D29" s="411"/>
      <c r="E29" s="412"/>
      <c r="F29" s="3033"/>
      <c r="G29" s="427"/>
    </row>
    <row r="30" spans="1:7" s="542" customFormat="1" ht="14.4">
      <c r="A30" s="3010" t="s">
        <v>1473</v>
      </c>
      <c r="B30" s="3011" t="s">
        <v>1474</v>
      </c>
      <c r="C30" s="593">
        <v>0</v>
      </c>
      <c r="D30" s="624"/>
      <c r="E30" s="3045"/>
      <c r="F30" s="3036"/>
      <c r="G30" s="3046" t="s">
        <v>1475</v>
      </c>
    </row>
    <row r="31" spans="1:7" s="365" customFormat="1" ht="15.6">
      <c r="A31" s="3047">
        <v>2</v>
      </c>
      <c r="B31" s="3048" t="s">
        <v>1476</v>
      </c>
      <c r="C31" s="561">
        <f ca="1">C57</f>
        <v>0</v>
      </c>
      <c r="D31" s="630"/>
      <c r="E31" s="630"/>
      <c r="F31" s="3049">
        <f>IF('数据-取费表'!B24=0,'数据-取费表'!N16,1)</f>
        <v>1</v>
      </c>
      <c r="G31" s="632" t="s">
        <v>1477</v>
      </c>
    </row>
    <row r="32" spans="1:7" s="365" customFormat="1" ht="15.6">
      <c r="A32" s="629" t="s">
        <v>1478</v>
      </c>
      <c r="B32" s="560" t="s">
        <v>1479</v>
      </c>
      <c r="C32" s="561">
        <f ca="1">C5-C31</f>
        <v>57006</v>
      </c>
      <c r="D32" s="630"/>
      <c r="E32" s="630"/>
      <c r="F32" s="631"/>
      <c r="G32" s="3050" t="s">
        <v>1480</v>
      </c>
    </row>
    <row r="33" spans="1:7" s="365" customFormat="1" ht="15.6">
      <c r="A33" s="3051">
        <v>4</v>
      </c>
      <c r="B33" s="3052" t="s">
        <v>1481</v>
      </c>
      <c r="C33" s="3053">
        <f ca="1">ROUND(C32*(1+F33),0)</f>
        <v>62137</v>
      </c>
      <c r="D33" s="3054"/>
      <c r="E33" s="3054"/>
      <c r="F33" s="3055">
        <f>IF(G33="其他类型公式—成本价值×（1+9%）",9%,3%)</f>
        <v>0.09</v>
      </c>
      <c r="G33" s="3056" t="s">
        <v>1482</v>
      </c>
    </row>
    <row r="34" spans="1:7" s="366" customFormat="1"/>
    <row r="35" spans="1:7" s="365" customFormat="1"/>
    <row r="36" spans="1:7" s="365" customFormat="1"/>
    <row r="37" spans="1:7" s="365" customFormat="1"/>
    <row r="38" spans="1:7" ht="14.4">
      <c r="A38" s="3057" t="s">
        <v>1483</v>
      </c>
      <c r="B38" s="3058"/>
      <c r="C38" s="3058"/>
      <c r="D38" s="3058"/>
      <c r="E38" s="3058"/>
      <c r="F38" s="3058"/>
      <c r="G38" s="3059"/>
    </row>
    <row r="39" spans="1:7" ht="14.4">
      <c r="A39" s="3061" t="s">
        <v>999</v>
      </c>
      <c r="B39" s="3117" t="s">
        <v>1000</v>
      </c>
      <c r="C39" s="3062" t="s">
        <v>1410</v>
      </c>
      <c r="D39" s="3063" t="s">
        <v>1484</v>
      </c>
      <c r="E39" s="3064" t="s">
        <v>1485</v>
      </c>
      <c r="F39" s="3064" t="s">
        <v>1486</v>
      </c>
      <c r="G39" s="3065" t="s">
        <v>1414</v>
      </c>
    </row>
    <row r="40" spans="1:7" ht="14.4">
      <c r="A40" s="3118" t="s">
        <v>1418</v>
      </c>
      <c r="B40" s="3119" t="s">
        <v>1487</v>
      </c>
      <c r="C40" s="3067">
        <f ca="1">SUM(C41:C46)</f>
        <v>13621</v>
      </c>
      <c r="D40" s="3068"/>
      <c r="E40" s="3068"/>
      <c r="F40" s="3068"/>
      <c r="G40" s="3069"/>
    </row>
    <row r="41" spans="1:7" ht="15.6">
      <c r="A41" s="3120" t="s">
        <v>1420</v>
      </c>
      <c r="B41" s="3121" t="str">
        <f t="shared" ref="B41:C43" si="0">B10</f>
        <v>建安费用</v>
      </c>
      <c r="C41" s="720">
        <f t="shared" ca="1" si="0"/>
        <v>11932</v>
      </c>
      <c r="D41" s="3072"/>
      <c r="E41" s="3072"/>
      <c r="F41" s="729"/>
      <c r="G41" s="3073"/>
    </row>
    <row r="42" spans="1:7" ht="15.6">
      <c r="A42" s="3120" t="s">
        <v>1422</v>
      </c>
      <c r="B42" s="3121" t="str">
        <f t="shared" si="0"/>
        <v>前期费用</v>
      </c>
      <c r="C42" s="720">
        <f t="shared" ca="1" si="0"/>
        <v>358</v>
      </c>
      <c r="D42" s="3072"/>
      <c r="E42" s="3072"/>
      <c r="F42" s="729"/>
      <c r="G42" s="3073"/>
    </row>
    <row r="43" spans="1:7" ht="15.6">
      <c r="A43" s="3120" t="s">
        <v>1430</v>
      </c>
      <c r="B43" s="3122" t="str">
        <f t="shared" si="0"/>
        <v>公共配套设施费用</v>
      </c>
      <c r="C43" s="720">
        <f t="shared" ca="1" si="0"/>
        <v>402</v>
      </c>
      <c r="D43" s="3072"/>
      <c r="E43" s="3072"/>
      <c r="F43" s="729"/>
      <c r="G43" s="3073"/>
    </row>
    <row r="44" spans="1:7" ht="15.6">
      <c r="A44" s="3120" t="s">
        <v>1433</v>
      </c>
      <c r="B44" s="3122" t="str">
        <f>B18</f>
        <v>红线内市政费用</v>
      </c>
      <c r="C44" s="720">
        <f ca="1">C18</f>
        <v>511</v>
      </c>
      <c r="D44" s="3072"/>
      <c r="E44" s="3072"/>
      <c r="F44" s="729"/>
      <c r="G44" s="3073"/>
    </row>
    <row r="45" spans="1:7" ht="15.6">
      <c r="A45" s="569" t="s">
        <v>1488</v>
      </c>
      <c r="B45" s="3028" t="str">
        <f>B19</f>
        <v>其他工程费</v>
      </c>
      <c r="C45" s="735">
        <f ca="1">C19</f>
        <v>179</v>
      </c>
      <c r="D45" s="3077"/>
      <c r="E45" s="3077"/>
      <c r="F45" s="738"/>
      <c r="G45" s="3078"/>
    </row>
    <row r="46" spans="1:7" ht="15.6">
      <c r="A46" s="569" t="s">
        <v>1489</v>
      </c>
      <c r="B46" s="3028" t="s">
        <v>764</v>
      </c>
      <c r="C46" s="735">
        <f ca="1">C20</f>
        <v>239</v>
      </c>
      <c r="D46" s="3077"/>
      <c r="E46" s="3077"/>
      <c r="F46" s="738"/>
      <c r="G46" s="3078"/>
    </row>
    <row r="47" spans="1:7" ht="14.4">
      <c r="A47" s="3118" t="s">
        <v>1490</v>
      </c>
      <c r="B47" s="717" t="s">
        <v>1455</v>
      </c>
      <c r="C47" s="3080">
        <f ca="1">ROUND(C40*F47,0)</f>
        <v>272</v>
      </c>
      <c r="D47" s="3081"/>
      <c r="E47" s="3081"/>
      <c r="F47" s="3082">
        <f>F21</f>
        <v>0.02</v>
      </c>
      <c r="G47" s="3083" t="s">
        <v>1491</v>
      </c>
    </row>
    <row r="48" spans="1:7" ht="14.4">
      <c r="A48" s="3118" t="s">
        <v>1454</v>
      </c>
      <c r="B48" s="717" t="s">
        <v>1458</v>
      </c>
      <c r="C48" s="3084" t="str">
        <f>F48&amp;"V建1"</f>
        <v>0.03V建1</v>
      </c>
      <c r="D48" s="3081"/>
      <c r="E48" s="3081"/>
      <c r="F48" s="3082">
        <f>F22</f>
        <v>0.03</v>
      </c>
      <c r="G48" s="3085" t="s">
        <v>1492</v>
      </c>
    </row>
    <row r="49" spans="1:7" ht="14.4">
      <c r="A49" s="3118" t="s">
        <v>1457</v>
      </c>
      <c r="B49" s="3123" t="s">
        <v>1461</v>
      </c>
      <c r="C49" s="593" t="str">
        <f ca="1">C50&amp;"+"&amp;C51&amp;"V建1"</f>
        <v>556+0.0012V建1</v>
      </c>
      <c r="D49" s="624"/>
      <c r="E49" s="624"/>
      <c r="F49" s="3102">
        <f ca="1">F23</f>
        <v>3.1899999999999998E-2</v>
      </c>
      <c r="G49" s="3088" t="str">
        <f>IF('数据-取费表'!B22&lt;=1,"单利计息","复利计息")</f>
        <v>复利计息</v>
      </c>
    </row>
    <row r="50" spans="1:7">
      <c r="A50" s="3120" t="s">
        <v>1420</v>
      </c>
      <c r="B50" s="3124" t="s">
        <v>1493</v>
      </c>
      <c r="C50" s="747">
        <f ca="1">ROUND(IF('数据-取费表'!B22&lt;=1,(C40+C47)*F49*'数据-取费表'!B22/2,(C40+C47)*(POWER((1+F49),'数据-取费表'!B22/2)-1)),0)</f>
        <v>556</v>
      </c>
      <c r="D50" s="748"/>
      <c r="E50" s="748"/>
      <c r="F50" s="575"/>
      <c r="G50" s="4568" t="str">
        <f ca="1">IF(F10=100%,"建设期均匀投入","已建工期均匀投入")</f>
        <v>已建工期均匀投入</v>
      </c>
    </row>
    <row r="51" spans="1:7">
      <c r="A51" s="3120" t="s">
        <v>1422</v>
      </c>
      <c r="B51" s="3122" t="s">
        <v>1494</v>
      </c>
      <c r="C51" s="750">
        <f ca="1">ROUND(IF('数据-取费表'!B22&lt;=1,F48*F23*'数据-取费表'!B22/2,F48*(POWER((1+F23),'数据-取费表'!B22/2)-1)),4)</f>
        <v>1.1999999999999999E-3</v>
      </c>
      <c r="D51" s="748"/>
      <c r="E51" s="748"/>
      <c r="F51" s="575"/>
      <c r="G51" s="4569"/>
    </row>
    <row r="52" spans="1:7" ht="14.4">
      <c r="A52" s="3118" t="s">
        <v>1460</v>
      </c>
      <c r="B52" s="3125" t="s">
        <v>1469</v>
      </c>
      <c r="C52" s="3090" t="str">
        <f ca="1">C53&amp;"+"&amp;C54&amp;"V建1"</f>
        <v>1945+0.0042V建1</v>
      </c>
      <c r="D52" s="3091"/>
      <c r="E52" s="3081"/>
      <c r="F52" s="3092">
        <f ca="1">F27</f>
        <v>0.14000000000000001</v>
      </c>
      <c r="G52" s="3093" t="s">
        <v>1495</v>
      </c>
    </row>
    <row r="53" spans="1:7">
      <c r="A53" s="3120" t="s">
        <v>1420</v>
      </c>
      <c r="B53" s="3124" t="s">
        <v>1496</v>
      </c>
      <c r="C53" s="720">
        <f ca="1">ROUND((C40+C47)*F27,0)</f>
        <v>1945</v>
      </c>
      <c r="D53" s="3094"/>
      <c r="E53" s="3095"/>
      <c r="F53" s="3096"/>
      <c r="G53" s="3097"/>
    </row>
    <row r="54" spans="1:7">
      <c r="A54" s="3120" t="s">
        <v>1422</v>
      </c>
      <c r="B54" s="3124" t="s">
        <v>1497</v>
      </c>
      <c r="C54" s="3098">
        <f ca="1">ROUND(F48*F27,4)</f>
        <v>4.1999999999999997E-3</v>
      </c>
      <c r="D54" s="3094"/>
      <c r="E54" s="3095"/>
      <c r="F54" s="3096"/>
      <c r="G54" s="3097"/>
    </row>
    <row r="55" spans="1:7" ht="14.4">
      <c r="A55" s="3010" t="s">
        <v>1468</v>
      </c>
      <c r="B55" s="3126" t="s">
        <v>1474</v>
      </c>
      <c r="C55" s="3100">
        <v>0</v>
      </c>
      <c r="D55" s="623"/>
      <c r="E55" s="624"/>
      <c r="F55" s="3087"/>
      <c r="G55" s="3101" t="s">
        <v>1498</v>
      </c>
    </row>
    <row r="56" spans="1:7" ht="16.8">
      <c r="A56" s="3010" t="s">
        <v>1499</v>
      </c>
      <c r="B56" s="3104" t="s">
        <v>1500</v>
      </c>
      <c r="C56" s="593">
        <f ca="1">ROUND((C40+C47+C50+C53)/(1-F48-C51-C54),0)</f>
        <v>16996</v>
      </c>
      <c r="D56" s="624"/>
      <c r="E56" s="624"/>
      <c r="F56" s="3102"/>
      <c r="G56" s="3101" t="s">
        <v>1501</v>
      </c>
    </row>
    <row r="57" spans="1:7" ht="14.4">
      <c r="A57" s="3010" t="s">
        <v>1502</v>
      </c>
      <c r="B57" s="3127" t="s">
        <v>1476</v>
      </c>
      <c r="C57" s="593">
        <f ca="1">ROUND(C56*(1-F57),0)</f>
        <v>0</v>
      </c>
      <c r="D57" s="624"/>
      <c r="E57" s="624"/>
      <c r="F57" s="3102">
        <f>F31</f>
        <v>1</v>
      </c>
      <c r="G57" s="3101" t="s">
        <v>1503</v>
      </c>
    </row>
    <row r="58" spans="1:7" ht="16.8">
      <c r="A58" s="3010" t="s">
        <v>1504</v>
      </c>
      <c r="B58" s="3104" t="s">
        <v>1505</v>
      </c>
      <c r="C58" s="593">
        <f ca="1">C56-C57</f>
        <v>16996</v>
      </c>
      <c r="D58" s="624"/>
      <c r="E58" s="624"/>
      <c r="F58" s="3102"/>
      <c r="G58" s="3101" t="s">
        <v>1506</v>
      </c>
    </row>
    <row r="59" spans="1:7" ht="14.4">
      <c r="A59" s="3128" t="s">
        <v>1507</v>
      </c>
      <c r="B59" s="3129" t="s">
        <v>1508</v>
      </c>
      <c r="C59" s="3106">
        <f ca="1">ROUND(C58*(1+F59),0)</f>
        <v>18526</v>
      </c>
      <c r="D59" s="3107"/>
      <c r="E59" s="3107"/>
      <c r="F59" s="3108">
        <f>F33</f>
        <v>0.09</v>
      </c>
      <c r="G59" s="3109" t="s">
        <v>1509</v>
      </c>
    </row>
    <row r="60" spans="1:7" ht="15.6">
      <c r="A60" s="3110"/>
      <c r="B60" s="3111"/>
    </row>
    <row r="62" spans="1:7" ht="21" customHeight="1">
      <c r="B62" s="3112" t="s">
        <v>1510</v>
      </c>
      <c r="C62" s="449"/>
    </row>
    <row r="63" spans="1:7" ht="21" customHeight="1">
      <c r="B63" s="2051" t="s">
        <v>1511</v>
      </c>
      <c r="C63" s="3113">
        <f ca="1">1-C64</f>
        <v>0.70199999999999996</v>
      </c>
    </row>
    <row r="64" spans="1:7" ht="21" customHeight="1">
      <c r="B64" s="2051" t="s">
        <v>1512</v>
      </c>
      <c r="C64" s="3114">
        <f ca="1">ROUND(C58/C32,3)</f>
        <v>0.29799999999999999</v>
      </c>
      <c r="D64" s="368" t="s">
        <v>1513</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1407</v>
      </c>
      <c r="B1" s="545"/>
      <c r="C1" s="2996"/>
      <c r="D1" s="2989" t="s">
        <v>1514</v>
      </c>
      <c r="E1" s="373"/>
      <c r="F1" s="373"/>
      <c r="G1" s="546">
        <f>MATCH(B1,'数据-取费表'!A6:A16,0)+5</f>
        <v>9</v>
      </c>
      <c r="H1" s="2997" t="str">
        <f>IF(ISERROR(FIND("住宅",B1)),"非住宅","住宅")</f>
        <v>非住宅</v>
      </c>
    </row>
    <row r="2" spans="1:10" s="363" customFormat="1" ht="15.6">
      <c r="A2" s="375" t="s">
        <v>1117</v>
      </c>
      <c r="B2" s="2998">
        <f ca="1">ROUND(D3/10000,4)</f>
        <v>17294.371200000001</v>
      </c>
      <c r="C2" s="374" t="s">
        <v>1409</v>
      </c>
      <c r="D2" s="2991" t="s">
        <v>124</v>
      </c>
      <c r="E2" s="738">
        <f ca="1">IF(D2="——",0,SUMIF(INDIRECT("'"&amp;G2&amp;"'"&amp;"!A:A"),"承租人权益价值",INDIRECT("'"&amp;G2&amp;"'"&amp;"!c:c")))</f>
        <v>0</v>
      </c>
      <c r="F2" s="669" t="s">
        <v>1409</v>
      </c>
      <c r="G2" s="2993"/>
    </row>
    <row r="3" spans="1:10" s="363" customFormat="1" ht="15.6">
      <c r="A3" s="378" t="s">
        <v>1118</v>
      </c>
      <c r="B3" s="549">
        <f ca="1">ROUND(D3/(IF(B1="",'数据-汇总表'!E3,INDIRECT("'数据-取费表'!k"&amp;$G$1))),0)</f>
        <v>6695</v>
      </c>
      <c r="C3" s="374" t="s">
        <v>1121</v>
      </c>
      <c r="D3" s="374">
        <f ca="1">IF(C1="含税",E2+C33,E2+C32)</f>
        <v>172943712</v>
      </c>
      <c r="E3" s="548"/>
      <c r="F3" s="374"/>
      <c r="G3" s="374"/>
    </row>
    <row r="4" spans="1:10" s="363" customFormat="1" ht="15.6">
      <c r="A4" s="2999" t="s">
        <v>999</v>
      </c>
      <c r="B4" s="3000" t="s">
        <v>1000</v>
      </c>
      <c r="C4" s="3001" t="s">
        <v>1410</v>
      </c>
      <c r="D4" s="3002" t="s">
        <v>1411</v>
      </c>
      <c r="E4" s="3003" t="s">
        <v>1412</v>
      </c>
      <c r="F4" s="3003" t="s">
        <v>1413</v>
      </c>
      <c r="G4" s="3004" t="s">
        <v>1414</v>
      </c>
    </row>
    <row r="5" spans="1:10" s="364" customFormat="1" ht="15.6">
      <c r="A5" s="3005" t="s">
        <v>1415</v>
      </c>
      <c r="B5" s="3006" t="s">
        <v>1416</v>
      </c>
      <c r="C5" s="3007">
        <f ca="1">ROUND((C6+C9+C21+C24+C25+C28)/(1-F22-C26-C29),0)</f>
        <v>172943712</v>
      </c>
      <c r="D5" s="3008"/>
      <c r="E5" s="3008"/>
      <c r="F5" s="3008"/>
      <c r="G5" s="3009" t="s">
        <v>1417</v>
      </c>
      <c r="J5" s="363"/>
    </row>
    <row r="6" spans="1:10" s="542" customFormat="1" ht="15">
      <c r="A6" s="3010" t="s">
        <v>1418</v>
      </c>
      <c r="B6" s="3011" t="s">
        <v>1419</v>
      </c>
      <c r="C6" s="3012">
        <f>C7+C8</f>
        <v>0</v>
      </c>
      <c r="D6" s="3013"/>
      <c r="E6" s="3013"/>
      <c r="F6" s="3013"/>
      <c r="G6" s="3014"/>
      <c r="J6" s="363"/>
    </row>
    <row r="7" spans="1:10" s="365" customFormat="1" ht="15">
      <c r="A7" s="3015" t="s">
        <v>1420</v>
      </c>
      <c r="B7" s="3016" t="s">
        <v>1421</v>
      </c>
      <c r="C7" s="589"/>
      <c r="D7" s="3017"/>
      <c r="E7" s="591"/>
      <c r="F7" s="591"/>
      <c r="G7" s="440"/>
      <c r="J7" s="363"/>
    </row>
    <row r="8" spans="1:10" s="365" customFormat="1" ht="15">
      <c r="A8" s="3015" t="s">
        <v>1422</v>
      </c>
      <c r="B8" s="3016" t="s">
        <v>1423</v>
      </c>
      <c r="C8" s="583">
        <f>ROUND(C7*F8,0)</f>
        <v>0</v>
      </c>
      <c r="D8" s="429"/>
      <c r="E8" s="591"/>
      <c r="F8" s="586">
        <f>IF(项目基本情况!B8="出让",0,'数据-取费表'!B49+'数据-取费表'!B50)</f>
        <v>3.0499999999999999E-2</v>
      </c>
      <c r="G8" s="440"/>
      <c r="J8" s="363"/>
    </row>
    <row r="9" spans="1:10" s="542" customFormat="1" ht="15">
      <c r="A9" s="3018" t="s">
        <v>1424</v>
      </c>
      <c r="B9" s="3019" t="s">
        <v>1425</v>
      </c>
      <c r="C9" s="593">
        <f ca="1">C10+C11+C12+C13+C19+C20</f>
        <v>138636631</v>
      </c>
      <c r="D9" s="3020"/>
      <c r="E9" s="3021"/>
      <c r="F9" s="596"/>
      <c r="G9" s="3022"/>
      <c r="J9" s="363"/>
    </row>
    <row r="10" spans="1:10" s="365" customFormat="1" ht="15">
      <c r="A10" s="3023" t="s">
        <v>1420</v>
      </c>
      <c r="B10" s="3024" t="s">
        <v>1426</v>
      </c>
      <c r="C10" s="583">
        <f ca="1">ROUND(IF(B1="",SUMPRODUCT('数据-取费表'!K6:K14,'数据-取费表'!L6:L14),INDIRECT("'数据-取费表'!l"&amp;$G$1)*INDIRECT("'数据-取费表'!k"&amp;$G$1)+'数据-取费表'!L14*INDIRECT("'数据-取费表'!S"&amp;$G$1)),0)</f>
        <v>120520949</v>
      </c>
      <c r="D10" s="3017"/>
      <c r="E10" s="429"/>
      <c r="F10" s="3025">
        <f ca="1">IF('数据-取费表'!B24=0,1,IF(B1="",'数据-取费表'!N16,INDIRECT("'数据-取费表'!n"&amp;$G$1)))</f>
        <v>0.99</v>
      </c>
      <c r="G10" s="440" t="s">
        <v>1427</v>
      </c>
      <c r="J10" s="363"/>
    </row>
    <row r="11" spans="1:10" s="365" customFormat="1" ht="15">
      <c r="A11" s="3023" t="s">
        <v>1422</v>
      </c>
      <c r="B11" s="3024" t="s">
        <v>1428</v>
      </c>
      <c r="C11" s="583">
        <f ca="1">ROUND(C10*F11,0)</f>
        <v>3615628</v>
      </c>
      <c r="D11" s="429"/>
      <c r="E11" s="429"/>
      <c r="F11" s="3026">
        <f>'数据-取费表'!B33</f>
        <v>0.03</v>
      </c>
      <c r="G11" s="440" t="s">
        <v>1451</v>
      </c>
      <c r="J11" s="363"/>
    </row>
    <row r="12" spans="1:10" s="365" customFormat="1" ht="15">
      <c r="A12" s="3023" t="s">
        <v>1430</v>
      </c>
      <c r="B12" s="3024" t="s">
        <v>1431</v>
      </c>
      <c r="C12" s="583">
        <f ca="1">ROUND(IF(B1="",SUMIF('数据-取费表'!C:C,"住宅",IF(F10=100%,'数据-取费表'!M:M,'数据-取费表'!O:O))*F12,IF(INDIRECT("'数据-取费表'!c"&amp;$G$1)="住宅",IF(F10=100%,INDIRECT("'数据-取费表'!ap"&amp;$G$1)*F12,INDIRECT("'数据-取费表'!ap"&amp;$G$1)*INDIRECT("'数据-取费表'!n"&amp;$G$1)*F12),0)),0)</f>
        <v>402</v>
      </c>
      <c r="D12" s="429"/>
      <c r="E12" s="429"/>
      <c r="F12" s="3026">
        <f>'数据-取费表'!B34</f>
        <v>0.05</v>
      </c>
      <c r="G12" s="3027" t="s">
        <v>1515</v>
      </c>
      <c r="J12" s="363"/>
    </row>
    <row r="13" spans="1:10" s="365" customFormat="1" ht="15">
      <c r="A13" s="3023" t="s">
        <v>1433</v>
      </c>
      <c r="B13" s="3024" t="s">
        <v>1434</v>
      </c>
      <c r="C13" s="583">
        <f ca="1">C14+C17+C18</f>
        <v>10281419</v>
      </c>
      <c r="D13" s="429"/>
      <c r="E13" s="591"/>
      <c r="F13" s="586"/>
      <c r="G13" s="440"/>
      <c r="J13" s="363"/>
    </row>
    <row r="14" spans="1:10" s="366" customFormat="1" ht="15">
      <c r="A14" s="604" t="s">
        <v>1435</v>
      </c>
      <c r="B14" s="3028" t="s">
        <v>1436</v>
      </c>
      <c r="C14" s="583">
        <f>IF(G14="已包含在土地购买价格中","0",IF(B1="",'数据-取费表'!B29,IF(G15="全部缴纳",C15+C16,H15)))</f>
        <v>0</v>
      </c>
      <c r="D14" s="3029"/>
      <c r="E14" s="429"/>
      <c r="F14" s="586"/>
      <c r="G14" s="603"/>
      <c r="J14" s="363"/>
    </row>
    <row r="15" spans="1:10" s="365" customFormat="1" ht="15">
      <c r="A15" s="3030" t="s">
        <v>1438</v>
      </c>
      <c r="B15" s="3031" t="s">
        <v>1439</v>
      </c>
      <c r="C15" s="606">
        <f ca="1">ROUND(D15*E15,0)</f>
        <v>2272175</v>
      </c>
      <c r="D15" s="606">
        <f ca="1">IF(B1="",'数据-汇总表'!E5,IF(INDIRECT("'数据-取费表'!c"&amp;$G$1)="住宅",INDIRECT("'数据-取费表'!k"&amp;$G$1),0))</f>
        <v>16229.82</v>
      </c>
      <c r="E15" s="606">
        <f>'数据-取费表'!B27</f>
        <v>140</v>
      </c>
      <c r="F15" s="586"/>
      <c r="G15" s="608"/>
      <c r="H15" s="609"/>
      <c r="I15" s="610" t="s">
        <v>1441</v>
      </c>
      <c r="J15" s="363"/>
    </row>
    <row r="16" spans="1:10" s="365" customFormat="1" ht="15">
      <c r="A16" s="3030" t="s">
        <v>1442</v>
      </c>
      <c r="B16" s="3031" t="s">
        <v>1443</v>
      </c>
      <c r="C16" s="606">
        <f ca="1">ROUND(D16*E16,0)</f>
        <v>1632491</v>
      </c>
      <c r="D16" s="606">
        <f ca="1">IF(B1="",'数据-汇总表'!E6,IF(INDIRECT("'数据-取费表'!c"&amp;$G$1)="住宅",INDIRECT("'数据-取费表'!s"&amp;$G$1),INDIRECT("'数据-取费表'!k"&amp;$G$1)+INDIRECT("'数据-取费表'!s"&amp;$G$1)))</f>
        <v>9602.89</v>
      </c>
      <c r="E16" s="606">
        <f>'数据-取费表'!B28</f>
        <v>170</v>
      </c>
      <c r="F16" s="586"/>
      <c r="G16" s="402"/>
      <c r="J16" s="363"/>
    </row>
    <row r="17" spans="1:10" s="365" customFormat="1" ht="15">
      <c r="A17" s="604" t="s">
        <v>1444</v>
      </c>
      <c r="B17" s="3032" t="s">
        <v>1445</v>
      </c>
      <c r="C17" s="583">
        <f ca="1">IF(G17="已包含在土地取得成本中","0",ROUND(D17*E17,0))</f>
        <v>5166542</v>
      </c>
      <c r="D17" s="566">
        <f ca="1">D15+D16</f>
        <v>25832.71</v>
      </c>
      <c r="E17" s="566">
        <f>'数据-取费表'!B31</f>
        <v>200</v>
      </c>
      <c r="F17" s="3033"/>
      <c r="G17" s="603"/>
      <c r="J17" s="363"/>
    </row>
    <row r="18" spans="1:10" s="365" customFormat="1" ht="15">
      <c r="A18" s="3034" t="s">
        <v>1447</v>
      </c>
      <c r="B18" s="3032" t="s">
        <v>1448</v>
      </c>
      <c r="C18" s="583">
        <f ca="1">ROUND(E18*D18*F10,0)</f>
        <v>5114877</v>
      </c>
      <c r="D18" s="583">
        <f ca="1">D17</f>
        <v>25832.71</v>
      </c>
      <c r="E18" s="583">
        <f>'数据-取费表'!B35</f>
        <v>200</v>
      </c>
      <c r="F18" s="3026"/>
      <c r="G18" s="440" t="str">
        <f ca="1">IF(F10=100%,"","按工程进度计取")</f>
        <v>按工程进度计取</v>
      </c>
      <c r="J18" s="363"/>
    </row>
    <row r="19" spans="1:10" s="365" customFormat="1" ht="15">
      <c r="A19" s="3023" t="s">
        <v>1449</v>
      </c>
      <c r="B19" s="3024" t="s">
        <v>1450</v>
      </c>
      <c r="C19" s="583">
        <f ca="1">ROUND(C10*F19,0)</f>
        <v>1807814</v>
      </c>
      <c r="D19" s="429"/>
      <c r="E19" s="429"/>
      <c r="F19" s="3026">
        <f>'数据-取费表'!B36</f>
        <v>1.4999999999999999E-2</v>
      </c>
      <c r="G19" s="440" t="s">
        <v>1451</v>
      </c>
      <c r="J19" s="363"/>
    </row>
    <row r="20" spans="1:10" s="365" customFormat="1" ht="15">
      <c r="A20" s="3023" t="s">
        <v>1452</v>
      </c>
      <c r="B20" s="3024" t="s">
        <v>1453</v>
      </c>
      <c r="C20" s="583">
        <f ca="1">ROUND(C10*F20,0)</f>
        <v>2410419</v>
      </c>
      <c r="D20" s="3035"/>
      <c r="E20" s="425"/>
      <c r="F20" s="3026">
        <f>'数据-取费表'!B37</f>
        <v>0.02</v>
      </c>
      <c r="G20" s="440" t="s">
        <v>1451</v>
      </c>
      <c r="J20" s="363"/>
    </row>
    <row r="21" spans="1:10" s="542" customFormat="1" ht="15">
      <c r="A21" s="3010" t="s">
        <v>1454</v>
      </c>
      <c r="B21" s="3011" t="s">
        <v>1455</v>
      </c>
      <c r="C21" s="593">
        <f ca="1">ROUND((C6+C9)*F21,0)</f>
        <v>2772733</v>
      </c>
      <c r="D21" s="1661"/>
      <c r="E21" s="1661"/>
      <c r="F21" s="3036">
        <f>'数据-取费表'!B38</f>
        <v>0.02</v>
      </c>
      <c r="G21" s="3037" t="s">
        <v>1456</v>
      </c>
      <c r="J21" s="363"/>
    </row>
    <row r="22" spans="1:10" s="542" customFormat="1" ht="15">
      <c r="A22" s="3010" t="s">
        <v>1457</v>
      </c>
      <c r="B22" s="3011" t="s">
        <v>1458</v>
      </c>
      <c r="C22" s="3038" t="str">
        <f>F22&amp;"V"</f>
        <v>0.03V</v>
      </c>
      <c r="D22" s="624"/>
      <c r="E22" s="1661"/>
      <c r="F22" s="3036">
        <f>'数据-取费表'!B39</f>
        <v>0.03</v>
      </c>
      <c r="G22" s="3039" t="s">
        <v>1459</v>
      </c>
      <c r="J22" s="363"/>
    </row>
    <row r="23" spans="1:10" s="542" customFormat="1" ht="15">
      <c r="A23" s="3010" t="s">
        <v>1460</v>
      </c>
      <c r="B23" s="3019" t="s">
        <v>1461</v>
      </c>
      <c r="C23" s="622" t="str">
        <f ca="1">SUM(C24:C25)&amp;"+"&amp;C26&amp;"V"</f>
        <v>5614830+0.0012V</v>
      </c>
      <c r="D23" s="623"/>
      <c r="E23" s="624"/>
      <c r="F23" s="3036">
        <f ca="1">'数据-取费表'!B41</f>
        <v>3.1899999999999998E-2</v>
      </c>
      <c r="G23" s="3037" t="str">
        <f>IF('数据-取费表'!B22&lt;=1,"单利计息","复利计息")</f>
        <v>复利计息</v>
      </c>
      <c r="J23" s="363"/>
    </row>
    <row r="24" spans="1:10" s="365" customFormat="1" ht="15">
      <c r="A24" s="569" t="s">
        <v>1420</v>
      </c>
      <c r="B24" s="3032" t="s">
        <v>1462</v>
      </c>
      <c r="C24" s="3040">
        <f ca="1">ROUND(IF('数据-取费表'!B22&lt;=1,C6*F23*'数据-取费表'!B23,C6*(POWER((1+F23),'数据-取费表'!B23)-1)),0)</f>
        <v>0</v>
      </c>
      <c r="D24" s="418"/>
      <c r="E24" s="418"/>
      <c r="F24" s="3041"/>
      <c r="G24" s="3027" t="s">
        <v>1463</v>
      </c>
      <c r="J24" s="363"/>
    </row>
    <row r="25" spans="1:10" s="365" customFormat="1" ht="15">
      <c r="A25" s="569" t="s">
        <v>1422</v>
      </c>
      <c r="B25" s="3032" t="s">
        <v>1464</v>
      </c>
      <c r="C25" s="3040">
        <f ca="1">ROUND(IF('数据-取费表'!B22&lt;=1,(C9+C21)*F23*'数据-取费表'!B23/2,(C9+C21)*(POWER((1+F23),'数据-取费表'!B23/2)-1)),0)</f>
        <v>5614830</v>
      </c>
      <c r="D25" s="418"/>
      <c r="E25" s="418"/>
      <c r="F25" s="3041"/>
      <c r="G25" s="3027" t="s">
        <v>1465</v>
      </c>
      <c r="J25" s="363"/>
    </row>
    <row r="26" spans="1:10" s="365" customFormat="1" ht="15">
      <c r="A26" s="569" t="s">
        <v>1466</v>
      </c>
      <c r="B26" s="3032" t="s">
        <v>1467</v>
      </c>
      <c r="C26" s="3042">
        <f ca="1">ROUND(IF('数据-取费表'!B22&lt;=1,F22*F23*'数据-取费表'!B23/2,F22*(POWER((1+F23),'数据-取费表'!B23/2)-1)),4)</f>
        <v>1.1999999999999999E-3</v>
      </c>
      <c r="D26" s="418"/>
      <c r="E26" s="421"/>
      <c r="F26" s="3041"/>
      <c r="G26" s="3043" t="s">
        <v>1465</v>
      </c>
      <c r="J26" s="363"/>
    </row>
    <row r="27" spans="1:10" s="542" customFormat="1" ht="15">
      <c r="A27" s="3010" t="s">
        <v>1468</v>
      </c>
      <c r="B27" s="3019" t="s">
        <v>1469</v>
      </c>
      <c r="C27" s="627" t="str">
        <f ca="1">C28&amp;"+"&amp;C29&amp;"V"</f>
        <v>19797311+0.0042V</v>
      </c>
      <c r="D27" s="623"/>
      <c r="E27" s="624"/>
      <c r="F27" s="3044">
        <f ca="1">IF(B1="",'数据-取费表'!Q16,INDIRECT("'数据-取费表'!q"&amp;$G$1))</f>
        <v>0.14000000000000001</v>
      </c>
      <c r="G27" s="3037" t="s">
        <v>1470</v>
      </c>
      <c r="J27" s="363"/>
    </row>
    <row r="28" spans="1:10" s="365" customFormat="1" ht="15">
      <c r="A28" s="3023" t="s">
        <v>1420</v>
      </c>
      <c r="B28" s="3032" t="s">
        <v>1471</v>
      </c>
      <c r="C28" s="735">
        <f ca="1">ROUND(C6*F27*'数据-取费表'!B23/'数据-取费表'!B22+(C9+C21)*F27,0)</f>
        <v>19797311</v>
      </c>
      <c r="D28" s="411"/>
      <c r="E28" s="412"/>
      <c r="F28" s="3033"/>
      <c r="G28" s="427" t="str">
        <f ca="1">IF(F10=100%,"","其中：土地取得成本产生的利润按已建工期计算")</f>
        <v>其中：土地取得成本产生的利润按已建工期计算</v>
      </c>
      <c r="J28" s="363"/>
    </row>
    <row r="29" spans="1:10" s="365" customFormat="1" ht="15">
      <c r="A29" s="3023" t="s">
        <v>1422</v>
      </c>
      <c r="B29" s="3032" t="s">
        <v>1472</v>
      </c>
      <c r="C29" s="3042">
        <f ca="1">ROUND(F22*F27,4)</f>
        <v>4.1999999999999997E-3</v>
      </c>
      <c r="D29" s="411"/>
      <c r="E29" s="412"/>
      <c r="F29" s="3033"/>
      <c r="G29" s="427"/>
      <c r="J29" s="363"/>
    </row>
    <row r="30" spans="1:10" s="542" customFormat="1" ht="15">
      <c r="A30" s="3010" t="s">
        <v>1473</v>
      </c>
      <c r="B30" s="3011" t="s">
        <v>1474</v>
      </c>
      <c r="C30" s="593">
        <v>0</v>
      </c>
      <c r="D30" s="624"/>
      <c r="E30" s="3045"/>
      <c r="F30" s="3036"/>
      <c r="G30" s="3046" t="s">
        <v>1475</v>
      </c>
      <c r="J30" s="363"/>
    </row>
    <row r="31" spans="1:10" s="365" customFormat="1" ht="15.6">
      <c r="A31" s="3047">
        <v>2</v>
      </c>
      <c r="B31" s="3048" t="s">
        <v>1476</v>
      </c>
      <c r="C31" s="561">
        <f ca="1">C57</f>
        <v>0</v>
      </c>
      <c r="D31" s="630"/>
      <c r="E31" s="630"/>
      <c r="F31" s="3049">
        <f>IF('数据-取费表'!B24=0,'数据-取费表'!N16,1)</f>
        <v>1</v>
      </c>
      <c r="G31" s="632" t="s">
        <v>1516</v>
      </c>
      <c r="J31" s="363"/>
    </row>
    <row r="32" spans="1:10" s="365" customFormat="1" ht="15.6">
      <c r="A32" s="629" t="s">
        <v>1478</v>
      </c>
      <c r="B32" s="560" t="s">
        <v>1479</v>
      </c>
      <c r="C32" s="561">
        <f ca="1">C5-C31</f>
        <v>172943712</v>
      </c>
      <c r="D32" s="630"/>
      <c r="E32" s="630"/>
      <c r="F32" s="631"/>
      <c r="G32" s="3050" t="s">
        <v>1480</v>
      </c>
      <c r="J32" s="363"/>
    </row>
    <row r="33" spans="1:10" s="365" customFormat="1" ht="15.6">
      <c r="A33" s="3051">
        <v>4</v>
      </c>
      <c r="B33" s="3052" t="s">
        <v>1481</v>
      </c>
      <c r="C33" s="3053">
        <f ca="1">ROUND(C32*(1+F33),0)</f>
        <v>188508646</v>
      </c>
      <c r="D33" s="3054"/>
      <c r="E33" s="3054"/>
      <c r="F33" s="3055">
        <f>IF(G33="其他类型公式—成本价值×（1+9%）",9%,3%)</f>
        <v>0.09</v>
      </c>
      <c r="G33" s="3056" t="s">
        <v>1482</v>
      </c>
      <c r="J33" s="363"/>
    </row>
    <row r="34" spans="1:10" s="366" customFormat="1" ht="15">
      <c r="J34" s="363"/>
    </row>
    <row r="35" spans="1:10" s="365" customFormat="1"/>
    <row r="36" spans="1:10" s="365" customFormat="1"/>
    <row r="37" spans="1:10" s="365" customFormat="1"/>
    <row r="38" spans="1:10" ht="14.4">
      <c r="A38" s="3057" t="s">
        <v>1483</v>
      </c>
      <c r="B38" s="3058"/>
      <c r="C38" s="3058"/>
      <c r="D38" s="3058"/>
      <c r="E38" s="3058"/>
      <c r="F38" s="3058"/>
      <c r="G38" s="3059"/>
    </row>
    <row r="39" spans="1:10" ht="14.4">
      <c r="A39" s="3060" t="s">
        <v>999</v>
      </c>
      <c r="B39" s="3061" t="s">
        <v>1000</v>
      </c>
      <c r="C39" s="3062" t="s">
        <v>1410</v>
      </c>
      <c r="D39" s="3063" t="s">
        <v>1484</v>
      </c>
      <c r="E39" s="3064" t="s">
        <v>1485</v>
      </c>
      <c r="F39" s="3064" t="s">
        <v>1486</v>
      </c>
      <c r="G39" s="3065" t="s">
        <v>1414</v>
      </c>
    </row>
    <row r="40" spans="1:10" ht="14.4">
      <c r="A40" s="717" t="s">
        <v>1418</v>
      </c>
      <c r="B40" s="3066" t="s">
        <v>1487</v>
      </c>
      <c r="C40" s="3067">
        <f ca="1">SUM(C41:C46)</f>
        <v>133470089</v>
      </c>
      <c r="D40" s="3068"/>
      <c r="E40" s="3068"/>
      <c r="F40" s="3068"/>
      <c r="G40" s="3069"/>
    </row>
    <row r="41" spans="1:10" ht="15.6">
      <c r="A41" s="3070" t="s">
        <v>1420</v>
      </c>
      <c r="B41" s="3071" t="str">
        <f t="shared" ref="B41:C43" si="0">B10</f>
        <v>建安费用</v>
      </c>
      <c r="C41" s="720">
        <f t="shared" ca="1" si="0"/>
        <v>120520949</v>
      </c>
      <c r="D41" s="3072"/>
      <c r="E41" s="3072"/>
      <c r="F41" s="729"/>
      <c r="G41" s="3073"/>
    </row>
    <row r="42" spans="1:10" ht="15.6">
      <c r="A42" s="3070" t="s">
        <v>1422</v>
      </c>
      <c r="B42" s="3071" t="str">
        <f t="shared" si="0"/>
        <v>前期费用</v>
      </c>
      <c r="C42" s="720">
        <f t="shared" ca="1" si="0"/>
        <v>3615628</v>
      </c>
      <c r="D42" s="3072"/>
      <c r="E42" s="3072"/>
      <c r="F42" s="729"/>
      <c r="G42" s="3073"/>
    </row>
    <row r="43" spans="1:10" ht="15.6">
      <c r="A43" s="3070" t="s">
        <v>1430</v>
      </c>
      <c r="B43" s="3074" t="str">
        <f t="shared" si="0"/>
        <v>公共配套设施费用</v>
      </c>
      <c r="C43" s="720">
        <f t="shared" ca="1" si="0"/>
        <v>402</v>
      </c>
      <c r="D43" s="3072"/>
      <c r="E43" s="3072"/>
      <c r="F43" s="729"/>
      <c r="G43" s="3073"/>
    </row>
    <row r="44" spans="1:10" ht="15.6">
      <c r="A44" s="3070" t="s">
        <v>1433</v>
      </c>
      <c r="B44" s="3074" t="str">
        <f>B18</f>
        <v>红线内市政费用</v>
      </c>
      <c r="C44" s="720">
        <f ca="1">C18</f>
        <v>5114877</v>
      </c>
      <c r="D44" s="3072"/>
      <c r="E44" s="3072"/>
      <c r="F44" s="729"/>
      <c r="G44" s="3073"/>
    </row>
    <row r="45" spans="1:10" ht="15.6">
      <c r="A45" s="3075" t="s">
        <v>1488</v>
      </c>
      <c r="B45" s="3076" t="str">
        <f>B19</f>
        <v>其他工程费</v>
      </c>
      <c r="C45" s="735">
        <f ca="1">C19</f>
        <v>1807814</v>
      </c>
      <c r="D45" s="3077"/>
      <c r="E45" s="3077"/>
      <c r="F45" s="738"/>
      <c r="G45" s="3078"/>
    </row>
    <row r="46" spans="1:10" ht="15.6">
      <c r="A46" s="3075" t="s">
        <v>1489</v>
      </c>
      <c r="B46" s="3076" t="s">
        <v>764</v>
      </c>
      <c r="C46" s="735">
        <f ca="1">C20</f>
        <v>2410419</v>
      </c>
      <c r="D46" s="3077"/>
      <c r="E46" s="3077"/>
      <c r="F46" s="738"/>
      <c r="G46" s="3078"/>
    </row>
    <row r="47" spans="1:10" ht="14.4">
      <c r="A47" s="3079" t="s">
        <v>1490</v>
      </c>
      <c r="B47" s="3079" t="s">
        <v>1455</v>
      </c>
      <c r="C47" s="3080">
        <f ca="1">ROUND(C40*F47,0)</f>
        <v>2669402</v>
      </c>
      <c r="D47" s="3081"/>
      <c r="E47" s="3081"/>
      <c r="F47" s="3082">
        <f>F21</f>
        <v>0.02</v>
      </c>
      <c r="G47" s="3083" t="s">
        <v>1491</v>
      </c>
    </row>
    <row r="48" spans="1:10" ht="14.4">
      <c r="A48" s="3079" t="s">
        <v>1454</v>
      </c>
      <c r="B48" s="3079" t="s">
        <v>1458</v>
      </c>
      <c r="C48" s="3084" t="str">
        <f>F48&amp;"V建1"</f>
        <v>0.03V建1</v>
      </c>
      <c r="D48" s="3081"/>
      <c r="E48" s="3081"/>
      <c r="F48" s="3082">
        <f>F22</f>
        <v>0.03</v>
      </c>
      <c r="G48" s="3085" t="s">
        <v>1492</v>
      </c>
    </row>
    <row r="49" spans="1:7" ht="14.4">
      <c r="A49" s="3079" t="s">
        <v>1457</v>
      </c>
      <c r="B49" s="3086" t="s">
        <v>1461</v>
      </c>
      <c r="C49" s="593" t="str">
        <f ca="1">C50&amp;"+"&amp;C51&amp;"V建1"</f>
        <v>5450038+0.0012V建1</v>
      </c>
      <c r="D49" s="624"/>
      <c r="E49" s="624"/>
      <c r="F49" s="3087">
        <f ca="1">F23</f>
        <v>3.1899999999999998E-2</v>
      </c>
      <c r="G49" s="3088" t="str">
        <f>IF('数据-取费表'!B22&lt;=1,"单利计息","复利计息")</f>
        <v>复利计息</v>
      </c>
    </row>
    <row r="50" spans="1:7">
      <c r="A50" s="3070" t="s">
        <v>1420</v>
      </c>
      <c r="B50" s="3089" t="s">
        <v>1493</v>
      </c>
      <c r="C50" s="747">
        <f ca="1">ROUND(IF('数据-取费表'!B22&lt;=1,(C40+C47)*F49*'数据-取费表'!B22/2,(C40+C47)*(POWER((1+F49),'数据-取费表'!B22/2)-1)),0)</f>
        <v>5450038</v>
      </c>
      <c r="D50" s="748"/>
      <c r="E50" s="748"/>
      <c r="F50" s="575"/>
      <c r="G50" s="4568" t="str">
        <f ca="1">IF(F10=100%,"建设期均匀投入","已建工期均匀投入")</f>
        <v>已建工期均匀投入</v>
      </c>
    </row>
    <row r="51" spans="1:7">
      <c r="A51" s="3070" t="s">
        <v>1422</v>
      </c>
      <c r="B51" s="3074" t="s">
        <v>1494</v>
      </c>
      <c r="C51" s="750">
        <f ca="1">ROUND(IF('数据-取费表'!B22&lt;=1,F48*F23*'数据-取费表'!B22/2,F48*(POWER((1+F23),'数据-取费表'!B22/2)-1)),4)</f>
        <v>1.1999999999999999E-3</v>
      </c>
      <c r="D51" s="748"/>
      <c r="E51" s="748"/>
      <c r="F51" s="575"/>
      <c r="G51" s="4569"/>
    </row>
    <row r="52" spans="1:7" ht="14.4">
      <c r="A52" s="3079" t="s">
        <v>1460</v>
      </c>
      <c r="B52" s="3057" t="s">
        <v>1469</v>
      </c>
      <c r="C52" s="3090" t="str">
        <f ca="1">C53&amp;"+"&amp;C54&amp;"V建1"</f>
        <v>19059529+0.0042V建1</v>
      </c>
      <c r="D52" s="3091"/>
      <c r="E52" s="3081"/>
      <c r="F52" s="3092">
        <f ca="1">F27</f>
        <v>0.14000000000000001</v>
      </c>
      <c r="G52" s="3093" t="s">
        <v>1495</v>
      </c>
    </row>
    <row r="53" spans="1:7">
      <c r="A53" s="3070" t="s">
        <v>1420</v>
      </c>
      <c r="B53" s="3089" t="s">
        <v>1496</v>
      </c>
      <c r="C53" s="720">
        <f ca="1">ROUND((C40+C47)*F27,0)</f>
        <v>19059529</v>
      </c>
      <c r="D53" s="3094"/>
      <c r="E53" s="3095"/>
      <c r="F53" s="3096"/>
      <c r="G53" s="3097"/>
    </row>
    <row r="54" spans="1:7">
      <c r="A54" s="3070" t="s">
        <v>1422</v>
      </c>
      <c r="B54" s="3089" t="s">
        <v>1497</v>
      </c>
      <c r="C54" s="3098">
        <f ca="1">ROUND(F48*F27,4)</f>
        <v>4.1999999999999997E-3</v>
      </c>
      <c r="D54" s="3094"/>
      <c r="E54" s="3095"/>
      <c r="F54" s="3096"/>
      <c r="G54" s="3097"/>
    </row>
    <row r="55" spans="1:7" ht="14.4">
      <c r="A55" s="3099" t="s">
        <v>1468</v>
      </c>
      <c r="B55" s="3010" t="s">
        <v>1474</v>
      </c>
      <c r="C55" s="3100">
        <v>0</v>
      </c>
      <c r="D55" s="623"/>
      <c r="E55" s="624"/>
      <c r="F55" s="3087"/>
      <c r="G55" s="3101" t="s">
        <v>1498</v>
      </c>
    </row>
    <row r="56" spans="1:7" ht="16.8">
      <c r="A56" s="3099" t="s">
        <v>1499</v>
      </c>
      <c r="B56" s="3099" t="s">
        <v>1500</v>
      </c>
      <c r="C56" s="593">
        <f ca="1">ROUND((C40+C47+C50+C53)/(1-F48-C51-C54),0)</f>
        <v>166544742</v>
      </c>
      <c r="D56" s="624"/>
      <c r="E56" s="624"/>
      <c r="F56" s="3102"/>
      <c r="G56" s="3101" t="s">
        <v>1501</v>
      </c>
    </row>
    <row r="57" spans="1:7" ht="14.4">
      <c r="A57" s="3099" t="s">
        <v>1502</v>
      </c>
      <c r="B57" s="3103" t="s">
        <v>1476</v>
      </c>
      <c r="C57" s="593">
        <f ca="1">ROUND(C56*(1-F57),0)</f>
        <v>0</v>
      </c>
      <c r="D57" s="624"/>
      <c r="E57" s="624"/>
      <c r="F57" s="3102">
        <f>F31</f>
        <v>1</v>
      </c>
      <c r="G57" s="3101" t="s">
        <v>1503</v>
      </c>
    </row>
    <row r="58" spans="1:7" ht="16.8">
      <c r="A58" s="3099" t="s">
        <v>1504</v>
      </c>
      <c r="B58" s="3099" t="s">
        <v>1505</v>
      </c>
      <c r="C58" s="593">
        <f ca="1">C56-C57</f>
        <v>166544742</v>
      </c>
      <c r="D58" s="624"/>
      <c r="E58" s="624"/>
      <c r="F58" s="3102"/>
      <c r="G58" s="3101" t="s">
        <v>1506</v>
      </c>
    </row>
    <row r="59" spans="1:7" ht="14.4">
      <c r="A59" s="3104" t="s">
        <v>1507</v>
      </c>
      <c r="B59" s="3105" t="s">
        <v>1508</v>
      </c>
      <c r="C59" s="3106">
        <f ca="1">ROUND(C58*(1+F59),0)</f>
        <v>181533769</v>
      </c>
      <c r="D59" s="3107"/>
      <c r="E59" s="3107"/>
      <c r="F59" s="3108">
        <f>F33</f>
        <v>0.09</v>
      </c>
      <c r="G59" s="3109" t="s">
        <v>1509</v>
      </c>
    </row>
    <row r="60" spans="1:7" ht="15.6">
      <c r="A60" s="3110"/>
      <c r="B60" s="3111"/>
    </row>
    <row r="62" spans="1:7" ht="21" customHeight="1">
      <c r="B62" s="3112" t="s">
        <v>1510</v>
      </c>
      <c r="C62" s="449"/>
    </row>
    <row r="63" spans="1:7" ht="21" customHeight="1">
      <c r="B63" s="2051" t="s">
        <v>1511</v>
      </c>
      <c r="C63" s="3113">
        <f ca="1">1-C64</f>
        <v>3.7000000000000033E-2</v>
      </c>
    </row>
    <row r="64" spans="1:7" ht="21" customHeight="1">
      <c r="B64" s="2051" t="s">
        <v>1512</v>
      </c>
      <c r="C64" s="3114">
        <f ca="1">ROUND(C58/C32,3)</f>
        <v>0.96299999999999997</v>
      </c>
      <c r="D64" s="368" t="s">
        <v>1513</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1407</v>
      </c>
      <c r="B1" s="2988"/>
      <c r="C1" s="2989" t="s">
        <v>1514</v>
      </c>
      <c r="D1" s="373"/>
      <c r="E1" s="373"/>
      <c r="F1" s="373"/>
      <c r="G1" s="546">
        <f>MATCH(B1,'数据-取费表'!A6:A16,0)+5</f>
        <v>9</v>
      </c>
      <c r="H1" s="2252" t="str">
        <f>IF(ISERROR(FIND("住宅",B1)),"非住宅","住宅")</f>
        <v>非住宅</v>
      </c>
    </row>
    <row r="2" spans="1:8" s="363" customFormat="1" ht="18" customHeight="1">
      <c r="A2" s="375" t="s">
        <v>1117</v>
      </c>
      <c r="B2" s="2990">
        <f ca="1">ROUND(IF(D2="——",C52/10000,C52/10000-E2),4)</f>
        <v>20713.686099999999</v>
      </c>
      <c r="C2" s="374" t="s">
        <v>1409</v>
      </c>
      <c r="D2" s="2991" t="s">
        <v>124</v>
      </c>
      <c r="E2" s="2992" t="e">
        <f ca="1">SUMIF(INDIRECT("'"&amp;G2&amp;"'"&amp;"!A:A"),"承租人权益价值",INDIRECT("'"&amp;G2&amp;"'"&amp;"!c:c"))</f>
        <v>#REF!</v>
      </c>
      <c r="F2" s="669" t="s">
        <v>1409</v>
      </c>
      <c r="G2" s="2993"/>
    </row>
    <row r="3" spans="1:8" s="363" customFormat="1" ht="18" customHeight="1">
      <c r="A3" s="378" t="s">
        <v>1118</v>
      </c>
      <c r="B3" s="379">
        <f ca="1">ROUND(B2*10000/(IF(B1="",'数据-汇总表'!E3,INDIRECT("'数据-取费表'!k"&amp;$G$1))),0)</f>
        <v>8018</v>
      </c>
      <c r="C3" s="374" t="s">
        <v>1121</v>
      </c>
      <c r="D3" s="374"/>
      <c r="E3" s="374"/>
      <c r="F3" s="374"/>
      <c r="G3" s="374"/>
    </row>
    <row r="4" spans="1:8" s="364" customFormat="1" ht="16.2">
      <c r="A4" s="380" t="s">
        <v>1517</v>
      </c>
      <c r="B4" s="381"/>
      <c r="C4" s="381"/>
      <c r="D4" s="381"/>
      <c r="E4" s="381"/>
      <c r="F4" s="381"/>
      <c r="G4" s="382"/>
    </row>
    <row r="5" spans="1:8" s="365" customFormat="1" ht="13.5" customHeight="1">
      <c r="A5" s="383" t="s">
        <v>1518</v>
      </c>
      <c r="B5" s="384" t="s">
        <v>1519</v>
      </c>
      <c r="C5" s="385">
        <f ca="1">C6+C7+C8</f>
        <v>24535276</v>
      </c>
      <c r="D5" s="385" t="s">
        <v>1520</v>
      </c>
      <c r="E5" s="386" t="s">
        <v>1521</v>
      </c>
      <c r="F5" s="386" t="s">
        <v>1034</v>
      </c>
      <c r="G5" s="387"/>
    </row>
    <row r="6" spans="1:8" s="365" customFormat="1" ht="13.5" customHeight="1">
      <c r="A6" s="388" t="s">
        <v>1420</v>
      </c>
      <c r="B6" s="389" t="s">
        <v>1421</v>
      </c>
      <c r="C6" s="390">
        <v>20020000</v>
      </c>
      <c r="D6" s="391"/>
      <c r="E6" s="392"/>
      <c r="F6" s="392"/>
      <c r="G6" s="393"/>
    </row>
    <row r="7" spans="1:8" s="365" customFormat="1" ht="13.5" customHeight="1">
      <c r="A7" s="388" t="s">
        <v>1422</v>
      </c>
      <c r="B7" s="389" t="s">
        <v>1423</v>
      </c>
      <c r="C7" s="394">
        <f>ROUND(C6*F7,0)</f>
        <v>610610</v>
      </c>
      <c r="D7" s="394"/>
      <c r="E7" s="392"/>
      <c r="F7" s="395">
        <f>IF(项目基本情况!B8="出让",0,'数据-取费表'!B49+'数据-取费表'!B50)</f>
        <v>3.0499999999999999E-2</v>
      </c>
      <c r="G7" s="393"/>
    </row>
    <row r="8" spans="1:8" s="366" customFormat="1">
      <c r="A8" s="388" t="s">
        <v>1430</v>
      </c>
      <c r="B8" s="389" t="s">
        <v>1522</v>
      </c>
      <c r="C8" s="394">
        <f ca="1">IF(G8="已包含在土地购买价格中",0,C9+C10)</f>
        <v>3904666</v>
      </c>
      <c r="D8" s="396"/>
      <c r="E8" s="394"/>
      <c r="F8" s="395"/>
      <c r="G8" s="603"/>
    </row>
    <row r="9" spans="1:8" s="365" customFormat="1" ht="13.5" customHeight="1">
      <c r="A9" s="398" t="s">
        <v>1438</v>
      </c>
      <c r="B9" s="399" t="s">
        <v>1439</v>
      </c>
      <c r="C9" s="400">
        <f ca="1">ROUND(D9*E9,0)</f>
        <v>2272175</v>
      </c>
      <c r="D9" s="401">
        <f ca="1">IF(B1="",'数据-汇总表'!E5,IF(INDIRECT("'数据-取费表'!c"&amp;$G$1)="住宅",INDIRECT("'数据-取费表'!k"&amp;$G$1),0))</f>
        <v>16229.82</v>
      </c>
      <c r="E9" s="400">
        <f>'数据-取费表'!B27</f>
        <v>140</v>
      </c>
      <c r="F9" s="395"/>
      <c r="G9" s="402"/>
    </row>
    <row r="10" spans="1:8" s="365" customFormat="1" ht="13.5" customHeight="1">
      <c r="A10" s="398" t="s">
        <v>1442</v>
      </c>
      <c r="B10" s="399" t="s">
        <v>1443</v>
      </c>
      <c r="C10" s="400">
        <f ca="1">ROUND(D10*E10,0)</f>
        <v>1632491</v>
      </c>
      <c r="D10" s="401">
        <f ca="1">IF(B1="",'数据-汇总表'!E6,IF(INDIRECT("'数据-取费表'!c"&amp;$G$1)="住宅",INDIRECT("'数据-取费表'!s"&amp;$G$1),INDIRECT("'数据-取费表'!k"&amp;$G$1)+INDIRECT("'数据-取费表'!s"&amp;$G$1)))</f>
        <v>9602.89</v>
      </c>
      <c r="E10" s="400">
        <f>'数据-取费表'!B28</f>
        <v>170</v>
      </c>
      <c r="F10" s="395"/>
      <c r="G10" s="402"/>
    </row>
    <row r="11" spans="1:8" s="365" customFormat="1" ht="13.5" customHeight="1">
      <c r="A11" s="403" t="s">
        <v>1523</v>
      </c>
      <c r="B11" s="389" t="s">
        <v>1524</v>
      </c>
      <c r="C11" s="385"/>
      <c r="D11" s="392"/>
      <c r="E11" s="392"/>
      <c r="F11" s="392"/>
      <c r="G11" s="393"/>
    </row>
    <row r="12" spans="1:8" s="365" customFormat="1" ht="13.5" customHeight="1">
      <c r="A12" s="403" t="s">
        <v>1525</v>
      </c>
      <c r="B12" s="389" t="s">
        <v>1048</v>
      </c>
      <c r="C12" s="385">
        <v>0</v>
      </c>
      <c r="D12" s="392"/>
      <c r="E12" s="404"/>
      <c r="F12" s="395">
        <v>3.0499999999999999E-2</v>
      </c>
      <c r="G12" s="393"/>
    </row>
    <row r="13" spans="1:8" s="365" customFormat="1" ht="13.5" customHeight="1">
      <c r="A13" s="403" t="s">
        <v>1526</v>
      </c>
      <c r="B13" s="389" t="s">
        <v>1527</v>
      </c>
      <c r="C13" s="385"/>
      <c r="D13" s="392"/>
      <c r="E13" s="392"/>
      <c r="F13" s="392"/>
      <c r="G13" s="393"/>
    </row>
    <row r="14" spans="1:8" s="365" customFormat="1" ht="13.5" customHeight="1">
      <c r="A14" s="403" t="s">
        <v>1528</v>
      </c>
      <c r="B14" s="389" t="s">
        <v>1522</v>
      </c>
      <c r="C14" s="385"/>
      <c r="D14" s="392"/>
      <c r="E14" s="392"/>
      <c r="F14" s="392"/>
      <c r="G14" s="393" t="s">
        <v>1529</v>
      </c>
    </row>
    <row r="15" spans="1:8" s="365" customFormat="1" ht="13.5" customHeight="1">
      <c r="A15" s="403" t="s">
        <v>1530</v>
      </c>
      <c r="B15" s="389" t="s">
        <v>1531</v>
      </c>
      <c r="C15" s="394"/>
      <c r="D15" s="392"/>
      <c r="E15" s="392"/>
      <c r="F15" s="392"/>
      <c r="G15" s="393" t="s">
        <v>1532</v>
      </c>
    </row>
    <row r="16" spans="1:8" s="365" customFormat="1" ht="13.5" customHeight="1">
      <c r="A16" s="403" t="s">
        <v>1533</v>
      </c>
      <c r="B16" s="389" t="s">
        <v>1522</v>
      </c>
      <c r="C16" s="394"/>
      <c r="D16" s="392"/>
      <c r="E16" s="392"/>
      <c r="F16" s="392"/>
      <c r="G16" s="393"/>
    </row>
    <row r="17" spans="1:7" s="365" customFormat="1" ht="13.5" customHeight="1">
      <c r="A17" s="403" t="s">
        <v>1534</v>
      </c>
      <c r="B17" s="389" t="s">
        <v>1535</v>
      </c>
      <c r="C17" s="405"/>
      <c r="D17" s="405"/>
      <c r="E17" s="405"/>
      <c r="F17" s="405"/>
      <c r="G17" s="393" t="s">
        <v>1532</v>
      </c>
    </row>
    <row r="18" spans="1:7" s="365" customFormat="1" ht="13.5" customHeight="1">
      <c r="A18" s="403" t="s">
        <v>1536</v>
      </c>
      <c r="B18" s="389" t="s">
        <v>1537</v>
      </c>
      <c r="C18" s="394">
        <v>0</v>
      </c>
      <c r="D18" s="392"/>
      <c r="E18" s="392"/>
      <c r="F18" s="395">
        <v>3.0499999999999999E-2</v>
      </c>
      <c r="G18" s="393" t="s">
        <v>1538</v>
      </c>
    </row>
    <row r="19" spans="1:7" s="366" customFormat="1" ht="13.5" customHeight="1">
      <c r="A19" s="383" t="s">
        <v>1539</v>
      </c>
      <c r="B19" s="384" t="s">
        <v>1540</v>
      </c>
      <c r="C19" s="385">
        <f ca="1">IF(G19="已包含在土地取得成本中","0",ROUND(D19*E19,0))</f>
        <v>5166542</v>
      </c>
      <c r="D19" s="386">
        <f ca="1">D9+D10</f>
        <v>25832.71</v>
      </c>
      <c r="E19" s="385">
        <f>'数据-取费表'!B31</f>
        <v>200</v>
      </c>
      <c r="F19" s="407"/>
      <c r="G19" s="603"/>
    </row>
    <row r="20" spans="1:7" s="365" customFormat="1" ht="13.5" customHeight="1">
      <c r="A20" s="383" t="s">
        <v>1541</v>
      </c>
      <c r="B20" s="384" t="s">
        <v>1542</v>
      </c>
      <c r="C20" s="408">
        <f ca="1">ROUND((C5+C19)*F20,0)</f>
        <v>594036</v>
      </c>
      <c r="D20" s="408"/>
      <c r="E20" s="408"/>
      <c r="F20" s="409">
        <f>'数据-取费表'!B38</f>
        <v>0.02</v>
      </c>
      <c r="G20" s="413" t="s">
        <v>1543</v>
      </c>
    </row>
    <row r="21" spans="1:7" s="365" customFormat="1" ht="13.5" customHeight="1">
      <c r="A21" s="383" t="s">
        <v>1544</v>
      </c>
      <c r="B21" s="384" t="s">
        <v>1545</v>
      </c>
      <c r="C21" s="411">
        <f>F21</f>
        <v>0.03</v>
      </c>
      <c r="D21" s="412" t="s">
        <v>1546</v>
      </c>
      <c r="E21" s="408"/>
      <c r="F21" s="409">
        <f>'数据-取费表'!B39</f>
        <v>0.03</v>
      </c>
      <c r="G21" s="413" t="s">
        <v>1547</v>
      </c>
    </row>
    <row r="22" spans="1:7" s="365" customFormat="1" ht="13.5" customHeight="1">
      <c r="A22" s="383" t="s">
        <v>1548</v>
      </c>
      <c r="B22" s="384" t="s">
        <v>1549</v>
      </c>
      <c r="C22" s="408">
        <f ca="1">ROUND(SUM(C23:C25),0)</f>
        <v>2449473</v>
      </c>
      <c r="D22" s="411">
        <f ca="1">C26</f>
        <v>1.1999999999999999E-3</v>
      </c>
      <c r="E22" s="412" t="s">
        <v>1546</v>
      </c>
      <c r="F22" s="415">
        <f ca="1">'数据-取费表'!B41</f>
        <v>3.1899999999999998E-2</v>
      </c>
      <c r="G22" s="413" t="str">
        <f>IF('数据-取费表'!B22&lt;=1,"单利计息","复利计息")</f>
        <v>复利计息</v>
      </c>
    </row>
    <row r="23" spans="1:7" s="365" customFormat="1" ht="13.5" customHeight="1">
      <c r="A23" s="416" t="s">
        <v>1420</v>
      </c>
      <c r="B23" s="389" t="s">
        <v>1462</v>
      </c>
      <c r="C23" s="418">
        <f ca="1">ROUND(IF('数据-取费表'!B22&lt;=1,C5*F22*'数据-取费表'!B22,C5*(POWER((1+F22),'数据-取费表'!B22)-1)),0)</f>
        <v>2003750</v>
      </c>
      <c r="D23" s="418"/>
      <c r="E23" s="418"/>
      <c r="F23" s="419"/>
      <c r="G23" s="420" t="s">
        <v>1550</v>
      </c>
    </row>
    <row r="24" spans="1:7" s="365" customFormat="1" ht="13.5" customHeight="1">
      <c r="A24" s="416" t="s">
        <v>1422</v>
      </c>
      <c r="B24" s="389" t="s">
        <v>1551</v>
      </c>
      <c r="C24" s="418">
        <f ca="1">ROUND(IF('数据-取费表'!B22&lt;=1,C19*F22*('数据-取费表'!B19/2+'数据-取费表'!B20),C19*(POWER((1+F22),('数据-取费表'!B19/2+'数据-取费表'!B20))-1)),0)</f>
        <v>421942</v>
      </c>
      <c r="D24" s="418"/>
      <c r="E24" s="418"/>
      <c r="F24" s="419"/>
      <c r="G24" s="420" t="s">
        <v>1552</v>
      </c>
    </row>
    <row r="25" spans="1:7" s="365" customFormat="1" ht="24">
      <c r="A25" s="416" t="s">
        <v>1430</v>
      </c>
      <c r="B25" s="389" t="s">
        <v>1553</v>
      </c>
      <c r="C25" s="418">
        <f ca="1">ROUND(IF('数据-取费表'!B22&lt;=1,C20*F22*'数据-取费表'!B22/2,C20*(POWER((1+F22),'数据-取费表'!B22/2)-1)),0)</f>
        <v>23781</v>
      </c>
      <c r="D25" s="418"/>
      <c r="E25" s="421"/>
      <c r="F25" s="419"/>
      <c r="G25" s="422" t="s">
        <v>1554</v>
      </c>
    </row>
    <row r="26" spans="1:7" s="365" customFormat="1">
      <c r="A26" s="416" t="s">
        <v>1466</v>
      </c>
      <c r="B26" s="389" t="s">
        <v>1467</v>
      </c>
      <c r="C26" s="418">
        <f ca="1">ROUND(IF('数据-取费表'!B22&lt;=1,F21*F22*'数据-取费表'!B22/2,F21*(POWER((1+F22),'数据-取费表'!B22/2)-1)),4)</f>
        <v>1.1999999999999999E-3</v>
      </c>
      <c r="D26" s="418"/>
      <c r="E26" s="421"/>
      <c r="F26" s="419"/>
      <c r="G26" s="423"/>
    </row>
    <row r="27" spans="1:7" s="365" customFormat="1" ht="26.4">
      <c r="A27" s="383" t="s">
        <v>1555</v>
      </c>
      <c r="B27" s="424" t="s">
        <v>1556</v>
      </c>
      <c r="C27" s="425">
        <f ca="1">C28</f>
        <v>4241420</v>
      </c>
      <c r="D27" s="411">
        <f ca="1">C29</f>
        <v>4.1999999999999997E-3</v>
      </c>
      <c r="E27" s="412" t="s">
        <v>1546</v>
      </c>
      <c r="F27" s="426">
        <f ca="1">IF(B1="",'数据-取费表'!Q16,INDIRECT("'数据-取费表'!q"&amp;$G$1))</f>
        <v>0.14000000000000001</v>
      </c>
      <c r="G27" s="427" t="s">
        <v>1557</v>
      </c>
    </row>
    <row r="28" spans="1:7" s="365" customFormat="1" ht="13.5" customHeight="1">
      <c r="A28" s="416" t="s">
        <v>1420</v>
      </c>
      <c r="B28" s="428" t="s">
        <v>1471</v>
      </c>
      <c r="C28" s="429">
        <f ca="1">ROUND((C5+C19+C20)*F27,0)</f>
        <v>4241420</v>
      </c>
      <c r="D28" s="411"/>
      <c r="E28" s="412"/>
      <c r="F28" s="426"/>
      <c r="G28" s="427"/>
    </row>
    <row r="29" spans="1:7" s="365" customFormat="1" ht="13.5" customHeight="1">
      <c r="A29" s="416" t="s">
        <v>1422</v>
      </c>
      <c r="B29" s="428" t="s">
        <v>1472</v>
      </c>
      <c r="C29" s="418">
        <f ca="1">ROUND(C21*F27,4)</f>
        <v>4.1999999999999997E-3</v>
      </c>
      <c r="D29" s="411"/>
      <c r="E29" s="412"/>
      <c r="F29" s="426"/>
      <c r="G29" s="427"/>
    </row>
    <row r="30" spans="1:7" s="365" customFormat="1" ht="13.5" customHeight="1">
      <c r="A30" s="383" t="s">
        <v>1558</v>
      </c>
      <c r="B30" s="384" t="s">
        <v>1559</v>
      </c>
      <c r="C30" s="411">
        <f>ROUND(F30/(1+'数据-取费表'!C43),4)</f>
        <v>5.9999999999999995E-4</v>
      </c>
      <c r="D30" s="412" t="s">
        <v>1546</v>
      </c>
      <c r="E30" s="421"/>
      <c r="F30" s="2994">
        <v>5.5999999999999995E-4</v>
      </c>
      <c r="G30" s="413" t="s">
        <v>1560</v>
      </c>
    </row>
    <row r="31" spans="1:7" ht="16.5" customHeight="1">
      <c r="A31" s="430">
        <v>1</v>
      </c>
      <c r="B31" s="384" t="s">
        <v>1561</v>
      </c>
      <c r="C31" s="385">
        <f ca="1">ROUND((C5+C19+C20+C22+C27)/(1-C21-D22-D27-C30),0)</f>
        <v>38367995</v>
      </c>
      <c r="D31" s="431"/>
      <c r="E31" s="385"/>
      <c r="F31" s="432"/>
      <c r="G31" s="413" t="s">
        <v>1562</v>
      </c>
    </row>
    <row r="32" spans="1:7" s="364" customFormat="1" ht="16.2">
      <c r="A32" s="433" t="s">
        <v>1563</v>
      </c>
      <c r="B32" s="434"/>
      <c r="C32" s="434"/>
      <c r="D32" s="434"/>
      <c r="E32" s="434"/>
      <c r="F32" s="434"/>
      <c r="G32" s="435"/>
    </row>
    <row r="33" spans="1:7" s="365" customFormat="1" ht="13.5" customHeight="1">
      <c r="A33" s="383" t="s">
        <v>1518</v>
      </c>
      <c r="B33" s="384" t="s">
        <v>1564</v>
      </c>
      <c r="C33" s="436">
        <f ca="1">SUM(C34:C38)</f>
        <v>135168388</v>
      </c>
      <c r="D33" s="408"/>
      <c r="E33" s="386"/>
      <c r="F33" s="421"/>
      <c r="G33" s="413"/>
    </row>
    <row r="34" spans="1:7" s="367" customFormat="1" ht="13.5" customHeight="1">
      <c r="A34" s="416" t="s">
        <v>1420</v>
      </c>
      <c r="B34" s="389" t="s">
        <v>1565</v>
      </c>
      <c r="C34" s="394">
        <f ca="1">ROUND(IF(B1="",SUMPRODUCT('数据-取费表'!K6:K14,'数据-取费表'!L6:L14),INDIRECT("'数据-取费表'!l"&amp;$G$1)*INDIRECT("'数据-取费表'!k"&amp;$G$1)+'数据-取费表'!L14*INDIRECT("'数据-取费表'!S"&amp;$G$1)),0)</f>
        <v>120520949</v>
      </c>
      <c r="D34" s="391"/>
      <c r="E34" s="394"/>
      <c r="F34" s="437"/>
      <c r="G34" s="393"/>
    </row>
    <row r="35" spans="1:7" ht="13.5" customHeight="1">
      <c r="A35" s="416" t="s">
        <v>1422</v>
      </c>
      <c r="B35" s="389" t="s">
        <v>1566</v>
      </c>
      <c r="C35" s="394">
        <f ca="1">ROUND(C34*F35,0)</f>
        <v>3615628</v>
      </c>
      <c r="D35" s="394"/>
      <c r="E35" s="394"/>
      <c r="F35" s="438">
        <f>'数据-取费表'!B33</f>
        <v>0.03</v>
      </c>
      <c r="G35" s="393" t="s">
        <v>1451</v>
      </c>
    </row>
    <row r="36" spans="1:7" ht="24">
      <c r="A36" s="416" t="s">
        <v>1430</v>
      </c>
      <c r="B36" s="389" t="s">
        <v>1567</v>
      </c>
      <c r="C36" s="394">
        <f ca="1">ROUND(IF(B1="",SUM('数据-取费表'!AP6:AP13)*F36,IF(INDIRECT("'数据-取费表'!c"&amp;$G$1)="住宅",INDIRECT("'数据-取费表'!k"&amp;$G$1)*INDIRECT("'数据-取费表'!l"&amp;$G$1)*F36,0)),0)</f>
        <v>4057455</v>
      </c>
      <c r="D36" s="394"/>
      <c r="E36" s="394"/>
      <c r="F36" s="438">
        <f>'数据-取费表'!B34</f>
        <v>0.05</v>
      </c>
      <c r="G36" s="439" t="s">
        <v>1568</v>
      </c>
    </row>
    <row r="37" spans="1:7" s="367" customFormat="1" ht="13.5" customHeight="1">
      <c r="A37" s="416" t="s">
        <v>1466</v>
      </c>
      <c r="B37" s="389" t="s">
        <v>1448</v>
      </c>
      <c r="C37" s="429">
        <f ca="1">ROUND(E37*D37,0)</f>
        <v>5166542</v>
      </c>
      <c r="D37" s="391">
        <f ca="1">D19</f>
        <v>25832.71</v>
      </c>
      <c r="E37" s="429">
        <f>'数据-取费表'!B35</f>
        <v>200</v>
      </c>
      <c r="F37" s="438"/>
      <c r="G37" s="440"/>
    </row>
    <row r="38" spans="1:7" ht="13.5" customHeight="1">
      <c r="A38" s="416" t="s">
        <v>1449</v>
      </c>
      <c r="B38" s="389" t="s">
        <v>1048</v>
      </c>
      <c r="C38" s="394">
        <f ca="1">ROUND(C34*F38,0)</f>
        <v>1807814</v>
      </c>
      <c r="D38" s="394"/>
      <c r="E38" s="394"/>
      <c r="F38" s="438">
        <f>'数据-取费表'!B36</f>
        <v>1.4999999999999999E-2</v>
      </c>
      <c r="G38" s="393" t="s">
        <v>1451</v>
      </c>
    </row>
    <row r="39" spans="1:7" s="365" customFormat="1" ht="13.5" customHeight="1">
      <c r="A39" s="383" t="s">
        <v>1539</v>
      </c>
      <c r="B39" s="384" t="s">
        <v>1542</v>
      </c>
      <c r="C39" s="408">
        <f ca="1">ROUND(C33*F20,0)</f>
        <v>2703368</v>
      </c>
      <c r="D39" s="408"/>
      <c r="E39" s="408"/>
      <c r="F39" s="409">
        <f>F20</f>
        <v>0.02</v>
      </c>
      <c r="G39" s="413" t="s">
        <v>1569</v>
      </c>
    </row>
    <row r="40" spans="1:7" s="365" customFormat="1" ht="13.5" customHeight="1">
      <c r="A40" s="383" t="s">
        <v>1541</v>
      </c>
      <c r="B40" s="384" t="s">
        <v>1545</v>
      </c>
      <c r="C40" s="411">
        <f>F21</f>
        <v>0.03</v>
      </c>
      <c r="D40" s="412" t="s">
        <v>1570</v>
      </c>
      <c r="E40" s="408"/>
      <c r="F40" s="409">
        <f>F21</f>
        <v>0.03</v>
      </c>
      <c r="G40" s="413" t="s">
        <v>1571</v>
      </c>
    </row>
    <row r="41" spans="1:7" s="365" customFormat="1" ht="13.5" customHeight="1">
      <c r="A41" s="383" t="s">
        <v>1544</v>
      </c>
      <c r="B41" s="384" t="s">
        <v>1549</v>
      </c>
      <c r="C41" s="408">
        <f ca="1">ROUND(SUM(C42:C43),0)</f>
        <v>5519385</v>
      </c>
      <c r="D41" s="411">
        <f ca="1">C44</f>
        <v>1.1999999999999999E-3</v>
      </c>
      <c r="E41" s="412" t="s">
        <v>1570</v>
      </c>
      <c r="F41" s="415">
        <f ca="1">F22</f>
        <v>3.1899999999999998E-2</v>
      </c>
      <c r="G41" s="413" t="str">
        <f>IF('数据-取费表'!B22&lt;=1,"单利计息","复利计息")</f>
        <v>复利计息</v>
      </c>
    </row>
    <row r="42" spans="1:7" ht="13.5" customHeight="1">
      <c r="A42" s="416" t="s">
        <v>1420</v>
      </c>
      <c r="B42" s="389" t="s">
        <v>1462</v>
      </c>
      <c r="C42" s="418">
        <f ca="1">ROUND(IF('数据-取费表'!B22&lt;=1,C33*F22*'数据-取费表'!B20/2,C33*(POWER((1+F22),'数据-取费表'!B20/2)-1)),0)</f>
        <v>5411162</v>
      </c>
      <c r="D42" s="418"/>
      <c r="E42" s="418"/>
      <c r="F42" s="419"/>
      <c r="G42" s="4568" t="s">
        <v>1572</v>
      </c>
    </row>
    <row r="43" spans="1:7" ht="13.5" customHeight="1">
      <c r="A43" s="416" t="s">
        <v>1422</v>
      </c>
      <c r="B43" s="389" t="s">
        <v>1551</v>
      </c>
      <c r="C43" s="418">
        <f ca="1">ROUND(IF('数据-取费表'!B22&lt;=1,C39*F22*'数据-取费表'!B20/2,C39*(POWER((1+F22),'数据-取费表'!B20/2)-1)),0)</f>
        <v>108223</v>
      </c>
      <c r="D43" s="418"/>
      <c r="E43" s="418"/>
      <c r="F43" s="419"/>
      <c r="G43" s="4570"/>
    </row>
    <row r="44" spans="1:7" ht="13.5" customHeight="1">
      <c r="A44" s="416" t="s">
        <v>1430</v>
      </c>
      <c r="B44" s="389" t="s">
        <v>1553</v>
      </c>
      <c r="C44" s="418">
        <f ca="1">ROUND(IF('数据-取费表'!B22&lt;=1,C40*F22*'数据-取费表'!B20/2,C40*(POWER((1+F22),'数据-取费表'!B20/2)-1)),4)</f>
        <v>1.1999999999999999E-3</v>
      </c>
      <c r="D44" s="418"/>
      <c r="E44" s="418"/>
      <c r="F44" s="419"/>
      <c r="G44" s="4569"/>
    </row>
    <row r="45" spans="1:7" s="365" customFormat="1" ht="13.5" customHeight="1">
      <c r="A45" s="383" t="s">
        <v>1548</v>
      </c>
      <c r="B45" s="424" t="s">
        <v>1556</v>
      </c>
      <c r="C45" s="425">
        <f ca="1">C46</f>
        <v>19302046</v>
      </c>
      <c r="D45" s="411">
        <f ca="1">C47</f>
        <v>4.1999999999999997E-3</v>
      </c>
      <c r="E45" s="412" t="s">
        <v>1570</v>
      </c>
      <c r="F45" s="426">
        <f ca="1">F27</f>
        <v>0.14000000000000001</v>
      </c>
      <c r="G45" s="427" t="s">
        <v>1573</v>
      </c>
    </row>
    <row r="46" spans="1:7" s="365" customFormat="1" ht="13.5" customHeight="1">
      <c r="A46" s="416" t="s">
        <v>1420</v>
      </c>
      <c r="B46" s="428" t="s">
        <v>1496</v>
      </c>
      <c r="C46" s="429">
        <f ca="1">ROUND((C33+C39)*F27,0)</f>
        <v>19302046</v>
      </c>
      <c r="D46" s="442"/>
      <c r="E46" s="412"/>
      <c r="F46" s="426"/>
      <c r="G46" s="427"/>
    </row>
    <row r="47" spans="1:7" s="365" customFormat="1" ht="13.5" customHeight="1">
      <c r="A47" s="416" t="s">
        <v>1422</v>
      </c>
      <c r="B47" s="428" t="s">
        <v>1497</v>
      </c>
      <c r="C47" s="418">
        <f ca="1">ROUND(C40*F27,4)</f>
        <v>4.1999999999999997E-3</v>
      </c>
      <c r="D47" s="442"/>
      <c r="E47" s="412"/>
      <c r="F47" s="426"/>
      <c r="G47" s="427"/>
    </row>
    <row r="48" spans="1:7" s="365" customFormat="1" ht="13.5" customHeight="1">
      <c r="A48" s="383" t="s">
        <v>1555</v>
      </c>
      <c r="B48" s="384" t="s">
        <v>1559</v>
      </c>
      <c r="C48" s="441">
        <f>ROUND(F30/(1+'数据-取费表'!C43),4)</f>
        <v>5.9999999999999995E-4</v>
      </c>
      <c r="D48" s="412" t="s">
        <v>1570</v>
      </c>
      <c r="E48" s="408"/>
      <c r="F48" s="2995">
        <f>F30</f>
        <v>5.5999999999999995E-4</v>
      </c>
      <c r="G48" s="413" t="s">
        <v>1574</v>
      </c>
    </row>
    <row r="49" spans="1:7" ht="16.5" customHeight="1">
      <c r="A49" s="383" t="s">
        <v>1558</v>
      </c>
      <c r="B49" s="384" t="s">
        <v>1575</v>
      </c>
      <c r="C49" s="408">
        <f ca="1">ROUND((C33+C39+C41+C45)/(1-C40-D41-D45-C48),0)</f>
        <v>168768866</v>
      </c>
      <c r="D49" s="408"/>
      <c r="E49" s="408"/>
      <c r="F49" s="443"/>
      <c r="G49" s="413" t="s">
        <v>1576</v>
      </c>
    </row>
    <row r="50" spans="1:7" s="367" customFormat="1">
      <c r="A50" s="383" t="s">
        <v>1577</v>
      </c>
      <c r="B50" s="384" t="s">
        <v>1578</v>
      </c>
      <c r="C50" s="408"/>
      <c r="D50" s="408"/>
      <c r="E50" s="408"/>
      <c r="F50" s="443">
        <f>IF('数据-取费表'!B24=0,'数据-取费表'!N16,1)</f>
        <v>1</v>
      </c>
      <c r="G50" s="427"/>
    </row>
    <row r="51" spans="1:7" ht="16.5" customHeight="1">
      <c r="A51" s="383" t="s">
        <v>1579</v>
      </c>
      <c r="B51" s="384" t="s">
        <v>1580</v>
      </c>
      <c r="C51" s="408">
        <f ca="1">ROUND(C49*F50,0)</f>
        <v>168768866</v>
      </c>
      <c r="D51" s="408"/>
      <c r="E51" s="408"/>
      <c r="F51" s="443"/>
      <c r="G51" s="413" t="s">
        <v>1581</v>
      </c>
    </row>
    <row r="52" spans="1:7" s="364" customFormat="1" ht="16.2">
      <c r="A52" s="444" t="s">
        <v>1582</v>
      </c>
      <c r="B52" s="445"/>
      <c r="C52" s="446">
        <f ca="1">C31+C51</f>
        <v>207136861</v>
      </c>
      <c r="D52" s="445"/>
      <c r="E52" s="445"/>
      <c r="F52" s="445"/>
      <c r="G52" s="447"/>
    </row>
    <row r="55" spans="1:7" ht="15">
      <c r="B55" s="448" t="s">
        <v>1510</v>
      </c>
      <c r="C55" s="449"/>
    </row>
    <row r="56" spans="1:7">
      <c r="B56" s="450" t="s">
        <v>1511</v>
      </c>
      <c r="C56" s="452">
        <f ca="1">1-C57</f>
        <v>0.18500000000000005</v>
      </c>
    </row>
    <row r="57" spans="1:7">
      <c r="B57" s="450" t="s">
        <v>1512</v>
      </c>
      <c r="C57" s="451">
        <f ca="1">ROUND(C51/C52,3)</f>
        <v>0.81499999999999995</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M10" sqref="M10"/>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1583</v>
      </c>
      <c r="B1" s="662"/>
      <c r="C1" s="663"/>
      <c r="D1" s="664"/>
      <c r="E1" s="665"/>
      <c r="F1" s="665"/>
      <c r="G1" s="666"/>
      <c r="H1" s="665"/>
      <c r="I1" s="665"/>
      <c r="J1" s="665"/>
      <c r="K1" s="667">
        <f>MATCH(C1,'数据-取费表'!A6:A16,0)+5</f>
        <v>9</v>
      </c>
    </row>
    <row r="2" spans="1:33" ht="18" customHeight="1">
      <c r="A2" s="375" t="s">
        <v>1117</v>
      </c>
      <c r="B2" s="549">
        <f ca="1">IF(D2="含税",C37,C36)</f>
        <v>54699</v>
      </c>
      <c r="C2" s="668" t="s">
        <v>1584</v>
      </c>
      <c r="D2" s="2914"/>
      <c r="E2" s="665"/>
      <c r="G2" s="665"/>
      <c r="H2" s="665"/>
      <c r="I2" s="665"/>
      <c r="J2" s="665"/>
      <c r="K2" s="665"/>
    </row>
    <row r="3" spans="1:33" ht="18" customHeight="1">
      <c r="A3" s="378" t="s">
        <v>1118</v>
      </c>
      <c r="B3" s="549">
        <f ca="1">ROUND(B2*10000/IF(C1="",'数据-汇总表'!E3,INDIRECT("'数据-取费表'!K"&amp;$K$1)),0)</f>
        <v>21174</v>
      </c>
      <c r="C3" s="668" t="s">
        <v>1585</v>
      </c>
      <c r="E3" s="660"/>
      <c r="I3" s="665"/>
      <c r="J3" s="665"/>
      <c r="K3" s="665"/>
    </row>
    <row r="4" spans="1:33" ht="18" customHeight="1">
      <c r="A4" s="2915" t="s">
        <v>1586</v>
      </c>
      <c r="B4" s="2916">
        <f ca="1">ROUND(B2*10000/IF(C1="",'数据-汇总表'!D3,INDIRECT("'数据-取费表'!R"&amp;$K$1)),0)</f>
        <v>49305</v>
      </c>
      <c r="C4" s="2917" t="s">
        <v>1585</v>
      </c>
      <c r="E4" s="660"/>
      <c r="I4" s="665"/>
      <c r="J4" s="665"/>
      <c r="K4" s="665"/>
    </row>
    <row r="5" spans="1:33" ht="18" customHeight="1">
      <c r="A5" s="374"/>
      <c r="B5" s="2918">
        <f ca="1">ROUND(B2/(IF(C1="",'数据-汇总表'!D3,INDIRECT("'数据-取费表'!R"&amp;$K$1))/666.67),0)</f>
        <v>3287</v>
      </c>
      <c r="C5" s="2919" t="s">
        <v>1587</v>
      </c>
      <c r="E5" s="660"/>
      <c r="I5" s="665"/>
      <c r="J5" s="665"/>
      <c r="K5" s="665"/>
    </row>
    <row r="6" spans="1:33" s="649" customFormat="1" ht="16.5" customHeight="1">
      <c r="A6" s="671" t="s">
        <v>1588</v>
      </c>
      <c r="B6" s="672"/>
      <c r="C6" s="4571" t="s">
        <v>1589</v>
      </c>
      <c r="D6" s="4571"/>
      <c r="E6" s="4571"/>
      <c r="F6" s="4571"/>
      <c r="G6" s="4571"/>
      <c r="H6" s="4571"/>
      <c r="I6" s="4571"/>
      <c r="J6" s="4571"/>
      <c r="K6" s="4572"/>
    </row>
    <row r="7" spans="1:33" s="650" customFormat="1" ht="14.4">
      <c r="A7" s="673" t="s">
        <v>1590</v>
      </c>
      <c r="B7" s="674" t="s">
        <v>1591</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1010</v>
      </c>
      <c r="B8" s="679" t="s">
        <v>1592</v>
      </c>
      <c r="C8" s="680">
        <f>C10/C9*10000</f>
        <v>33365.742811688608</v>
      </c>
      <c r="D8" s="680"/>
      <c r="E8" s="680">
        <f>'比较法-车位'!B3</f>
        <v>3069</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1016</v>
      </c>
      <c r="B9" s="679" t="s">
        <v>1593</v>
      </c>
      <c r="C9" s="683">
        <f>SUMIF('数据-汇总表'!$C19:$C33,假设开发法!C7,'数据-汇总表'!$E19:$E33)</f>
        <v>16229.82</v>
      </c>
      <c r="D9" s="683">
        <f>SUMIF('数据-汇总表'!$C19:$C33,假设开发法!D7,'数据-汇总表'!$E19:$E33)</f>
        <v>0</v>
      </c>
      <c r="E9" s="683">
        <f>SUMIF('数据-汇总表'!$C19:$C33,假设开发法!E7,'数据-汇总表'!$E19:$E33)</f>
        <v>9602.89</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1594</v>
      </c>
      <c r="B10" s="686" t="s">
        <v>1595</v>
      </c>
      <c r="C10" s="687">
        <f>'比较法-住宅'!B2</f>
        <v>54152</v>
      </c>
      <c r="D10" s="687"/>
      <c r="E10" s="687">
        <f>'比较法-车位'!B2</f>
        <v>2947</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73" t="s">
        <v>1596</v>
      </c>
      <c r="B11" s="4574"/>
      <c r="C11" s="4574"/>
      <c r="D11" s="4574"/>
      <c r="E11" s="4574"/>
      <c r="F11" s="4574"/>
      <c r="G11" s="4574"/>
      <c r="H11" s="4574"/>
      <c r="I11" s="4574"/>
      <c r="J11" s="4574"/>
      <c r="K11" s="4575"/>
    </row>
    <row r="12" spans="1:33" s="653" customFormat="1" ht="13.5" customHeight="1">
      <c r="A12" s="691" t="s">
        <v>999</v>
      </c>
      <c r="B12" s="692" t="s">
        <v>1591</v>
      </c>
      <c r="C12" s="693" t="s">
        <v>1410</v>
      </c>
      <c r="D12" s="692" t="s">
        <v>1597</v>
      </c>
      <c r="E12" s="692" t="s">
        <v>1598</v>
      </c>
      <c r="F12" s="692" t="s">
        <v>1599</v>
      </c>
      <c r="G12" s="2920" t="s">
        <v>1414</v>
      </c>
      <c r="H12" s="692"/>
      <c r="I12" s="692"/>
      <c r="J12" s="692"/>
      <c r="K12" s="2921"/>
    </row>
    <row r="13" spans="1:33" s="654" customFormat="1" ht="13.5" customHeight="1">
      <c r="A13" s="673">
        <v>1</v>
      </c>
      <c r="B13" s="697" t="s">
        <v>1588</v>
      </c>
      <c r="C13" s="698">
        <f>SUM(C10:K10)</f>
        <v>57099</v>
      </c>
      <c r="D13" s="699"/>
      <c r="E13" s="699"/>
      <c r="F13" s="699"/>
      <c r="G13" s="704"/>
      <c r="H13" s="704"/>
      <c r="I13" s="704"/>
      <c r="J13" s="704"/>
      <c r="K13" s="2922"/>
    </row>
    <row r="14" spans="1:33" s="655" customFormat="1" ht="13.5" customHeight="1">
      <c r="A14" s="673">
        <v>2</v>
      </c>
      <c r="B14" s="707" t="s">
        <v>1600</v>
      </c>
      <c r="C14" s="2923" t="str">
        <f>F14&amp;"V"</f>
        <v>0.0305V</v>
      </c>
      <c r="D14" s="708"/>
      <c r="E14" s="708"/>
      <c r="F14" s="2924">
        <f>IF(项目基本情况!B8="出让",0,'数据-取费表'!B49+'数据-取费表'!B50)</f>
        <v>3.0499999999999999E-2</v>
      </c>
      <c r="G14" s="2925" t="s">
        <v>1601</v>
      </c>
      <c r="H14" s="2926"/>
      <c r="I14" s="2926"/>
      <c r="J14" s="2926"/>
      <c r="K14" s="2927"/>
    </row>
    <row r="15" spans="1:33" s="655" customFormat="1" ht="13.5" customHeight="1">
      <c r="A15" s="673">
        <v>3</v>
      </c>
      <c r="B15" s="2928" t="s">
        <v>1602</v>
      </c>
      <c r="C15" s="2929">
        <f ca="1">SUM(C16:C19)+C25+C26</f>
        <v>527</v>
      </c>
      <c r="D15" s="707"/>
      <c r="E15" s="708"/>
      <c r="F15" s="2929"/>
      <c r="G15" s="1929" t="s">
        <v>1603</v>
      </c>
      <c r="H15" s="2051"/>
      <c r="I15" s="2051"/>
      <c r="J15" s="2051"/>
      <c r="K15" s="2052"/>
    </row>
    <row r="16" spans="1:33" s="655" customFormat="1" ht="13.5" customHeight="1">
      <c r="A16" s="2171" t="s">
        <v>1010</v>
      </c>
      <c r="B16" s="2930" t="s">
        <v>1604</v>
      </c>
      <c r="C16" s="2931">
        <f ca="1">IF(C1="",'数据-取费表'!P16,INDIRECT("'数据-取费表'!P"&amp;$K$1)+INDIRECT("'数据-取费表'!ar"&amp;$K$1))</f>
        <v>120</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1016</v>
      </c>
      <c r="B17" s="2930" t="s">
        <v>1428</v>
      </c>
      <c r="C17" s="2049">
        <f ca="1">ROUND(C16*F17,0)</f>
        <v>4</v>
      </c>
      <c r="D17" s="2932"/>
      <c r="E17" s="2051"/>
      <c r="F17" s="2933">
        <f>'数据-取费表'!B33</f>
        <v>0.03</v>
      </c>
      <c r="G17" s="592" t="s">
        <v>1605</v>
      </c>
      <c r="H17" s="704"/>
      <c r="I17" s="704"/>
      <c r="J17" s="704"/>
      <c r="K17" s="2922"/>
    </row>
    <row r="18" spans="1:33" s="655" customFormat="1" ht="13.5" customHeight="1">
      <c r="A18" s="2171" t="s">
        <v>1068</v>
      </c>
      <c r="B18" s="2930" t="s">
        <v>1431</v>
      </c>
      <c r="C18" s="2049">
        <f ca="1">ROUND(IF(C1="",SUMIF('数据-取费表'!C:C,"住宅",'数据-取费表'!P:P)*F18,IF(INDIRECT("'数据-取费表'!c"&amp;$K$1)="住宅",INDIRECT("'数据-取费表'!P"&amp;$K$1)*F18,0)),0)</f>
        <v>4</v>
      </c>
      <c r="D18" s="2934"/>
      <c r="E18" s="2051"/>
      <c r="F18" s="2933">
        <f>'数据-取费表'!B34</f>
        <v>0.05</v>
      </c>
      <c r="G18" s="704" t="s">
        <v>1606</v>
      </c>
      <c r="H18" s="704"/>
      <c r="I18" s="704"/>
      <c r="J18" s="704"/>
      <c r="K18" s="2922"/>
    </row>
    <row r="19" spans="1:33" s="655" customFormat="1" ht="13.5" customHeight="1">
      <c r="A19" s="2171" t="s">
        <v>1607</v>
      </c>
      <c r="B19" s="2930" t="s">
        <v>1434</v>
      </c>
      <c r="C19" s="2049">
        <f ca="1">C20+C23+C24</f>
        <v>395</v>
      </c>
      <c r="D19" s="2934"/>
      <c r="E19" s="2051"/>
      <c r="F19" s="2933"/>
      <c r="G19" s="704"/>
      <c r="H19" s="704"/>
      <c r="I19" s="704"/>
      <c r="J19" s="704"/>
      <c r="K19" s="2922"/>
    </row>
    <row r="20" spans="1:33" s="655" customFormat="1" ht="13.5" customHeight="1">
      <c r="A20" s="2935" t="s">
        <v>1608</v>
      </c>
      <c r="B20" s="2936" t="s">
        <v>1609</v>
      </c>
      <c r="C20" s="2049">
        <f ca="1">C21+C22-IF(C1="",'数据-取费表'!B29,IF(G20="已全部缴纳",C21+C22,H20))</f>
        <v>390</v>
      </c>
      <c r="D20" s="2934"/>
      <c r="E20" s="2436"/>
      <c r="F20" s="2937"/>
      <c r="G20" s="2938" t="s">
        <v>1610</v>
      </c>
      <c r="H20" s="2939"/>
      <c r="I20" s="2068" t="s">
        <v>1611</v>
      </c>
      <c r="J20" s="2051"/>
      <c r="K20" s="2052"/>
    </row>
    <row r="21" spans="1:33" s="655" customFormat="1" ht="13.5" customHeight="1">
      <c r="A21" s="2940" t="s">
        <v>1435</v>
      </c>
      <c r="B21" s="2941" t="s">
        <v>1612</v>
      </c>
      <c r="C21" s="2942">
        <f ca="1">ROUND(D21*E21/10000,0)</f>
        <v>227</v>
      </c>
      <c r="D21" s="2943">
        <f ca="1">IF(C1="",'数据-汇总表'!E5,IF(INDIRECT("'数据-取费表'!c"&amp;$K$1)="住宅",INDIRECT("'数据-取费表'!k"&amp;$K$1),0))</f>
        <v>16229.82</v>
      </c>
      <c r="E21" s="2942">
        <f>'数据-取费表'!B27</f>
        <v>140</v>
      </c>
      <c r="F21" s="2944"/>
      <c r="G21" s="1937"/>
      <c r="H21" s="1937"/>
      <c r="I21" s="1937"/>
      <c r="J21" s="1937"/>
      <c r="K21" s="2945"/>
    </row>
    <row r="22" spans="1:33" s="655" customFormat="1" ht="13.5" customHeight="1">
      <c r="A22" s="2940" t="s">
        <v>1444</v>
      </c>
      <c r="B22" s="2941" t="s">
        <v>1613</v>
      </c>
      <c r="C22" s="2942">
        <f ca="1">ROUND(D22*E22/10000,0)</f>
        <v>163</v>
      </c>
      <c r="D22" s="2943">
        <f ca="1">IF(C1="",'数据-汇总表'!E6,IF(INDIRECT("'数据-取费表'!c"&amp;$K$1)="住宅",INDIRECT("'数据-取费表'!s"&amp;$K$1),INDIRECT("'数据-取费表'!k"&amp;$K$1)+INDIRECT("'数据-取费表'!s"&amp;$K$1)))</f>
        <v>9602.89</v>
      </c>
      <c r="E22" s="2942">
        <f>'数据-取费表'!B28</f>
        <v>170</v>
      </c>
      <c r="F22" s="2944"/>
      <c r="G22" s="1937"/>
      <c r="H22" s="1937"/>
      <c r="I22" s="1937"/>
      <c r="J22" s="1937"/>
      <c r="K22" s="2945"/>
    </row>
    <row r="23" spans="1:33" s="656" customFormat="1" ht="13.5" customHeight="1">
      <c r="A23" s="2935" t="s">
        <v>1614</v>
      </c>
      <c r="B23" s="2936" t="s">
        <v>1615</v>
      </c>
      <c r="C23" s="2049">
        <f ca="1">ROUND(D23*E23*F16/10000,0)</f>
        <v>5</v>
      </c>
      <c r="D23" s="2946">
        <f ca="1">IF(C1="",'数据-汇总表'!E3,INDIRECT("'数据-取费表'!K"&amp;$K$1)+INDIRECT("'数据-取费表'!S"&amp;$K$1))</f>
        <v>25832.71</v>
      </c>
      <c r="E23" s="2049">
        <f>'数据-取费表'!B35</f>
        <v>200</v>
      </c>
      <c r="F23" s="2937"/>
      <c r="G23" s="697" t="s">
        <v>1616</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1617</v>
      </c>
      <c r="B24" s="2936" t="s">
        <v>1618</v>
      </c>
      <c r="C24" s="2049">
        <f ca="1">ROUND(D24*E24/10000,0)</f>
        <v>0</v>
      </c>
      <c r="D24" s="2946">
        <f ca="1">D23</f>
        <v>25832.71</v>
      </c>
      <c r="E24" s="2049">
        <f>'数据-取费表'!B32</f>
        <v>0</v>
      </c>
      <c r="F24" s="2947"/>
      <c r="G24" s="2051" t="s">
        <v>1619</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1620</v>
      </c>
      <c r="B25" s="2172" t="s">
        <v>1450</v>
      </c>
      <c r="C25" s="2949">
        <f ca="1">ROUND(C16*F25,0)</f>
        <v>2</v>
      </c>
      <c r="D25" s="2950"/>
      <c r="E25" s="2951"/>
      <c r="F25" s="2933">
        <f>'数据-取费表'!B36</f>
        <v>1.4999999999999999E-2</v>
      </c>
      <c r="G25" s="2950"/>
      <c r="H25" s="2950"/>
      <c r="I25" s="2950"/>
      <c r="J25" s="2950"/>
      <c r="K25" s="2952"/>
    </row>
    <row r="26" spans="1:33" s="656" customFormat="1" ht="13.5" customHeight="1">
      <c r="A26" s="2948" t="s">
        <v>1621</v>
      </c>
      <c r="B26" s="2930" t="s">
        <v>1622</v>
      </c>
      <c r="C26" s="2947">
        <f ca="1">ROUND(C16*F26,0)</f>
        <v>2</v>
      </c>
      <c r="D26" s="2953"/>
      <c r="E26" s="2954"/>
      <c r="F26" s="2933">
        <f>'数据-取费表'!B37</f>
        <v>0.02</v>
      </c>
      <c r="G26" s="2051" t="s">
        <v>1623</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1624</v>
      </c>
      <c r="C27" s="2929">
        <f ca="1">ROUND(C15*F27,0)</f>
        <v>11</v>
      </c>
      <c r="D27" s="708"/>
      <c r="E27" s="708"/>
      <c r="F27" s="2924">
        <f>'数据-取费表'!B38</f>
        <v>0.02</v>
      </c>
      <c r="G27" s="704" t="s">
        <v>1625</v>
      </c>
      <c r="H27" s="704"/>
      <c r="I27" s="704"/>
      <c r="J27" s="704"/>
      <c r="K27" s="2922"/>
    </row>
    <row r="28" spans="1:33" s="655" customFormat="1" ht="13.5" customHeight="1">
      <c r="A28" s="673">
        <v>5</v>
      </c>
      <c r="B28" s="707" t="s">
        <v>1626</v>
      </c>
      <c r="C28" s="2929">
        <f ca="1">ROUND(C13*F28*F16,0)</f>
        <v>17</v>
      </c>
      <c r="D28" s="708"/>
      <c r="E28" s="708"/>
      <c r="F28" s="2924">
        <f>'数据-取费表'!B39</f>
        <v>0.03</v>
      </c>
      <c r="G28" s="704" t="s">
        <v>1627</v>
      </c>
      <c r="H28" s="704"/>
      <c r="I28" s="704"/>
      <c r="J28" s="704"/>
      <c r="K28" s="2922"/>
    </row>
    <row r="29" spans="1:33" s="655" customFormat="1" ht="13.5" customHeight="1">
      <c r="A29" s="673">
        <v>6</v>
      </c>
      <c r="B29" s="2928" t="s">
        <v>1461</v>
      </c>
      <c r="C29" s="2923" t="str">
        <f ca="1">C31&amp;"+"&amp;C30&amp;"V"</f>
        <v>0+0.0006V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1010</v>
      </c>
      <c r="B30" s="2936" t="s">
        <v>1628</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1016</v>
      </c>
      <c r="B31" s="2936" t="s">
        <v>1629</v>
      </c>
      <c r="C31" s="2931">
        <f ca="1">ROUND(IF('数据-取费表'!B22&lt;=1,(C15+C27+C28)*F29*'数据-取费表'!B24/2,(C15+C27+C28)*(POWER((1+F29),'数据-取费表'!B24/2)-1)),0)</f>
        <v>0</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1630</v>
      </c>
      <c r="C32" s="2961">
        <f>ROUND(C13*F32/(1+'数据-取费表'!C43),0)</f>
        <v>0</v>
      </c>
      <c r="D32" s="704"/>
      <c r="E32" s="2962"/>
      <c r="F32" s="2956"/>
      <c r="G32" s="4576" t="s">
        <v>1631</v>
      </c>
      <c r="H32" s="4576"/>
      <c r="I32" s="4576"/>
      <c r="J32" s="4576"/>
      <c r="K32" s="4577"/>
    </row>
    <row r="33" spans="1:11" s="658" customFormat="1" ht="13.5" customHeight="1">
      <c r="A33" s="673">
        <v>8</v>
      </c>
      <c r="B33" s="2963" t="s">
        <v>1632</v>
      </c>
      <c r="C33" s="2964" t="str">
        <f ca="1">C35&amp;"+"&amp;C34&amp;"V"</f>
        <v>78+0.0012V</v>
      </c>
      <c r="D33" s="2955"/>
      <c r="E33" s="708"/>
      <c r="F33" s="2965">
        <f ca="1">IF(C1="",'数据-取费表'!Q16,INDIRECT("'数据-取费表'!q"&amp;$K$1))</f>
        <v>0.14000000000000001</v>
      </c>
      <c r="G33" s="2926"/>
      <c r="H33" s="2926"/>
      <c r="I33" s="2926"/>
      <c r="J33" s="2926"/>
      <c r="K33" s="2927"/>
    </row>
    <row r="34" spans="1:11" s="2911" customFormat="1" ht="13.5" customHeight="1">
      <c r="A34" s="1941" t="s">
        <v>1010</v>
      </c>
      <c r="B34" s="2936" t="s">
        <v>1633</v>
      </c>
      <c r="C34" s="2957">
        <f ca="1">ROUND((1+F14)*F33*'数据-取费表'!B24/'数据-取费表'!B22,4)</f>
        <v>1.1999999999999999E-3</v>
      </c>
      <c r="D34" s="2958"/>
      <c r="E34" s="2953"/>
      <c r="F34" s="2966"/>
      <c r="G34" s="2051" t="s">
        <v>1634</v>
      </c>
      <c r="H34" s="2051"/>
      <c r="I34" s="2051"/>
      <c r="J34" s="2051"/>
      <c r="K34" s="2052"/>
    </row>
    <row r="35" spans="1:11" s="2911" customFormat="1" ht="13.5" customHeight="1">
      <c r="A35" s="1941" t="s">
        <v>1016</v>
      </c>
      <c r="B35" s="2936" t="s">
        <v>1629</v>
      </c>
      <c r="C35" s="2967">
        <f ca="1">ROUND((C15+C27+C28)*F33,0)</f>
        <v>78</v>
      </c>
      <c r="D35" s="2958"/>
      <c r="E35" s="2953"/>
      <c r="F35" s="2966"/>
      <c r="G35" s="2051"/>
      <c r="H35" s="2051"/>
      <c r="I35" s="2051"/>
      <c r="J35" s="2051"/>
      <c r="K35" s="2052"/>
    </row>
    <row r="36" spans="1:11" s="654" customFormat="1" ht="15.6">
      <c r="A36" s="673">
        <v>9</v>
      </c>
      <c r="B36" s="697" t="s">
        <v>1635</v>
      </c>
      <c r="C36" s="698">
        <f ca="1">ROUND((C13-C15-C27-C28-C31-C35-C32)/(1+F14+C30+C34),0)</f>
        <v>54699</v>
      </c>
      <c r="D36" s="704"/>
      <c r="E36" s="704"/>
      <c r="F36" s="2955"/>
      <c r="G36" s="2968" t="s">
        <v>1636</v>
      </c>
      <c r="H36" s="704"/>
      <c r="I36" s="704"/>
      <c r="J36" s="704"/>
      <c r="K36" s="2922"/>
    </row>
    <row r="37" spans="1:11" s="2912" customFormat="1" ht="14.4">
      <c r="A37" s="2969">
        <v>10</v>
      </c>
      <c r="B37" s="2970" t="s">
        <v>1637</v>
      </c>
      <c r="C37" s="2971">
        <f ca="1">ROUND(C36*(1+F37),0)</f>
        <v>59622</v>
      </c>
      <c r="D37" s="2972"/>
      <c r="E37" s="2973"/>
      <c r="F37" s="2974">
        <v>0.09</v>
      </c>
      <c r="G37" s="697" t="s">
        <v>1638</v>
      </c>
      <c r="H37" s="704"/>
      <c r="I37" s="704"/>
      <c r="J37" s="704"/>
      <c r="K37" s="2922"/>
    </row>
    <row r="38" spans="1:11" ht="12.75" customHeight="1"/>
    <row r="44" spans="1:11" s="2913" customFormat="1" ht="17.399999999999999">
      <c r="A44" s="2975" t="s">
        <v>1639</v>
      </c>
      <c r="B44" s="2063"/>
      <c r="C44" s="2976"/>
      <c r="D44" s="2063"/>
      <c r="E44" s="2063"/>
      <c r="F44" s="2063"/>
      <c r="G44" s="2063"/>
    </row>
    <row r="45" spans="1:11" s="2913" customFormat="1" ht="14.4">
      <c r="A45" s="691" t="s">
        <v>999</v>
      </c>
      <c r="B45" s="2977" t="s">
        <v>1591</v>
      </c>
      <c r="C45" s="2978" t="s">
        <v>1640</v>
      </c>
      <c r="D45" s="2979" t="s">
        <v>1597</v>
      </c>
      <c r="E45" s="2979" t="s">
        <v>1598</v>
      </c>
      <c r="F45" s="2979" t="s">
        <v>1599</v>
      </c>
      <c r="G45" s="2980" t="s">
        <v>1414</v>
      </c>
    </row>
    <row r="46" spans="1:11" s="2913" customFormat="1">
      <c r="A46" s="2185">
        <v>1</v>
      </c>
      <c r="B46" s="2172" t="s">
        <v>1641</v>
      </c>
      <c r="C46" s="2949">
        <f>C13</f>
        <v>57099</v>
      </c>
      <c r="D46" s="2185"/>
      <c r="E46" s="2185"/>
      <c r="F46" s="2185"/>
      <c r="G46" s="2185"/>
    </row>
    <row r="47" spans="1:11" s="2913" customFormat="1">
      <c r="A47" s="2185">
        <v>2</v>
      </c>
      <c r="B47" s="2172" t="s">
        <v>1642</v>
      </c>
      <c r="C47" s="2949" t="str">
        <f>C14</f>
        <v>0.0305V</v>
      </c>
      <c r="D47" s="2185"/>
      <c r="E47" s="2185"/>
      <c r="F47" s="2185"/>
      <c r="G47" s="2185"/>
    </row>
    <row r="48" spans="1:11" s="2913" customFormat="1">
      <c r="A48" s="2185">
        <v>3</v>
      </c>
      <c r="B48" s="2172" t="s">
        <v>1643</v>
      </c>
      <c r="C48" s="2949" t="e">
        <f ca="1">C49+C59+C60+C63</f>
        <v>#VALUE!</v>
      </c>
      <c r="D48" s="2185"/>
      <c r="E48" s="2185"/>
      <c r="F48" s="2185"/>
      <c r="G48" s="2185"/>
    </row>
    <row r="49" spans="1:7" s="2913" customFormat="1">
      <c r="A49" s="2981" t="s">
        <v>1010</v>
      </c>
      <c r="B49" s="2172" t="s">
        <v>1644</v>
      </c>
      <c r="C49" s="2949">
        <f ca="1">C50+C51+C52+C53+C57+C58</f>
        <v>527</v>
      </c>
      <c r="D49" s="2185"/>
      <c r="E49" s="2185"/>
      <c r="F49" s="2185"/>
      <c r="G49" s="2185"/>
    </row>
    <row r="50" spans="1:7" s="2913" customFormat="1">
      <c r="A50" s="2982" t="s">
        <v>1040</v>
      </c>
      <c r="B50" s="2172" t="s">
        <v>1645</v>
      </c>
      <c r="C50" s="2949">
        <f ca="1">C16</f>
        <v>120</v>
      </c>
      <c r="D50" s="2185"/>
      <c r="E50" s="2185"/>
      <c r="F50" s="2185"/>
      <c r="G50" s="2185"/>
    </row>
    <row r="51" spans="1:7" s="2913" customFormat="1">
      <c r="A51" s="2982" t="s">
        <v>1646</v>
      </c>
      <c r="B51" s="2185" t="s">
        <v>1428</v>
      </c>
      <c r="C51" s="2949">
        <f t="shared" ref="C51:C54" ca="1" si="0">C17</f>
        <v>4</v>
      </c>
      <c r="D51" s="2185"/>
      <c r="E51" s="2185"/>
      <c r="F51" s="2185"/>
      <c r="G51" s="2185"/>
    </row>
    <row r="52" spans="1:7" s="2913" customFormat="1">
      <c r="A52" s="2982" t="s">
        <v>1647</v>
      </c>
      <c r="B52" s="2185" t="s">
        <v>1431</v>
      </c>
      <c r="C52" s="2949">
        <f t="shared" ca="1" si="0"/>
        <v>4</v>
      </c>
      <c r="D52" s="2185"/>
      <c r="E52" s="2185"/>
      <c r="F52" s="2185"/>
      <c r="G52" s="2185"/>
    </row>
    <row r="53" spans="1:7" s="2913" customFormat="1">
      <c r="A53" s="2982" t="s">
        <v>1648</v>
      </c>
      <c r="B53" s="2185" t="s">
        <v>1434</v>
      </c>
      <c r="C53" s="2949">
        <f t="shared" ca="1" si="0"/>
        <v>395</v>
      </c>
      <c r="D53" s="2185"/>
      <c r="E53" s="2185"/>
      <c r="F53" s="2185"/>
      <c r="G53" s="2185"/>
    </row>
    <row r="54" spans="1:7" s="2913" customFormat="1">
      <c r="A54" s="2983" t="s">
        <v>1435</v>
      </c>
      <c r="B54" s="2984" t="s">
        <v>1436</v>
      </c>
      <c r="C54" s="2985">
        <f t="shared" ca="1" si="0"/>
        <v>390</v>
      </c>
      <c r="D54" s="2185"/>
      <c r="E54" s="2185"/>
      <c r="F54" s="2185"/>
      <c r="G54" s="2185"/>
    </row>
    <row r="55" spans="1:7" s="2913" customFormat="1">
      <c r="A55" s="2983" t="s">
        <v>1444</v>
      </c>
      <c r="B55" s="2984" t="s">
        <v>1649</v>
      </c>
      <c r="C55" s="2985">
        <f ca="1">C23</f>
        <v>5</v>
      </c>
      <c r="D55" s="2185"/>
      <c r="E55" s="2185"/>
      <c r="F55" s="2185"/>
      <c r="G55" s="2185"/>
    </row>
    <row r="56" spans="1:7" s="2913" customFormat="1">
      <c r="A56" s="2983" t="s">
        <v>1447</v>
      </c>
      <c r="B56" s="2984" t="s">
        <v>1650</v>
      </c>
      <c r="C56" s="2985">
        <f ca="1">C24</f>
        <v>0</v>
      </c>
      <c r="D56" s="2185"/>
      <c r="E56" s="2185"/>
      <c r="F56" s="2185"/>
      <c r="G56" s="2185"/>
    </row>
    <row r="57" spans="1:7" s="2913" customFormat="1">
      <c r="A57" s="2982" t="s">
        <v>1651</v>
      </c>
      <c r="B57" s="2185" t="s">
        <v>1450</v>
      </c>
      <c r="C57" s="2949">
        <f ca="1">C25</f>
        <v>2</v>
      </c>
      <c r="D57" s="2185"/>
      <c r="E57" s="2185"/>
      <c r="F57" s="2185"/>
      <c r="G57" s="2185"/>
    </row>
    <row r="58" spans="1:7" s="2913" customFormat="1">
      <c r="A58" s="2982" t="s">
        <v>1652</v>
      </c>
      <c r="B58" s="2185" t="s">
        <v>1622</v>
      </c>
      <c r="C58" s="2949">
        <f ca="1">C26</f>
        <v>2</v>
      </c>
      <c r="D58" s="2185"/>
      <c r="E58" s="2185"/>
      <c r="F58" s="2185"/>
      <c r="G58" s="2185"/>
    </row>
    <row r="59" spans="1:7" s="2913" customFormat="1">
      <c r="A59" s="2981" t="s">
        <v>1653</v>
      </c>
      <c r="B59" s="2172" t="s">
        <v>1654</v>
      </c>
      <c r="C59" s="2949">
        <f ca="1">C27</f>
        <v>11</v>
      </c>
      <c r="D59" s="2185"/>
      <c r="E59" s="2185"/>
      <c r="F59" s="2185"/>
      <c r="G59" s="2185"/>
    </row>
    <row r="60" spans="1:7" s="2913" customFormat="1">
      <c r="A60" s="2981" t="s">
        <v>1655</v>
      </c>
      <c r="B60" s="2172" t="s">
        <v>1656</v>
      </c>
      <c r="C60" s="2949">
        <f ca="1">C61+C62</f>
        <v>17</v>
      </c>
      <c r="D60" s="2185"/>
      <c r="E60" s="2185"/>
      <c r="F60" s="2185"/>
      <c r="G60" s="2185"/>
    </row>
    <row r="61" spans="1:7" s="2913" customFormat="1">
      <c r="A61" s="2982" t="s">
        <v>1040</v>
      </c>
      <c r="B61" s="2172" t="s">
        <v>1657</v>
      </c>
      <c r="C61" s="2949">
        <f ca="1">C28</f>
        <v>17</v>
      </c>
      <c r="D61" s="2185"/>
      <c r="E61" s="2185"/>
      <c r="F61" s="2185"/>
      <c r="G61" s="2185"/>
    </row>
    <row r="62" spans="1:7" s="2913" customFormat="1">
      <c r="A62" s="2982" t="s">
        <v>1044</v>
      </c>
      <c r="B62" s="2172" t="s">
        <v>1656</v>
      </c>
      <c r="C62" s="2949">
        <f>C32</f>
        <v>0</v>
      </c>
      <c r="D62" s="2185"/>
      <c r="E62" s="2185"/>
      <c r="F62" s="2185"/>
      <c r="G62" s="2185"/>
    </row>
    <row r="63" spans="1:7" s="2913" customFormat="1">
      <c r="A63" s="2981" t="s">
        <v>1658</v>
      </c>
      <c r="B63" s="2172" t="s">
        <v>1461</v>
      </c>
      <c r="C63" s="2949" t="str">
        <f ca="1">C29</f>
        <v>0+0.0006V</v>
      </c>
      <c r="D63" s="2185"/>
      <c r="E63" s="2185"/>
      <c r="F63" s="2185"/>
      <c r="G63" s="2185"/>
    </row>
    <row r="64" spans="1:7" s="2913" customFormat="1">
      <c r="A64" s="2185">
        <v>4</v>
      </c>
      <c r="B64" s="2172" t="s">
        <v>1659</v>
      </c>
      <c r="C64" s="2949" t="str">
        <f ca="1">C33</f>
        <v>78+0.0012V</v>
      </c>
      <c r="D64" s="2185"/>
      <c r="E64" s="2185"/>
      <c r="F64" s="2185"/>
      <c r="G64" s="2185"/>
    </row>
    <row r="65" spans="1:7" s="2913" customFormat="1">
      <c r="A65" s="2185">
        <v>5</v>
      </c>
      <c r="B65" s="2172" t="s">
        <v>1660</v>
      </c>
      <c r="C65" s="2949">
        <f ca="1">C36</f>
        <v>54699</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1661</v>
      </c>
      <c r="B1" s="1203"/>
      <c r="C1" s="1891"/>
      <c r="D1" s="1892"/>
      <c r="E1" s="1893" t="s">
        <v>1662</v>
      </c>
      <c r="F1" s="2706">
        <f ca="1">J62</f>
        <v>-2.0000000000000018E-2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1663</v>
      </c>
      <c r="B2" s="2065" t="e">
        <f ca="1">ROUND(D3/10000,4)</f>
        <v>#DIV/0!</v>
      </c>
      <c r="C2" s="1902" t="s">
        <v>1664</v>
      </c>
      <c r="D2" s="1903"/>
      <c r="E2" s="1904"/>
      <c r="F2" s="1905"/>
      <c r="G2" s="1906"/>
      <c r="H2" s="1907"/>
      <c r="I2" s="1907"/>
      <c r="J2" s="1907"/>
      <c r="K2" s="1908"/>
      <c r="L2" s="1907"/>
      <c r="M2" s="1907"/>
    </row>
    <row r="3" spans="1:37" ht="18" customHeight="1">
      <c r="A3" s="1909" t="s">
        <v>1665</v>
      </c>
      <c r="B3" s="2708">
        <f ca="1">IF(ISERROR(D3/F32),0,ROUND(D3/F32,0))</f>
        <v>0</v>
      </c>
      <c r="C3" s="1902" t="s">
        <v>1666</v>
      </c>
      <c r="D3" s="1902" t="e">
        <f ca="1">IF(D2="含税",ROUND((C28+J31+L55)*(1+F31),0),C28+J31+L55)</f>
        <v>#DIV/0!</v>
      </c>
      <c r="E3" s="1904"/>
      <c r="F3" s="1905"/>
      <c r="G3" s="1906"/>
      <c r="H3" s="1911" t="s">
        <v>1667</v>
      </c>
      <c r="I3" s="1912"/>
      <c r="J3" s="1912"/>
      <c r="K3" s="1913"/>
      <c r="L3" s="1912"/>
      <c r="M3" s="1912"/>
    </row>
    <row r="4" spans="1:37" s="2836" customFormat="1" ht="18" customHeight="1">
      <c r="A4" s="1914" t="s">
        <v>1668</v>
      </c>
      <c r="B4" s="1915" t="s">
        <v>1669</v>
      </c>
      <c r="C4" s="1916" t="s">
        <v>1670</v>
      </c>
      <c r="D4" s="1915" t="s">
        <v>1671</v>
      </c>
      <c r="E4" s="1917" t="s">
        <v>1672</v>
      </c>
      <c r="F4" s="2839"/>
      <c r="G4" s="2840"/>
      <c r="H4" s="1914" t="s">
        <v>1668</v>
      </c>
      <c r="I4" s="1915" t="s">
        <v>1669</v>
      </c>
      <c r="J4" s="1916" t="s">
        <v>1670</v>
      </c>
      <c r="K4" s="1915" t="s">
        <v>1671</v>
      </c>
      <c r="L4" s="2841" t="s">
        <v>1672</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1673</v>
      </c>
      <c r="C5" s="1922">
        <f ca="1">C6+C10+C12</f>
        <v>0</v>
      </c>
      <c r="D5" s="1923" t="s">
        <v>1674</v>
      </c>
      <c r="E5" s="1924"/>
      <c r="F5" s="1925"/>
      <c r="G5" s="1919"/>
      <c r="H5" s="1920">
        <v>1</v>
      </c>
      <c r="I5" s="2010" t="s">
        <v>1675</v>
      </c>
      <c r="J5" s="1922">
        <f ca="1">J6+J10+J12</f>
        <v>0</v>
      </c>
      <c r="K5" s="1923" t="s">
        <v>1674</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1676</v>
      </c>
      <c r="C6" s="2845">
        <f ca="1">C7-C9</f>
        <v>0</v>
      </c>
      <c r="D6" s="1929" t="s">
        <v>1677</v>
      </c>
      <c r="E6" s="1930" t="s">
        <v>1678</v>
      </c>
      <c r="F6" s="2190">
        <f ca="1">INDIRECT("'数据-取费表'!u"&amp;$G$1)</f>
        <v>0</v>
      </c>
      <c r="G6" s="826"/>
      <c r="H6" s="1926" t="s">
        <v>1010</v>
      </c>
      <c r="I6" s="1927" t="s">
        <v>1676</v>
      </c>
      <c r="J6" s="2049">
        <f ca="1">J7-J9</f>
        <v>0</v>
      </c>
      <c r="K6" s="1929" t="s">
        <v>1677</v>
      </c>
      <c r="L6" s="1930" t="s">
        <v>1678</v>
      </c>
      <c r="M6" s="2846">
        <f ca="1">INDIRECT("'数据-取费表'!z"&amp;$G$1)</f>
        <v>0</v>
      </c>
    </row>
    <row r="7" spans="1:37" ht="18" customHeight="1">
      <c r="A7" s="4580" t="s">
        <v>1040</v>
      </c>
      <c r="B7" s="4582" t="s">
        <v>1679</v>
      </c>
      <c r="C7" s="4584">
        <f ca="1">ROUND(F6*F7*F8,0)</f>
        <v>0</v>
      </c>
      <c r="D7" s="4585" t="s">
        <v>1680</v>
      </c>
      <c r="E7" s="1934" t="s">
        <v>1681</v>
      </c>
      <c r="F7" s="1935">
        <f ca="1">IF(INDIRECT("'数据-取费表'!ah"&amp;$G$1)="",INDIRECT("'数据-取费表'!k"&amp;$G$1),INDIRECT("'数据-取费表'!ah"&amp;$G$1))</f>
        <v>0</v>
      </c>
      <c r="G7" s="826"/>
      <c r="H7" s="4580" t="s">
        <v>1040</v>
      </c>
      <c r="I7" s="4582" t="s">
        <v>1679</v>
      </c>
      <c r="J7" s="4586">
        <f ca="1">ROUND(M6*M8*M7,0)</f>
        <v>0</v>
      </c>
      <c r="K7" s="4585" t="s">
        <v>1680</v>
      </c>
      <c r="L7" s="1937" t="s">
        <v>1681</v>
      </c>
      <c r="M7" s="2847">
        <f ca="1">F7</f>
        <v>0</v>
      </c>
    </row>
    <row r="8" spans="1:37" ht="18" customHeight="1">
      <c r="A8" s="4581"/>
      <c r="B8" s="4583"/>
      <c r="C8" s="4584"/>
      <c r="D8" s="4585"/>
      <c r="E8" s="1937" t="str">
        <f ca="1">IF(F8=1,"年",IF(F8=12,"月","天"))</f>
        <v>天</v>
      </c>
      <c r="F8" s="1940">
        <f ca="1">INDIRECT("'数据-取费表'!ai"&amp;$G$1)</f>
        <v>0</v>
      </c>
      <c r="G8" s="826"/>
      <c r="H8" s="4581"/>
      <c r="I8" s="4583"/>
      <c r="J8" s="4586"/>
      <c r="K8" s="4585"/>
      <c r="L8" s="1937" t="str">
        <f ca="1">IF(M8=1,"年",IF(M8=12,"月","天"))</f>
        <v>天</v>
      </c>
      <c r="M8" s="2848">
        <f ca="1">INDIRECT("'数据-取费表'!ai"&amp;$G$1)</f>
        <v>0</v>
      </c>
    </row>
    <row r="9" spans="1:37" ht="18" customHeight="1">
      <c r="A9" s="1941" t="s">
        <v>1044</v>
      </c>
      <c r="B9" s="1939" t="s">
        <v>1682</v>
      </c>
      <c r="C9" s="1922">
        <f ca="1">ROUND(C7*F9,0)</f>
        <v>0</v>
      </c>
      <c r="D9" s="1929" t="s">
        <v>1683</v>
      </c>
      <c r="E9" s="1937" t="s">
        <v>1684</v>
      </c>
      <c r="F9" s="1942">
        <f ca="1">INDIRECT("'数据-取费表'!w"&amp;$G$1)</f>
        <v>0</v>
      </c>
      <c r="G9" s="826"/>
      <c r="H9" s="1941" t="s">
        <v>1044</v>
      </c>
      <c r="I9" s="1939" t="s">
        <v>1682</v>
      </c>
      <c r="J9" s="1901">
        <f ca="1">ROUND(J7*M9,0)</f>
        <v>0</v>
      </c>
      <c r="K9" s="1929" t="s">
        <v>1683</v>
      </c>
      <c r="L9" s="1943" t="s">
        <v>1684</v>
      </c>
      <c r="M9" s="1955">
        <f ca="1">INDIRECT("'数据-取费表'!ab"&amp;$G$1)</f>
        <v>0</v>
      </c>
    </row>
    <row r="10" spans="1:37" ht="18" customHeight="1">
      <c r="A10" s="1926" t="s">
        <v>1016</v>
      </c>
      <c r="B10" s="1945" t="s">
        <v>1685</v>
      </c>
      <c r="C10" s="1901">
        <f ca="1">ROUND(IF(F10="押一",C6/12*F11,IF(F10="押二",C6/12*2*F11,IF(F10="押三",C6/12*3*F11,C11*F11))),0)</f>
        <v>0</v>
      </c>
      <c r="D10" s="1946" t="s">
        <v>1686</v>
      </c>
      <c r="E10" s="1943" t="s">
        <v>1687</v>
      </c>
      <c r="F10" s="2726"/>
      <c r="G10" s="826"/>
      <c r="H10" s="1926" t="s">
        <v>1016</v>
      </c>
      <c r="I10" s="1945" t="s">
        <v>1685</v>
      </c>
      <c r="J10" s="2216">
        <f ca="1">ROUND(IF(M10="押一",J6/12*M11,IF(M10="押二",J6/12*2*M11,IF(M10="押三",J6/12*3*M11,J11*M11))),0)</f>
        <v>0</v>
      </c>
      <c r="K10" s="1946" t="s">
        <v>1686</v>
      </c>
      <c r="L10" s="1943" t="s">
        <v>1687</v>
      </c>
      <c r="M10" s="2849"/>
    </row>
    <row r="11" spans="1:37" ht="18" customHeight="1">
      <c r="A11" s="1949"/>
      <c r="B11" s="2728" t="str">
        <f>IF(OR(F10="自定义",F10=" "),"（自定义押金）单位：元","")</f>
        <v/>
      </c>
      <c r="C11" s="2850"/>
      <c r="D11" s="1952"/>
      <c r="E11" s="1943" t="s">
        <v>1688</v>
      </c>
      <c r="F11" s="1944">
        <f ca="1">'数据-取费表'!B40</f>
        <v>1.4999999999999999E-2</v>
      </c>
      <c r="G11" s="826"/>
      <c r="H11" s="1953"/>
      <c r="I11" s="1950" t="str">
        <f>IF(OR(M10="自定义",M10=" "),"（自定义押金）单位：元","")</f>
        <v/>
      </c>
      <c r="J11" s="2851"/>
      <c r="K11" s="1954"/>
      <c r="L11" s="1943" t="s">
        <v>1688</v>
      </c>
      <c r="M11" s="1955">
        <f ca="1">'数据-取费表'!B40</f>
        <v>1.4999999999999999E-2</v>
      </c>
    </row>
    <row r="12" spans="1:37" ht="18" customHeight="1">
      <c r="A12" s="1956" t="s">
        <v>1068</v>
      </c>
      <c r="B12" s="1957" t="s">
        <v>1689</v>
      </c>
      <c r="C12" s="2852"/>
      <c r="D12" s="1959"/>
      <c r="E12" s="1960"/>
      <c r="F12" s="1961"/>
      <c r="G12" s="826"/>
      <c r="H12" s="1956" t="s">
        <v>1068</v>
      </c>
      <c r="I12" s="1957" t="s">
        <v>1689</v>
      </c>
      <c r="J12" s="2852"/>
      <c r="K12" s="1962"/>
      <c r="L12" s="1960"/>
      <c r="M12" s="2853"/>
    </row>
    <row r="13" spans="1:37" s="366" customFormat="1" ht="18" customHeight="1">
      <c r="A13" s="1964" t="s">
        <v>1364</v>
      </c>
      <c r="B13" s="1965" t="s">
        <v>1690</v>
      </c>
      <c r="C13" s="1966">
        <f ca="1">ROUND(C14+C22+C24+C26,0)</f>
        <v>0</v>
      </c>
      <c r="D13" s="2854" t="s">
        <v>1691</v>
      </c>
      <c r="E13" s="1968"/>
      <c r="F13" s="1925"/>
      <c r="G13" s="1919"/>
      <c r="H13" s="1964" t="s">
        <v>1364</v>
      </c>
      <c r="I13" s="1965" t="s">
        <v>1690</v>
      </c>
      <c r="J13" s="1966">
        <f ca="1">ROUND(J14+J22+J24+J26,0)</f>
        <v>0</v>
      </c>
      <c r="K13" s="2855" t="s">
        <v>1692</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1693</v>
      </c>
      <c r="C14" s="2049">
        <f ca="1">ROUND(IF(AND(项目基本情况!B11="自然人",项目基本情况!B10="北京市",M56="住宅"),C6*F14,C15+C19+C20),2)</f>
        <v>0</v>
      </c>
      <c r="D14" s="1971" t="s">
        <v>1694</v>
      </c>
      <c r="E14" s="1971" t="str">
        <f>IF(M56="非住宅","","综合税率")</f>
        <v/>
      </c>
      <c r="F14" s="1972" t="str">
        <f>IF(M56="非住宅","",IF(F6*F7*F8/12/(1+'数据-取费表'!F30)&gt;100000,4%,2.5%))</f>
        <v/>
      </c>
      <c r="G14" s="826"/>
      <c r="H14" s="678" t="s">
        <v>1010</v>
      </c>
      <c r="I14" s="1930" t="s">
        <v>1693</v>
      </c>
      <c r="J14" s="2049">
        <f ca="1">ROUND(IF(AND(项目基本情况!B11="自然人",项目基本情况!B10="北京市",M56="住宅"),J6*M14/(1+'数据-取费表'!C43),J15+J19+J20),0)</f>
        <v>0</v>
      </c>
      <c r="K14" s="1973" t="s">
        <v>1695</v>
      </c>
      <c r="L14" s="1971" t="str">
        <f>E14</f>
        <v/>
      </c>
      <c r="M14" s="1972" t="str">
        <f>IF(M56="非住宅","",IF(M6*M7*M8/12/(1+'数据-取费表'!F30)&gt;100000,4%,2.5%))</f>
        <v/>
      </c>
    </row>
    <row r="15" spans="1:37" s="1886" customFormat="1" ht="18" customHeight="1">
      <c r="A15" s="1941" t="s">
        <v>1040</v>
      </c>
      <c r="B15" s="1930" t="s">
        <v>1696</v>
      </c>
      <c r="C15" s="2049">
        <f ca="1">C18</f>
        <v>0</v>
      </c>
      <c r="D15" s="1039" t="s">
        <v>1697</v>
      </c>
      <c r="E15" s="1974"/>
      <c r="F15" s="1975"/>
      <c r="G15" s="1976"/>
      <c r="H15" s="1941" t="s">
        <v>1040</v>
      </c>
      <c r="I15" s="1930" t="s">
        <v>1696</v>
      </c>
      <c r="J15" s="2049">
        <f ca="1">J18</f>
        <v>0</v>
      </c>
      <c r="K15" s="1929" t="s">
        <v>1697</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1435</v>
      </c>
      <c r="B16" s="1977" t="s">
        <v>973</v>
      </c>
      <c r="C16" s="747">
        <f ca="1">ROUND(C6*F16,0)</f>
        <v>0</v>
      </c>
      <c r="D16" s="575" t="s">
        <v>1698</v>
      </c>
      <c r="E16" s="1978" t="s">
        <v>1699</v>
      </c>
      <c r="F16" s="1979">
        <v>0.09</v>
      </c>
      <c r="G16" s="826"/>
      <c r="H16" s="604" t="s">
        <v>1435</v>
      </c>
      <c r="I16" s="1977" t="s">
        <v>973</v>
      </c>
      <c r="J16" s="747">
        <f ca="1">ROUND(J6*M16,0)</f>
        <v>0</v>
      </c>
      <c r="K16" s="1982" t="s">
        <v>1700</v>
      </c>
      <c r="L16" s="1978" t="s">
        <v>1699</v>
      </c>
      <c r="M16" s="2858">
        <v>0.09</v>
      </c>
    </row>
    <row r="17" spans="1:37" s="1886" customFormat="1" ht="18" customHeight="1">
      <c r="A17" s="604" t="s">
        <v>1444</v>
      </c>
      <c r="B17" s="1977" t="s">
        <v>977</v>
      </c>
      <c r="C17" s="2859">
        <f ca="1">ROUND(C22*F16+((C24+C26)*F17),0)</f>
        <v>0</v>
      </c>
      <c r="D17" s="1982" t="s">
        <v>1701</v>
      </c>
      <c r="E17" s="1983"/>
      <c r="F17" s="1979">
        <v>0.06</v>
      </c>
      <c r="G17" s="1976"/>
      <c r="H17" s="604" t="s">
        <v>1444</v>
      </c>
      <c r="I17" s="1977" t="s">
        <v>977</v>
      </c>
      <c r="J17" s="2859">
        <f ca="1">ROUND(J22*M16+((J24+J26)*M17),0)</f>
        <v>0</v>
      </c>
      <c r="K17" s="2860" t="s">
        <v>1701</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1447</v>
      </c>
      <c r="B18" s="1977" t="s">
        <v>1702</v>
      </c>
      <c r="C18" s="2859">
        <f ca="1">ROUND((C16-C17)*F18,0)</f>
        <v>0</v>
      </c>
      <c r="D18" s="1973" t="s">
        <v>1703</v>
      </c>
      <c r="E18" s="1937" t="s">
        <v>1704</v>
      </c>
      <c r="F18" s="1979">
        <f>'数据-取费表'!B44</f>
        <v>0.1</v>
      </c>
      <c r="G18" s="1976"/>
      <c r="H18" s="604" t="s">
        <v>1447</v>
      </c>
      <c r="I18" s="1977" t="s">
        <v>1702</v>
      </c>
      <c r="J18" s="2859">
        <f ca="1">ROUND((J16-J17)*M18,0)</f>
        <v>0</v>
      </c>
      <c r="K18" s="1973" t="s">
        <v>1703</v>
      </c>
      <c r="L18" s="1937" t="s">
        <v>1704</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1705</v>
      </c>
      <c r="C19" s="2049">
        <f ca="1">IF(AND(项目基本情况!B11="自然人",M56="住宅"),"——",IF(D19="按不含税租金收入（有效毛租金收入）计税",ROUND(C6*F19,0),IF(D19="按房产原值计税",ROUND(C51*F19*0.7,0),INDIRECT("'数据-取费表'!Aj"&amp;$G$1))))</f>
        <v>0</v>
      </c>
      <c r="D19" s="1984"/>
      <c r="E19" s="1937" t="s">
        <v>1706</v>
      </c>
      <c r="F19" s="1979">
        <f>IF(D19="按票据","——",IF(D19="按不含税租金收入（有效毛租金收入）计税",'数据-取费表'!B52,'数据-取费表'!B51))</f>
        <v>1.2E-2</v>
      </c>
      <c r="G19" s="1976"/>
      <c r="H19" s="1941" t="s">
        <v>1044</v>
      </c>
      <c r="I19" s="1930" t="s">
        <v>1705</v>
      </c>
      <c r="J19" s="2049">
        <f ca="1">IF(K19="按不含税租金收入（有效毛租金收入）计税",ROUND(J6*M19,0),ROUND(C51*M19*0.7,0))</f>
        <v>0</v>
      </c>
      <c r="K19" s="1985"/>
      <c r="L19" s="1937" t="s">
        <v>1706</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2000" t="s">
        <v>1707</v>
      </c>
      <c r="C20" s="2861">
        <f ca="1">IF(AND(项目基本情况!B11="自然人",M56="住宅"),"——",ROUND(F20*F21,0))</f>
        <v>0</v>
      </c>
      <c r="D20" s="1987" t="s">
        <v>1708</v>
      </c>
      <c r="E20" s="1937" t="s">
        <v>1709</v>
      </c>
      <c r="F20" s="2190">
        <f>'数据-取费表'!B53</f>
        <v>1.5</v>
      </c>
      <c r="G20" s="826"/>
      <c r="H20" s="1933" t="s">
        <v>1047</v>
      </c>
      <c r="I20" s="2000" t="s">
        <v>1707</v>
      </c>
      <c r="J20" s="2861">
        <f ca="1">ROUND(M20*M21,0)</f>
        <v>0</v>
      </c>
      <c r="K20" s="1987" t="s">
        <v>1708</v>
      </c>
      <c r="L20" s="1937" t="s">
        <v>1709</v>
      </c>
      <c r="M20" s="2846">
        <f>'数据-取费表'!B53</f>
        <v>1.5</v>
      </c>
    </row>
    <row r="21" spans="1:37" s="1886" customFormat="1" ht="18" customHeight="1">
      <c r="A21" s="1989"/>
      <c r="B21" s="1990"/>
      <c r="C21" s="2862"/>
      <c r="D21" s="1992"/>
      <c r="E21" s="1937" t="s">
        <v>1710</v>
      </c>
      <c r="F21" s="1931">
        <f ca="1">INDIRECT("'数据-取费表'!r"&amp;$G$1)</f>
        <v>0</v>
      </c>
      <c r="G21" s="1976"/>
      <c r="H21" s="1989"/>
      <c r="I21" s="1993"/>
      <c r="J21" s="2862"/>
      <c r="K21" s="1992"/>
      <c r="L21" s="1937" t="s">
        <v>1710</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1711</v>
      </c>
      <c r="C22" s="2864">
        <f ca="1">ROUND(C51*F22,0)</f>
        <v>0</v>
      </c>
      <c r="D22" s="1997" t="s">
        <v>1712</v>
      </c>
      <c r="E22" s="1937" t="s">
        <v>1706</v>
      </c>
      <c r="F22" s="1942">
        <f ca="1">INDIRECT("'数据-取费表'!Ak"&amp;$G$1)</f>
        <v>0</v>
      </c>
      <c r="G22" s="1976"/>
      <c r="H22" s="1994" t="s">
        <v>1016</v>
      </c>
      <c r="I22" s="1995" t="s">
        <v>1711</v>
      </c>
      <c r="J22" s="2864">
        <f ca="1">ROUND(J35*M22,0)</f>
        <v>0</v>
      </c>
      <c r="K22" s="1997" t="s">
        <v>1712</v>
      </c>
      <c r="L22" s="1937" t="s">
        <v>1706</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1713</v>
      </c>
      <c r="F23" s="1940">
        <f ca="1">C51</f>
        <v>0</v>
      </c>
      <c r="G23" s="1976"/>
      <c r="H23" s="1989"/>
      <c r="I23" s="1993"/>
      <c r="J23" s="2866"/>
      <c r="K23" s="1999"/>
      <c r="L23" s="1930" t="s">
        <v>1713</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1714</v>
      </c>
      <c r="C24" s="2864">
        <f ca="1">ROUND(C53*F24,0)</f>
        <v>0</v>
      </c>
      <c r="D24" s="1997" t="s">
        <v>1715</v>
      </c>
      <c r="E24" s="1937" t="s">
        <v>1706</v>
      </c>
      <c r="F24" s="1942">
        <f ca="1">INDIRECT("'数据-取费表'!Al"&amp;$G$1)</f>
        <v>0</v>
      </c>
      <c r="G24" s="826"/>
      <c r="H24" s="1994" t="s">
        <v>1068</v>
      </c>
      <c r="I24" s="1995" t="s">
        <v>1714</v>
      </c>
      <c r="J24" s="2864">
        <f ca="1">ROUND(J37*M24,0)</f>
        <v>0</v>
      </c>
      <c r="K24" s="1997" t="s">
        <v>1716</v>
      </c>
      <c r="L24" s="1937" t="s">
        <v>1706</v>
      </c>
      <c r="M24" s="2865">
        <f ca="1">INDIRECT("'数据-取费表'!Al"&amp;$G$1)</f>
        <v>0</v>
      </c>
    </row>
    <row r="25" spans="1:37" ht="18" customHeight="1">
      <c r="A25" s="1989"/>
      <c r="B25" s="1993"/>
      <c r="C25" s="2866"/>
      <c r="D25" s="1999"/>
      <c r="E25" s="2000" t="s">
        <v>1717</v>
      </c>
      <c r="F25" s="1940">
        <f ca="1">C53</f>
        <v>0</v>
      </c>
      <c r="G25" s="826"/>
      <c r="H25" s="1989"/>
      <c r="I25" s="1993"/>
      <c r="J25" s="2866"/>
      <c r="K25" s="1999"/>
      <c r="L25" s="2000" t="s">
        <v>1717</v>
      </c>
      <c r="M25" s="2848">
        <f ca="1">J37</f>
        <v>0</v>
      </c>
    </row>
    <row r="26" spans="1:37" s="1886" customFormat="1" ht="18" customHeight="1">
      <c r="A26" s="2001" t="s">
        <v>1073</v>
      </c>
      <c r="B26" s="1960" t="s">
        <v>1718</v>
      </c>
      <c r="C26" s="2867">
        <f ca="1">ROUND(C5*F26,0)</f>
        <v>0</v>
      </c>
      <c r="D26" s="2003" t="s">
        <v>1719</v>
      </c>
      <c r="E26" s="1960" t="s">
        <v>1706</v>
      </c>
      <c r="F26" s="1963">
        <f ca="1">INDIRECT("'数据-取费表'!Am"&amp;$G$1)</f>
        <v>0</v>
      </c>
      <c r="G26" s="1976"/>
      <c r="H26" s="2001" t="s">
        <v>1073</v>
      </c>
      <c r="I26" s="1960" t="s">
        <v>1718</v>
      </c>
      <c r="J26" s="2867">
        <f ca="1">ROUND(J5*M26,0)</f>
        <v>0</v>
      </c>
      <c r="K26" s="2003" t="s">
        <v>1719</v>
      </c>
      <c r="L26" s="1960" t="s">
        <v>1706</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1478</v>
      </c>
      <c r="B27" s="2004" t="s">
        <v>1720</v>
      </c>
      <c r="C27" s="1966">
        <f ca="1">C5-C13</f>
        <v>0</v>
      </c>
      <c r="D27" s="2855" t="s">
        <v>1721</v>
      </c>
      <c r="E27" s="2006"/>
      <c r="F27" s="2007"/>
      <c r="G27" s="2008"/>
      <c r="H27" s="1964" t="s">
        <v>1478</v>
      </c>
      <c r="I27" s="2004" t="s">
        <v>1720</v>
      </c>
      <c r="J27" s="1966">
        <f ca="1">J5-J13</f>
        <v>0</v>
      </c>
      <c r="K27" s="2855" t="s">
        <v>1721</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1722</v>
      </c>
      <c r="B28" s="2010" t="s">
        <v>1723</v>
      </c>
      <c r="C28" s="2216" t="e">
        <f ca="1">ROUND(C27*(1-((1+F30)/(1+F28))^F29)/(F28-F30),0)</f>
        <v>#DIV/0!</v>
      </c>
      <c r="D28" s="2012" t="s">
        <v>1724</v>
      </c>
      <c r="E28" s="2013" t="s">
        <v>1725</v>
      </c>
      <c r="F28" s="1942">
        <f ca="1">INDIRECT("'数据-取费表'!I"&amp;$G$1)</f>
        <v>0</v>
      </c>
      <c r="G28" s="1919"/>
      <c r="H28" s="1920" t="s">
        <v>1722</v>
      </c>
      <c r="I28" s="1921" t="s">
        <v>1726</v>
      </c>
      <c r="J28" s="2011">
        <f ca="1">IF(J5&lt;&gt;0,ROUND(J27*(1-((1+M30)/(1+M28))^M29)/(M28-M30),0),0)</f>
        <v>0</v>
      </c>
      <c r="K28" s="2012" t="s">
        <v>1724</v>
      </c>
      <c r="L28" s="2014" t="s">
        <v>1725</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1727</v>
      </c>
      <c r="F29" s="2019">
        <f ca="1">IF(INDIRECT("'数据-取费表'!af"&amp;$G$1)=0,INDIRECT("'数据-取费表'!ae"&amp;$G$1),INDIRECT("'数据-取费表'!af"&amp;$G$1))</f>
        <v>0</v>
      </c>
      <c r="G29" s="1919"/>
      <c r="H29" s="2015"/>
      <c r="I29" s="2016"/>
      <c r="J29" s="2017"/>
      <c r="K29" s="2018"/>
      <c r="L29" s="2013" t="s">
        <v>1727</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1728</v>
      </c>
      <c r="F30" s="1942">
        <f ca="1">INDIRECT("'数据-取费表'!v"&amp;$G$1)</f>
        <v>0</v>
      </c>
      <c r="G30" s="1919"/>
      <c r="H30" s="1949"/>
      <c r="I30" s="2021"/>
      <c r="J30" s="2022"/>
      <c r="K30" s="2004"/>
      <c r="L30" s="2013" t="s">
        <v>1728</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1729</v>
      </c>
      <c r="B31" s="2024" t="s">
        <v>1730</v>
      </c>
      <c r="C31" s="2025" t="e">
        <f ca="1">ROUND(C28*(1+F31),0)</f>
        <v>#DIV/0!</v>
      </c>
      <c r="D31" s="2026" t="s">
        <v>1731</v>
      </c>
      <c r="E31" s="2027" t="str">
        <f>IF(D31="其他类型公式—收益价值×（1+9%）","销项税率","征收率")</f>
        <v>销项税率</v>
      </c>
      <c r="F31" s="2871">
        <f>IF(D31="其他类型公式—收益价值×（1+9%）",9%,3%)</f>
        <v>0.09</v>
      </c>
      <c r="G31" s="2008"/>
      <c r="H31" s="2028" t="s">
        <v>1729</v>
      </c>
      <c r="I31" s="2013" t="s">
        <v>1732</v>
      </c>
      <c r="J31" s="1901">
        <f ca="1">ROUND(J28/(1+F28)^F29,0)</f>
        <v>0</v>
      </c>
      <c r="K31" s="2068" t="s">
        <v>1733</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1734</v>
      </c>
      <c r="B32" s="2031" t="s">
        <v>1735</v>
      </c>
      <c r="C32" s="2032" t="e">
        <f ca="1">ROUND(C31/F32,0)</f>
        <v>#DIV/0!</v>
      </c>
      <c r="D32" s="2033" t="s">
        <v>1736</v>
      </c>
      <c r="E32" s="2034" t="s">
        <v>1737</v>
      </c>
      <c r="F32" s="2035">
        <f ca="1">INDIRECT("'数据-取费表'!k"&amp;$G$1)</f>
        <v>0</v>
      </c>
      <c r="G32" s="2008"/>
      <c r="H32" s="2030" t="s">
        <v>1734</v>
      </c>
      <c r="I32" s="2036" t="s">
        <v>1738</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1668</v>
      </c>
      <c r="B34" s="2043" t="s">
        <v>1669</v>
      </c>
      <c r="C34" s="2044" t="s">
        <v>1670</v>
      </c>
      <c r="D34" s="2043" t="s">
        <v>1671</v>
      </c>
      <c r="E34" s="2045" t="s">
        <v>1672</v>
      </c>
      <c r="F34" s="2046"/>
      <c r="G34" s="1919"/>
      <c r="H34" s="2042" t="s">
        <v>1668</v>
      </c>
      <c r="I34" s="2043" t="s">
        <v>1669</v>
      </c>
      <c r="J34" s="2044" t="s">
        <v>1670</v>
      </c>
      <c r="K34" s="2043" t="s">
        <v>1671</v>
      </c>
      <c r="L34" s="2045" t="s">
        <v>1672</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1739</v>
      </c>
      <c r="B35" s="1915" t="s">
        <v>1740</v>
      </c>
      <c r="C35" s="2874">
        <f ca="1">SUM(C36:C41)</f>
        <v>0</v>
      </c>
      <c r="D35" s="2875" t="s">
        <v>1741</v>
      </c>
      <c r="E35" s="2876"/>
      <c r="F35" s="2877"/>
      <c r="G35" s="826"/>
      <c r="H35" s="2878" t="s">
        <v>1739</v>
      </c>
      <c r="I35" s="2879" t="s">
        <v>1742</v>
      </c>
      <c r="J35" s="2880">
        <f ca="1">C51</f>
        <v>0</v>
      </c>
      <c r="K35" s="2881" t="s">
        <v>1743</v>
      </c>
      <c r="L35" s="2882"/>
      <c r="M35" s="2883"/>
    </row>
    <row r="36" spans="1:37" ht="18" customHeight="1">
      <c r="A36" s="1941" t="s">
        <v>1040</v>
      </c>
      <c r="B36" s="2053" t="s">
        <v>1744</v>
      </c>
      <c r="C36" s="1038">
        <f ca="1">ROUND(INDIRECT("'数据-取费表'!l"&amp;$G$1)*F32+'数据-取费表'!L14*INDIRECT("'数据-取费表'!S"&amp;$G$1),0)</f>
        <v>0</v>
      </c>
      <c r="D36" s="2054" t="s">
        <v>1745</v>
      </c>
      <c r="E36" s="2054"/>
      <c r="F36" s="2055"/>
      <c r="G36" s="826"/>
      <c r="H36" s="2056" t="s">
        <v>1016</v>
      </c>
      <c r="I36" s="2057" t="s">
        <v>1476</v>
      </c>
      <c r="J36" s="747">
        <f ca="1">ROUND(J35*(1-M36),0)</f>
        <v>0</v>
      </c>
      <c r="K36" s="1937" t="s">
        <v>1746</v>
      </c>
      <c r="L36" s="1929" t="s">
        <v>1747</v>
      </c>
      <c r="M36" s="1942">
        <f ca="1">INDIRECT("'数据-取费表'!ad"&amp;$G$1)</f>
        <v>0</v>
      </c>
    </row>
    <row r="37" spans="1:37" ht="18" customHeight="1">
      <c r="A37" s="1941" t="s">
        <v>1044</v>
      </c>
      <c r="B37" s="2053" t="s">
        <v>1748</v>
      </c>
      <c r="C37" s="2049">
        <f ca="1">ROUND(C36*F37,0)</f>
        <v>0</v>
      </c>
      <c r="D37" s="1937" t="s">
        <v>1749</v>
      </c>
      <c r="E37" s="1937" t="s">
        <v>1706</v>
      </c>
      <c r="F37" s="1979">
        <f>'数据-取费表'!B33</f>
        <v>0.03</v>
      </c>
      <c r="G37" s="826"/>
      <c r="H37" s="2058" t="s">
        <v>1594</v>
      </c>
      <c r="I37" s="2884" t="s">
        <v>1750</v>
      </c>
      <c r="J37" s="1910">
        <f ca="1">J35-J36</f>
        <v>0</v>
      </c>
      <c r="K37" s="2060" t="s">
        <v>1751</v>
      </c>
      <c r="L37" s="2061"/>
      <c r="M37" s="2062"/>
    </row>
    <row r="38" spans="1:37" ht="18" customHeight="1">
      <c r="A38" s="1941" t="s">
        <v>1047</v>
      </c>
      <c r="B38" s="2053" t="s">
        <v>1752</v>
      </c>
      <c r="C38" s="2049">
        <f ca="1">ROUND(INDIRECT("'数据-取费表'!m"&amp;$G$1)*F38,0)</f>
        <v>0</v>
      </c>
      <c r="D38" s="1937" t="s">
        <v>1749</v>
      </c>
      <c r="E38" s="1937" t="s">
        <v>1706</v>
      </c>
      <c r="F38" s="1979">
        <f ca="1">IF(INDIRECT("'数据-取费表'!c"&amp;$G$1)="住宅",'数据-取费表'!B34,0)</f>
        <v>0</v>
      </c>
      <c r="G38" s="826"/>
    </row>
    <row r="39" spans="1:37" ht="18" customHeight="1">
      <c r="A39" s="1941" t="s">
        <v>1753</v>
      </c>
      <c r="B39" s="2053" t="s">
        <v>1754</v>
      </c>
      <c r="C39" s="2049">
        <f ca="1">ROUND(F39*(F32+INDIRECT("'数据-取费表'!S"&amp;$G$1)),0)</f>
        <v>0</v>
      </c>
      <c r="D39" s="1937" t="s">
        <v>1755</v>
      </c>
      <c r="E39" s="1937" t="s">
        <v>1756</v>
      </c>
      <c r="F39" s="2885">
        <f>'数据-取费表'!B35</f>
        <v>200</v>
      </c>
      <c r="G39" s="826"/>
    </row>
    <row r="40" spans="1:37" ht="18" customHeight="1">
      <c r="A40" s="1941" t="s">
        <v>1651</v>
      </c>
      <c r="B40" s="1977" t="s">
        <v>762</v>
      </c>
      <c r="C40" s="2049">
        <f ca="1">ROUND(C36*F40,0)</f>
        <v>0</v>
      </c>
      <c r="D40" s="1937" t="s">
        <v>1749</v>
      </c>
      <c r="E40" s="1937" t="s">
        <v>1706</v>
      </c>
      <c r="F40" s="1979">
        <f>'数据-取费表'!B36</f>
        <v>1.4999999999999999E-2</v>
      </c>
      <c r="G40" s="826"/>
      <c r="H40" s="662"/>
      <c r="I40" s="662"/>
      <c r="J40" s="662"/>
      <c r="K40" s="2063"/>
      <c r="L40" s="662"/>
      <c r="M40" s="662"/>
    </row>
    <row r="41" spans="1:37" ht="18" customHeight="1">
      <c r="A41" s="1941" t="s">
        <v>1651</v>
      </c>
      <c r="B41" s="1977" t="s">
        <v>764</v>
      </c>
      <c r="C41" s="2049">
        <f ca="1">ROUND(C36*F41,0)</f>
        <v>0</v>
      </c>
      <c r="D41" s="1937" t="s">
        <v>1749</v>
      </c>
      <c r="E41" s="1937" t="s">
        <v>1706</v>
      </c>
      <c r="F41" s="1979">
        <f>'数据-取费表'!B37</f>
        <v>0.02</v>
      </c>
      <c r="G41" s="826"/>
      <c r="H41" s="662"/>
      <c r="I41" s="662"/>
      <c r="J41" s="662"/>
      <c r="K41" s="2063"/>
      <c r="L41" s="662"/>
      <c r="M41" s="662"/>
    </row>
    <row r="42" spans="1:37" ht="18" customHeight="1">
      <c r="A42" s="2028" t="s">
        <v>1757</v>
      </c>
      <c r="B42" s="2013" t="s">
        <v>1758</v>
      </c>
      <c r="C42" s="1901">
        <f ca="1">ROUND(C35*F42,0)</f>
        <v>0</v>
      </c>
      <c r="D42" s="2064" t="s">
        <v>1759</v>
      </c>
      <c r="E42" s="2013" t="s">
        <v>1760</v>
      </c>
      <c r="F42" s="1942">
        <f>'数据-取费表'!B38</f>
        <v>0.02</v>
      </c>
      <c r="G42" s="826"/>
      <c r="H42" s="662"/>
      <c r="I42" s="662"/>
      <c r="J42" s="662"/>
      <c r="K42" s="2063"/>
      <c r="L42" s="662"/>
      <c r="M42" s="662"/>
    </row>
    <row r="43" spans="1:37" ht="18" customHeight="1">
      <c r="A43" s="2028" t="s">
        <v>1594</v>
      </c>
      <c r="B43" s="2013" t="s">
        <v>1761</v>
      </c>
      <c r="C43" s="2065" t="str">
        <f>F43&amp;"V建"</f>
        <v>0.03V建</v>
      </c>
      <c r="D43" s="2064" t="s">
        <v>1762</v>
      </c>
      <c r="E43" s="2013" t="s">
        <v>1763</v>
      </c>
      <c r="F43" s="1942">
        <f>'数据-取费表'!B39</f>
        <v>0.03</v>
      </c>
      <c r="G43" s="826"/>
      <c r="H43" s="662"/>
      <c r="I43" s="662"/>
      <c r="J43" s="662"/>
      <c r="K43" s="2063"/>
      <c r="L43" s="662"/>
      <c r="M43" s="662"/>
    </row>
    <row r="44" spans="1:37" ht="18" customHeight="1">
      <c r="A44" s="2028" t="s">
        <v>1764</v>
      </c>
      <c r="B44" s="2066" t="s">
        <v>1461</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1765</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1766</v>
      </c>
      <c r="F45" s="2190">
        <f>'数据-取费表'!B20</f>
        <v>2.5</v>
      </c>
      <c r="G45" s="826"/>
      <c r="H45" s="662"/>
      <c r="I45" s="662"/>
      <c r="J45" s="662"/>
      <c r="K45" s="2063"/>
      <c r="L45" s="662"/>
      <c r="M45" s="662"/>
    </row>
    <row r="46" spans="1:37" ht="18" customHeight="1">
      <c r="A46" s="1941" t="s">
        <v>1044</v>
      </c>
      <c r="B46" s="1937" t="s">
        <v>1767</v>
      </c>
      <c r="C46" s="2070">
        <f ca="1">ROUND(IF('数据-取费表'!B22&lt;=1,F43*F46*F45/2,F43*(POWER((1+F46),F45/2)-1)),4)</f>
        <v>1.1999999999999999E-3</v>
      </c>
      <c r="D46" s="2051" t="str">
        <f>IF(F45&lt;=1,"销售费用×利率×(建设周期÷2)","销售费用×((1+利率)^(建设周期÷2)-1)")</f>
        <v>销售费用×((1+利率)^(建设周期÷2)-1)</v>
      </c>
      <c r="E46" s="1937" t="s">
        <v>1768</v>
      </c>
      <c r="F46" s="2071">
        <f ca="1">'数据-取费表'!B41</f>
        <v>3.1899999999999998E-2</v>
      </c>
      <c r="G46" s="826"/>
      <c r="H46" s="662"/>
      <c r="I46" s="662"/>
      <c r="J46" s="662"/>
      <c r="K46" s="2063"/>
      <c r="L46" s="662"/>
      <c r="M46" s="662"/>
    </row>
    <row r="47" spans="1:37" ht="18" customHeight="1">
      <c r="A47" s="2028" t="s">
        <v>1769</v>
      </c>
      <c r="B47" s="2066" t="s">
        <v>1469</v>
      </c>
      <c r="C47" s="2067" t="str">
        <f ca="1">C48&amp;"+"&amp;C49&amp;"V建"</f>
        <v>0+0V建</v>
      </c>
      <c r="D47" s="2068" t="s">
        <v>1770</v>
      </c>
      <c r="E47" s="2069"/>
      <c r="F47" s="1988"/>
      <c r="G47" s="826"/>
      <c r="H47" s="662"/>
      <c r="I47" s="662"/>
      <c r="J47" s="662"/>
      <c r="K47" s="2063"/>
      <c r="L47" s="662"/>
      <c r="M47" s="662"/>
    </row>
    <row r="48" spans="1:37" ht="18" customHeight="1">
      <c r="A48" s="1941" t="s">
        <v>1040</v>
      </c>
      <c r="B48" s="1937" t="s">
        <v>1771</v>
      </c>
      <c r="C48" s="2049">
        <f ca="1">ROUND((C35+C42)*F48,0)</f>
        <v>0</v>
      </c>
      <c r="D48" s="2072" t="s">
        <v>1772</v>
      </c>
      <c r="E48" s="1937" t="s">
        <v>1773</v>
      </c>
      <c r="F48" s="1942">
        <f ca="1">INDIRECT("'数据-取费表'!q"&amp;$G$1)</f>
        <v>0</v>
      </c>
      <c r="G48" s="826"/>
      <c r="H48" s="662"/>
      <c r="I48" s="662"/>
      <c r="J48" s="662"/>
      <c r="K48" s="2063"/>
      <c r="L48" s="662"/>
      <c r="M48" s="662"/>
    </row>
    <row r="49" spans="1:37" ht="18" customHeight="1">
      <c r="A49" s="1941" t="s">
        <v>1044</v>
      </c>
      <c r="B49" s="1937" t="s">
        <v>1774</v>
      </c>
      <c r="C49" s="2070">
        <f ca="1">ROUND(F43*F48,4)</f>
        <v>0</v>
      </c>
      <c r="D49" s="2072" t="s">
        <v>1775</v>
      </c>
      <c r="E49" s="1937"/>
      <c r="F49" s="1979"/>
      <c r="G49" s="826"/>
      <c r="H49" s="662"/>
      <c r="I49" s="662"/>
      <c r="J49" s="662"/>
      <c r="K49" s="2063"/>
      <c r="L49" s="662"/>
      <c r="M49" s="662"/>
    </row>
    <row r="50" spans="1:37" s="366" customFormat="1" ht="18" customHeight="1">
      <c r="A50" s="2028" t="s">
        <v>1776</v>
      </c>
      <c r="B50" s="2013" t="s">
        <v>1777</v>
      </c>
      <c r="C50" s="1901">
        <f>ROUND(F50/(1+'数据-取费表'!C43),4)</f>
        <v>0</v>
      </c>
      <c r="D50" s="2074" t="s">
        <v>1778</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1779</v>
      </c>
      <c r="B51" s="2013" t="s">
        <v>1780</v>
      </c>
      <c r="C51" s="1901">
        <f ca="1">ROUND((C35+C42+C45+C48)/(1-F43-C46-C49-C50),0)</f>
        <v>0</v>
      </c>
      <c r="D51" s="2050" t="s">
        <v>1743</v>
      </c>
      <c r="E51" s="2013"/>
      <c r="F51" s="1942"/>
      <c r="K51" s="2840"/>
      <c r="Q51" s="2844"/>
    </row>
    <row r="52" spans="1:37" s="1919" customFormat="1" ht="18" customHeight="1">
      <c r="A52" s="2076" t="s">
        <v>1502</v>
      </c>
      <c r="B52" s="2066" t="s">
        <v>1476</v>
      </c>
      <c r="C52" s="1901">
        <f ca="1">ROUND(C51*(1-F52),0)</f>
        <v>0</v>
      </c>
      <c r="D52" s="2013" t="s">
        <v>1781</v>
      </c>
      <c r="E52" s="2013" t="s">
        <v>1782</v>
      </c>
      <c r="F52" s="1942">
        <f ca="1">INDIRECT("'数据-取费表'!y"&amp;$G$1)</f>
        <v>0</v>
      </c>
      <c r="K52" s="2840"/>
      <c r="Q52" s="2844"/>
    </row>
    <row r="53" spans="1:37" s="1919" customFormat="1" ht="18" customHeight="1">
      <c r="A53" s="2077" t="s">
        <v>1783</v>
      </c>
      <c r="B53" s="2078" t="s">
        <v>1784</v>
      </c>
      <c r="C53" s="1910">
        <f ca="1">C51-C52</f>
        <v>0</v>
      </c>
      <c r="D53" s="2060" t="s">
        <v>1751</v>
      </c>
      <c r="E53" s="2034"/>
      <c r="F53" s="2079"/>
      <c r="K53" s="2840"/>
      <c r="Q53" s="2844"/>
    </row>
    <row r="54" spans="1:37" s="826" customFormat="1" ht="18" customHeight="1">
      <c r="A54" s="2080"/>
      <c r="B54" s="2080"/>
      <c r="C54" s="2081"/>
      <c r="D54" s="2080"/>
      <c r="E54" s="2080"/>
      <c r="F54" s="2080"/>
      <c r="I54" s="2082" t="s">
        <v>1785</v>
      </c>
      <c r="J54" s="2083"/>
      <c r="O54" s="2084" t="s">
        <v>1786</v>
      </c>
      <c r="P54" s="2085"/>
      <c r="Q54" s="2888"/>
      <c r="R54" s="2085"/>
    </row>
    <row r="55" spans="1:37" s="826" customFormat="1">
      <c r="A55" s="2782" t="s">
        <v>1787</v>
      </c>
      <c r="C55" s="2889" t="e">
        <f ca="1">ROUND(IF(D2="含税",C83-C31,C80-C28)/10000,4)</f>
        <v>#DIV/0!</v>
      </c>
      <c r="D55" s="2088" t="str">
        <f>C2</f>
        <v>万元</v>
      </c>
      <c r="E55" s="2080"/>
      <c r="F55" s="2080"/>
      <c r="I55" s="2089" t="s">
        <v>1788</v>
      </c>
      <c r="J55" s="2090"/>
      <c r="K55" s="2091"/>
      <c r="L55" s="2092" t="e">
        <f ca="1">IF(M56="住宅",0,IF(L57&gt;J60,L69,J69))</f>
        <v>#DIV/0!</v>
      </c>
      <c r="O55" s="2093" t="s">
        <v>952</v>
      </c>
      <c r="P55" s="2094" t="s">
        <v>1789</v>
      </c>
      <c r="Q55" s="2890" t="s">
        <v>1790</v>
      </c>
      <c r="R55" s="2095" t="s">
        <v>1791</v>
      </c>
    </row>
    <row r="56" spans="1:37" s="826" customFormat="1">
      <c r="A56" s="2096" t="s">
        <v>1668</v>
      </c>
      <c r="B56" s="2097" t="s">
        <v>1669</v>
      </c>
      <c r="C56" s="2044" t="s">
        <v>1670</v>
      </c>
      <c r="D56" s="2097" t="s">
        <v>1671</v>
      </c>
      <c r="E56" s="2098" t="s">
        <v>1672</v>
      </c>
      <c r="F56" s="2891"/>
      <c r="G56" s="2100"/>
      <c r="I56" s="2101" t="s">
        <v>1792</v>
      </c>
      <c r="J56" s="2102"/>
      <c r="K56" s="2103" t="s">
        <v>1793</v>
      </c>
      <c r="L56" s="2104">
        <f ca="1">INDIRECT("'数据-取费表'!d"&amp;$G$1)</f>
        <v>0</v>
      </c>
      <c r="M56" s="2105" t="str">
        <f>IF(ISNUMBER(FIND("住宅",C1)),"住宅","非住宅")</f>
        <v>非住宅</v>
      </c>
      <c r="O56" s="2106" t="s">
        <v>1438</v>
      </c>
      <c r="P56" s="2153" t="s">
        <v>1794</v>
      </c>
      <c r="Q56" s="2177" t="e">
        <f ca="1">C28+J31</f>
        <v>#DIV/0!</v>
      </c>
      <c r="R56" s="2109" t="s">
        <v>1795</v>
      </c>
    </row>
    <row r="57" spans="1:37" s="826" customFormat="1" ht="39.6">
      <c r="A57" s="2803" t="s">
        <v>1415</v>
      </c>
      <c r="B57" s="2010" t="s">
        <v>1675</v>
      </c>
      <c r="C57" s="2111">
        <f ca="1">C58+C62+C64</f>
        <v>0</v>
      </c>
      <c r="D57" s="1923" t="s">
        <v>1674</v>
      </c>
      <c r="E57" s="2112"/>
      <c r="F57" s="2892"/>
      <c r="G57" s="2100"/>
      <c r="H57" s="2114"/>
      <c r="I57" s="2115" t="s">
        <v>1796</v>
      </c>
      <c r="J57" s="2116"/>
      <c r="K57" s="2117" t="s">
        <v>1797</v>
      </c>
      <c r="L57" s="2118">
        <f ca="1">INDIRECT("'数据-取费表'!f"&amp;$G$1)</f>
        <v>0</v>
      </c>
      <c r="O57" s="2106" t="s">
        <v>1442</v>
      </c>
      <c r="P57" s="2107" t="s">
        <v>1798</v>
      </c>
      <c r="Q57" s="2177" t="e">
        <f ca="1">J69</f>
        <v>#DIV/0!</v>
      </c>
      <c r="R57" s="2109" t="s">
        <v>1799</v>
      </c>
    </row>
    <row r="58" spans="1:37" s="826" customFormat="1" ht="15" customHeight="1">
      <c r="A58" s="2119" t="s">
        <v>1010</v>
      </c>
      <c r="B58" s="1927" t="s">
        <v>1676</v>
      </c>
      <c r="C58" s="2893">
        <f ca="1">C59-C61</f>
        <v>0</v>
      </c>
      <c r="D58" s="1929" t="s">
        <v>1677</v>
      </c>
      <c r="E58" s="2121" t="s">
        <v>1800</v>
      </c>
      <c r="F58" s="2894"/>
      <c r="H58" s="2114"/>
      <c r="I58" s="2115" t="s">
        <v>1801</v>
      </c>
      <c r="J58" s="2123"/>
      <c r="K58" s="2117" t="s">
        <v>1802</v>
      </c>
      <c r="L58" s="2124"/>
      <c r="O58" s="2125" t="s">
        <v>1803</v>
      </c>
      <c r="P58" s="2895" t="s">
        <v>1804</v>
      </c>
      <c r="Q58" s="2147">
        <f ca="1">C51</f>
        <v>0</v>
      </c>
      <c r="R58" s="2128" t="s">
        <v>1805</v>
      </c>
    </row>
    <row r="59" spans="1:37" s="826" customFormat="1" ht="15" customHeight="1">
      <c r="A59" s="2129" t="s">
        <v>1040</v>
      </c>
      <c r="B59" s="4582" t="s">
        <v>1679</v>
      </c>
      <c r="C59" s="2216">
        <f ca="1">ROUND(F58*F60*F59,0)</f>
        <v>0</v>
      </c>
      <c r="D59" s="4585" t="s">
        <v>1680</v>
      </c>
      <c r="E59" s="2131" t="s">
        <v>1681</v>
      </c>
      <c r="F59" s="2132">
        <f ca="1">F7</f>
        <v>0</v>
      </c>
      <c r="H59" s="2114"/>
      <c r="I59" s="2115" t="s">
        <v>1806</v>
      </c>
      <c r="J59" s="2896">
        <f>SUMPRODUCT((I72:I74=J56)*(J71:L71=J57)*(J72:L74))</f>
        <v>0</v>
      </c>
      <c r="K59" s="2117" t="s">
        <v>1807</v>
      </c>
      <c r="L59" s="2124"/>
      <c r="M59" s="2134"/>
      <c r="O59" s="2125" t="s">
        <v>1808</v>
      </c>
      <c r="P59" s="2126" t="s">
        <v>1809</v>
      </c>
      <c r="Q59" s="2135" t="e">
        <f ca="1">J67</f>
        <v>#DIV/0!</v>
      </c>
      <c r="R59" s="2128"/>
    </row>
    <row r="60" spans="1:37" s="826" customFormat="1" ht="15" customHeight="1">
      <c r="A60" s="2897"/>
      <c r="B60" s="4583"/>
      <c r="C60" s="2898"/>
      <c r="D60" s="4585"/>
      <c r="E60" s="2137" t="str">
        <f ca="1">IF(F60=1,"年",IF(F60=12,"月","天"))</f>
        <v>天</v>
      </c>
      <c r="F60" s="1935">
        <f ca="1">F8</f>
        <v>0</v>
      </c>
      <c r="I60" s="2138" t="s">
        <v>1810</v>
      </c>
      <c r="J60" s="2118">
        <f>IF(J58="",J59,J58+J59-YEAR('数据-取费表'!B2))</f>
        <v>0</v>
      </c>
      <c r="K60" s="2139" t="s">
        <v>1811</v>
      </c>
      <c r="L60" s="2140">
        <f ca="1">ROUND(-PV(INDIRECT("'数据-取费表'!h"&amp;$G$1),J60,(C27-C52*C88),0),0)</f>
        <v>0</v>
      </c>
      <c r="M60" s="2141"/>
      <c r="O60" s="2125" t="s">
        <v>1812</v>
      </c>
      <c r="P60" s="2126" t="s">
        <v>1813</v>
      </c>
      <c r="Q60" s="2135">
        <f>J61</f>
        <v>0</v>
      </c>
      <c r="R60" s="2128"/>
    </row>
    <row r="61" spans="1:37" s="826" customFormat="1" ht="15" customHeight="1">
      <c r="A61" s="2899" t="s">
        <v>1044</v>
      </c>
      <c r="B61" s="1939" t="s">
        <v>1682</v>
      </c>
      <c r="C61" s="2900">
        <f ca="1">ROUND(C59*F61,0)</f>
        <v>0</v>
      </c>
      <c r="D61" s="1929" t="s">
        <v>1683</v>
      </c>
      <c r="E61" s="2137" t="s">
        <v>1684</v>
      </c>
      <c r="F61" s="2144"/>
      <c r="I61" s="2145" t="s">
        <v>1814</v>
      </c>
      <c r="J61" s="2146"/>
      <c r="K61" s="2145" t="s">
        <v>1815</v>
      </c>
      <c r="L61" s="2901"/>
      <c r="O61" s="2125" t="s">
        <v>1816</v>
      </c>
      <c r="P61" s="2126" t="s">
        <v>1817</v>
      </c>
      <c r="Q61" s="2147">
        <f ca="1">J62</f>
        <v>-2.0000000000000018E-2</v>
      </c>
      <c r="R61" s="2128" t="s">
        <v>1818</v>
      </c>
    </row>
    <row r="62" spans="1:37" s="826" customFormat="1" ht="36">
      <c r="A62" s="2148" t="s">
        <v>1016</v>
      </c>
      <c r="B62" s="2149" t="s">
        <v>1685</v>
      </c>
      <c r="C62" s="1901">
        <f ca="1">ROUND(IF(F62="押一",C58/12*F11,IF(F62="押二",C58/12*2*F11,IF(F62="押三",C58/12*3*F11,C63*F11))),0)</f>
        <v>0</v>
      </c>
      <c r="D62" s="1946" t="s">
        <v>1686</v>
      </c>
      <c r="E62" s="1943" t="s">
        <v>1687</v>
      </c>
      <c r="F62" s="1947"/>
      <c r="I62" s="2151" t="s">
        <v>1819</v>
      </c>
      <c r="J62" s="2152">
        <f ca="1">IF(M56="住宅",IF(D1="——",MAX(J60,L57),MAX(J60,L57-'数据-取费表'!B24)),IF(D1="——",MIN(J60,L57),MIN(J60,L57-'数据-取费表'!B24)))</f>
        <v>-2.0000000000000018E-2</v>
      </c>
      <c r="K62" s="4578" t="s">
        <v>1820</v>
      </c>
      <c r="L62" s="4579"/>
      <c r="O62" s="2106" t="s">
        <v>1821</v>
      </c>
      <c r="P62" s="2153" t="s">
        <v>1822</v>
      </c>
      <c r="Q62" s="2177" t="e">
        <f ca="1">ROUND((Q56+Q57)*(1+F31),0)</f>
        <v>#DIV/0!</v>
      </c>
      <c r="R62" s="2109" t="s">
        <v>1823</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1824</v>
      </c>
      <c r="P63" s="1902"/>
      <c r="Q63" s="2903"/>
      <c r="R63" s="1902"/>
    </row>
    <row r="64" spans="1:37" s="826" customFormat="1">
      <c r="A64" s="1956" t="s">
        <v>1068</v>
      </c>
      <c r="B64" s="1957" t="s">
        <v>1689</v>
      </c>
      <c r="C64" s="1958"/>
      <c r="D64" s="1946"/>
      <c r="E64" s="2155"/>
      <c r="F64" s="2156"/>
      <c r="I64" s="2163" t="s">
        <v>1825</v>
      </c>
      <c r="J64" s="2815" t="e">
        <f ca="1">ROUND(IF(J56="钢混",J66/J59,1-(1-2%)*(J59-J66)/J59),3)</f>
        <v>#DIV/0!</v>
      </c>
      <c r="K64" s="2165" t="s">
        <v>1826</v>
      </c>
      <c r="L64" s="2166"/>
      <c r="O64" s="2093" t="s">
        <v>952</v>
      </c>
      <c r="P64" s="2094" t="s">
        <v>1789</v>
      </c>
      <c r="Q64" s="2890" t="s">
        <v>1790</v>
      </c>
      <c r="R64" s="2095" t="s">
        <v>1791</v>
      </c>
    </row>
    <row r="65" spans="1:18" s="826" customFormat="1" ht="36">
      <c r="A65" s="2028" t="s">
        <v>1364</v>
      </c>
      <c r="B65" s="2167" t="s">
        <v>1690</v>
      </c>
      <c r="C65" s="1901">
        <f ca="1">ROUND(C66+C74+C76+C78,0)</f>
        <v>0</v>
      </c>
      <c r="D65" s="2167" t="s">
        <v>1827</v>
      </c>
      <c r="E65" s="2904"/>
      <c r="F65" s="2113"/>
      <c r="I65" s="2169" t="s">
        <v>1828</v>
      </c>
      <c r="J65" s="2817"/>
      <c r="K65" s="2115" t="s">
        <v>1829</v>
      </c>
      <c r="L65" s="2118">
        <f ca="1">IF(L57&lt;J60,"——",L57-J62)</f>
        <v>2.0000000000000018E-2</v>
      </c>
      <c r="O65" s="2106" t="s">
        <v>1438</v>
      </c>
      <c r="P65" s="2153" t="s">
        <v>1794</v>
      </c>
      <c r="Q65" s="2177" t="e">
        <f ca="1">C28+J31</f>
        <v>#DIV/0!</v>
      </c>
      <c r="R65" s="2109" t="s">
        <v>1795</v>
      </c>
    </row>
    <row r="66" spans="1:18" s="826" customFormat="1" ht="24">
      <c r="A66" s="2171" t="s">
        <v>1010</v>
      </c>
      <c r="B66" s="2172" t="s">
        <v>1693</v>
      </c>
      <c r="C66" s="2049">
        <f ca="1">ROUND(IF(AND(项目基本情况!B11="自然人",项目基本情况!B10="北京市",M56="住宅"),C58*F66,C67+C71+C72),0)</f>
        <v>0</v>
      </c>
      <c r="D66" s="2173" t="s">
        <v>1694</v>
      </c>
      <c r="E66" s="2173" t="str">
        <f>E14</f>
        <v/>
      </c>
      <c r="F66" s="1972" t="str">
        <f>IF(M56="非住宅","",IF(F58*F59*F60/12/(1+'数据-取费表'!F30)&gt;100000,4%,2.5%))</f>
        <v/>
      </c>
      <c r="I66" s="2174" t="s">
        <v>1830</v>
      </c>
      <c r="J66" s="2175">
        <f ca="1">IF(OR(M56="住宅",J60&lt;L57,J65="是"),"——",J60-L57)</f>
        <v>0</v>
      </c>
      <c r="K66" s="2115" t="s">
        <v>1831</v>
      </c>
      <c r="L66" s="2176">
        <f ca="1">IF(L57&lt;J60,"——",IF(L64="比较法",L58,IF(L64="基准地价",L59,L60)))</f>
        <v>0</v>
      </c>
      <c r="O66" s="2106" t="s">
        <v>1442</v>
      </c>
      <c r="P66" s="2107" t="s">
        <v>1832</v>
      </c>
      <c r="Q66" s="2177" t="e">
        <f ca="1">L69</f>
        <v>#DIV/0!</v>
      </c>
      <c r="R66" s="2109" t="s">
        <v>1833</v>
      </c>
    </row>
    <row r="67" spans="1:18" s="826" customFormat="1" ht="24">
      <c r="A67" s="1941" t="s">
        <v>1040</v>
      </c>
      <c r="B67" s="1930" t="s">
        <v>1696</v>
      </c>
      <c r="C67" s="2049">
        <f ca="1">C70</f>
        <v>0</v>
      </c>
      <c r="D67" s="1929" t="s">
        <v>1697</v>
      </c>
      <c r="E67" s="1974"/>
      <c r="F67" s="1975"/>
      <c r="I67" s="2174" t="s">
        <v>1834</v>
      </c>
      <c r="J67" s="2178" t="e">
        <f ca="1">IF(J64&lt;0.4,0.4,J64)</f>
        <v>#DIV/0!</v>
      </c>
      <c r="K67" s="2139" t="s">
        <v>1835</v>
      </c>
      <c r="L67" s="2176" t="e">
        <f ca="1">ROUND(POWER(1+L61,L56-L57)*(POWER(1+L61,L57)-1)/(POWER(1+L61,L56)-1),4)</f>
        <v>#DIV/0!</v>
      </c>
      <c r="O67" s="2125" t="s">
        <v>1803</v>
      </c>
      <c r="P67" s="2126" t="s">
        <v>1836</v>
      </c>
      <c r="Q67" s="2147">
        <f>IF(L64="比较法",L58,IF(L64="基准地价",L59,0))</f>
        <v>0</v>
      </c>
      <c r="R67" s="2128" t="s">
        <v>1805</v>
      </c>
    </row>
    <row r="68" spans="1:18" s="826" customFormat="1" ht="24">
      <c r="A68" s="604" t="s">
        <v>1435</v>
      </c>
      <c r="B68" s="1977" t="s">
        <v>973</v>
      </c>
      <c r="C68" s="2049">
        <f ca="1">ROUND(C58*F68,0)</f>
        <v>0</v>
      </c>
      <c r="D68" s="575" t="s">
        <v>1698</v>
      </c>
      <c r="E68" s="1978" t="s">
        <v>1699</v>
      </c>
      <c r="F68" s="1979">
        <f>F16</f>
        <v>0.09</v>
      </c>
      <c r="I68" s="2174" t="s">
        <v>1837</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1808</v>
      </c>
      <c r="P68" s="2126" t="s">
        <v>1838</v>
      </c>
      <c r="Q68" s="2135">
        <f>L61</f>
        <v>0</v>
      </c>
      <c r="R68" s="2128"/>
    </row>
    <row r="69" spans="1:18" s="826" customFormat="1" ht="15.6">
      <c r="A69" s="604" t="s">
        <v>1444</v>
      </c>
      <c r="B69" s="1977" t="s">
        <v>977</v>
      </c>
      <c r="C69" s="2049">
        <f ca="1">ROUND(C74*F68+((C76+C78)*F69),0)</f>
        <v>0</v>
      </c>
      <c r="D69" s="1982" t="s">
        <v>1701</v>
      </c>
      <c r="E69" s="1983"/>
      <c r="F69" s="1979">
        <f>F17</f>
        <v>0.06</v>
      </c>
      <c r="I69" s="2180" t="s">
        <v>1839</v>
      </c>
      <c r="J69" s="2181" t="e">
        <f ca="1">IF(OR(M56="住宅",J60&lt;L57,J65="是"),"0",ROUND(J68/(1+J61)^J62,0))</f>
        <v>#DIV/0!</v>
      </c>
      <c r="K69" s="2182" t="s">
        <v>1840</v>
      </c>
      <c r="L69" s="2181" t="e">
        <f ca="1">IF(OR(M56="住宅",L57&lt;J60),0,ROUND(L66*(L67/L68-1),0))</f>
        <v>#DIV/0!</v>
      </c>
      <c r="O69" s="2125" t="s">
        <v>1812</v>
      </c>
      <c r="P69" s="2126" t="s">
        <v>1841</v>
      </c>
      <c r="Q69" s="2183" t="e">
        <f ca="1">L67</f>
        <v>#DIV/0!</v>
      </c>
      <c r="R69" s="2128" t="s">
        <v>1842</v>
      </c>
    </row>
    <row r="70" spans="1:18" s="826" customFormat="1">
      <c r="A70" s="604" t="s">
        <v>1447</v>
      </c>
      <c r="B70" s="1977" t="s">
        <v>1702</v>
      </c>
      <c r="C70" s="2049">
        <f ca="1">ROUND((C68-C69)*F70,0)</f>
        <v>0</v>
      </c>
      <c r="D70" s="1973" t="s">
        <v>1703</v>
      </c>
      <c r="E70" s="1937" t="s">
        <v>1704</v>
      </c>
      <c r="F70" s="1979">
        <f>F18</f>
        <v>0.1</v>
      </c>
      <c r="I70" s="2085"/>
      <c r="J70" s="2085"/>
      <c r="K70" s="2085"/>
      <c r="L70" s="2085"/>
      <c r="O70" s="2125" t="s">
        <v>1816</v>
      </c>
      <c r="P70" s="2126" t="str">
        <f>K68</f>
        <v>建设期及建筑物耐用年限下的土地年期修正系数Kn</v>
      </c>
      <c r="Q70" s="2183" t="e">
        <f ca="1">L68</f>
        <v>#DIV/0!</v>
      </c>
      <c r="R70" s="2128" t="s">
        <v>1843</v>
      </c>
    </row>
    <row r="71" spans="1:18" s="826" customFormat="1">
      <c r="A71" s="1941" t="s">
        <v>1044</v>
      </c>
      <c r="B71" s="2172" t="s">
        <v>1705</v>
      </c>
      <c r="C71" s="2049">
        <f ca="1">IF(项目基本情况!B11="自然人","——",IF(D71="按不含税租金收入（有效毛租金收入）计税",ROUND(C58*F71/(1+'数据-取费表'!C43),0),IF(D71="按房产原值计税",ROUND(F74*F71*0.7,0),INDIRECT("'数据-取费表'!Aj"&amp;$G$1))))</f>
        <v>0</v>
      </c>
      <c r="D71" s="1985"/>
      <c r="E71" s="2185" t="s">
        <v>1706</v>
      </c>
      <c r="F71" s="1979">
        <f t="shared" ref="F71:F73" si="0">F19</f>
        <v>1.2E-2</v>
      </c>
      <c r="I71" s="2186" t="s">
        <v>1844</v>
      </c>
      <c r="J71" s="2187" t="s">
        <v>1845</v>
      </c>
      <c r="K71" s="2187" t="s">
        <v>1846</v>
      </c>
      <c r="L71" s="2187" t="s">
        <v>1847</v>
      </c>
      <c r="M71" s="748" t="s">
        <v>1848</v>
      </c>
      <c r="O71" s="2106" t="s">
        <v>1821</v>
      </c>
      <c r="P71" s="2153" t="s">
        <v>1822</v>
      </c>
      <c r="Q71" s="2177" t="e">
        <f ca="1">ROUND((Q65+Q66)*(1+F31),0)</f>
        <v>#DIV/0!</v>
      </c>
      <c r="R71" s="2109" t="s">
        <v>1823</v>
      </c>
    </row>
    <row r="72" spans="1:18" s="826" customFormat="1">
      <c r="A72" s="1933" t="s">
        <v>1047</v>
      </c>
      <c r="B72" s="2905" t="s">
        <v>1707</v>
      </c>
      <c r="C72" s="2861">
        <f ca="1">IF(项目基本情况!B11="自然人","——",ROUND(F72*F73,0))</f>
        <v>0</v>
      </c>
      <c r="D72" s="2189" t="s">
        <v>1708</v>
      </c>
      <c r="E72" s="2185" t="s">
        <v>1709</v>
      </c>
      <c r="F72" s="2190">
        <f t="shared" si="0"/>
        <v>1.5</v>
      </c>
      <c r="I72" s="2906" t="s">
        <v>1849</v>
      </c>
      <c r="J72" s="2191">
        <v>70</v>
      </c>
      <c r="K72" s="2191">
        <v>50</v>
      </c>
      <c r="L72" s="2191">
        <v>80</v>
      </c>
      <c r="M72" s="2192">
        <v>0.02</v>
      </c>
      <c r="O72" s="2160" t="s">
        <v>1850</v>
      </c>
      <c r="P72" s="1902"/>
      <c r="Q72" s="2903"/>
      <c r="R72" s="1902"/>
    </row>
    <row r="73" spans="1:18" s="826" customFormat="1">
      <c r="A73" s="1938"/>
      <c r="B73" s="2203"/>
      <c r="C73" s="2862"/>
      <c r="D73" s="2194"/>
      <c r="E73" s="2185" t="s">
        <v>1710</v>
      </c>
      <c r="F73" s="1931">
        <f t="shared" ca="1" si="0"/>
        <v>0</v>
      </c>
      <c r="I73" s="2906" t="s">
        <v>1851</v>
      </c>
      <c r="J73" s="2191">
        <v>50</v>
      </c>
      <c r="K73" s="2191">
        <v>35</v>
      </c>
      <c r="L73" s="2191">
        <v>60</v>
      </c>
      <c r="M73" s="748">
        <v>0</v>
      </c>
      <c r="O73" s="2093" t="s">
        <v>952</v>
      </c>
      <c r="P73" s="2094" t="s">
        <v>1789</v>
      </c>
      <c r="Q73" s="2890" t="s">
        <v>1790</v>
      </c>
      <c r="R73" s="2095" t="s">
        <v>1791</v>
      </c>
    </row>
    <row r="74" spans="1:18" s="826" customFormat="1">
      <c r="A74" s="2198" t="s">
        <v>1016</v>
      </c>
      <c r="B74" s="2199" t="s">
        <v>1711</v>
      </c>
      <c r="C74" s="2864">
        <f ca="1">ROUND(F74*F75,0)</f>
        <v>0</v>
      </c>
      <c r="D74" s="2200" t="s">
        <v>1712</v>
      </c>
      <c r="E74" s="2172" t="s">
        <v>1852</v>
      </c>
      <c r="F74" s="2140">
        <f ca="1">C51</f>
        <v>0</v>
      </c>
      <c r="I74" s="2906" t="s">
        <v>1853</v>
      </c>
      <c r="J74" s="2191">
        <v>40</v>
      </c>
      <c r="K74" s="2191">
        <v>30</v>
      </c>
      <c r="L74" s="2191">
        <v>50</v>
      </c>
      <c r="M74" s="2192">
        <v>0.02</v>
      </c>
      <c r="O74" s="2106" t="s">
        <v>1438</v>
      </c>
      <c r="P74" s="2107" t="s">
        <v>1854</v>
      </c>
      <c r="Q74" s="2108" t="e">
        <f ca="1">C28+J31</f>
        <v>#DIV/0!</v>
      </c>
      <c r="R74" s="2109" t="s">
        <v>1795</v>
      </c>
    </row>
    <row r="75" spans="1:18" s="826" customFormat="1" ht="15.6">
      <c r="A75" s="2207"/>
      <c r="B75" s="2203"/>
      <c r="C75" s="2866"/>
      <c r="D75" s="2204"/>
      <c r="E75" s="2185" t="s">
        <v>1706</v>
      </c>
      <c r="F75" s="1942">
        <f ca="1">F22</f>
        <v>0</v>
      </c>
      <c r="O75" s="2106" t="s">
        <v>1442</v>
      </c>
      <c r="P75" s="2107" t="s">
        <v>1832</v>
      </c>
      <c r="Q75" s="2907" t="e">
        <f ca="1">L69</f>
        <v>#DIV/0!</v>
      </c>
      <c r="R75" s="2109" t="s">
        <v>1833</v>
      </c>
    </row>
    <row r="76" spans="1:18" s="826" customFormat="1">
      <c r="A76" s="2198" t="s">
        <v>1068</v>
      </c>
      <c r="B76" s="2199" t="s">
        <v>1714</v>
      </c>
      <c r="C76" s="2864">
        <f ca="1">ROUND(F76*F77,0)</f>
        <v>0</v>
      </c>
      <c r="D76" s="2200" t="s">
        <v>1715</v>
      </c>
      <c r="E76" s="2172" t="s">
        <v>1784</v>
      </c>
      <c r="F76" s="2205">
        <f ca="1">C53</f>
        <v>0</v>
      </c>
      <c r="O76" s="2206"/>
      <c r="P76" s="2126"/>
      <c r="Q76" s="2183"/>
      <c r="R76" s="2128"/>
    </row>
    <row r="77" spans="1:18" s="826" customFormat="1" ht="16.8">
      <c r="A77" s="2207"/>
      <c r="B77" s="2203"/>
      <c r="C77" s="2866"/>
      <c r="D77" s="2204"/>
      <c r="E77" s="2185" t="s">
        <v>1706</v>
      </c>
      <c r="F77" s="1942">
        <f ca="1">F24</f>
        <v>0</v>
      </c>
      <c r="O77" s="2125" t="s">
        <v>1803</v>
      </c>
      <c r="P77" s="2126" t="s">
        <v>1836</v>
      </c>
      <c r="Q77" s="2127">
        <f ca="1">L60</f>
        <v>0</v>
      </c>
      <c r="R77" s="2128" t="s">
        <v>1855</v>
      </c>
    </row>
    <row r="78" spans="1:18" s="1919" customFormat="1">
      <c r="A78" s="2171" t="s">
        <v>1073</v>
      </c>
      <c r="B78" s="2185" t="s">
        <v>1718</v>
      </c>
      <c r="C78" s="2049">
        <f ca="1">ROUND(C57*F78,0)</f>
        <v>0</v>
      </c>
      <c r="D78" s="2208" t="s">
        <v>1719</v>
      </c>
      <c r="E78" s="2185" t="s">
        <v>1706</v>
      </c>
      <c r="F78" s="1942">
        <f ca="1">F26</f>
        <v>0</v>
      </c>
      <c r="G78" s="826"/>
      <c r="H78" s="826"/>
      <c r="O78" s="2125"/>
      <c r="P78" s="2126"/>
      <c r="Q78" s="2127"/>
      <c r="R78" s="2128"/>
    </row>
    <row r="79" spans="1:18" s="1919" customFormat="1" ht="24">
      <c r="A79" s="2209" t="s">
        <v>1478</v>
      </c>
      <c r="B79" s="2210" t="s">
        <v>1720</v>
      </c>
      <c r="C79" s="1901">
        <f ca="1">C57-C65</f>
        <v>0</v>
      </c>
      <c r="D79" s="2210" t="s">
        <v>1721</v>
      </c>
      <c r="E79" s="2211"/>
      <c r="F79" s="2212"/>
      <c r="O79" s="2125" t="s">
        <v>1808</v>
      </c>
      <c r="P79" s="2213" t="s">
        <v>1856</v>
      </c>
      <c r="Q79" s="2127">
        <f ca="1">ROUND(Q80-Q81*Q82,0)</f>
        <v>0</v>
      </c>
      <c r="R79" s="2128" t="s">
        <v>1857</v>
      </c>
    </row>
    <row r="80" spans="1:18" s="1919" customFormat="1">
      <c r="A80" s="2214" t="s">
        <v>1722</v>
      </c>
      <c r="B80" s="2215" t="s">
        <v>1723</v>
      </c>
      <c r="C80" s="2216" t="e">
        <f ca="1">ROUND(C79*(1-((1+F82)/(1+F80))^F81)/(F80-F82),0)</f>
        <v>#DIV/0!</v>
      </c>
      <c r="D80" s="2217" t="s">
        <v>1858</v>
      </c>
      <c r="E80" s="2167" t="s">
        <v>1725</v>
      </c>
      <c r="F80" s="1942">
        <f ca="1">F28</f>
        <v>0</v>
      </c>
      <c r="O80" s="2125" t="s">
        <v>1859</v>
      </c>
      <c r="P80" s="2213" t="s">
        <v>1860</v>
      </c>
      <c r="Q80" s="2127">
        <f ca="1">C27</f>
        <v>0</v>
      </c>
      <c r="R80" s="2128" t="s">
        <v>1805</v>
      </c>
    </row>
    <row r="81" spans="1:18" s="1919" customFormat="1">
      <c r="A81" s="2218"/>
      <c r="B81" s="2219"/>
      <c r="C81" s="1922"/>
      <c r="D81" s="2220" t="s">
        <v>1861</v>
      </c>
      <c r="E81" s="2167" t="s">
        <v>1727</v>
      </c>
      <c r="F81" s="2019">
        <f ca="1">F29</f>
        <v>0</v>
      </c>
      <c r="O81" s="2125" t="s">
        <v>1862</v>
      </c>
      <c r="P81" s="2213" t="s">
        <v>1863</v>
      </c>
      <c r="Q81" s="2127">
        <f ca="1">C52</f>
        <v>0</v>
      </c>
      <c r="R81" s="2128" t="s">
        <v>1805</v>
      </c>
    </row>
    <row r="82" spans="1:18" s="1919" customFormat="1">
      <c r="A82" s="2908"/>
      <c r="B82" s="2909"/>
      <c r="C82" s="2909"/>
      <c r="D82" s="2223"/>
      <c r="E82" s="2167" t="s">
        <v>1728</v>
      </c>
      <c r="F82" s="2144"/>
      <c r="O82" s="2125" t="s">
        <v>1864</v>
      </c>
      <c r="P82" s="2213" t="s">
        <v>1865</v>
      </c>
      <c r="Q82" s="2135">
        <f ca="1">C88</f>
        <v>0</v>
      </c>
      <c r="R82" s="2128"/>
    </row>
    <row r="83" spans="1:18" s="1919" customFormat="1">
      <c r="A83" s="2224"/>
      <c r="B83" s="2225" t="s">
        <v>1866</v>
      </c>
      <c r="C83" s="1966" t="e">
        <f ca="1">ROUND(C80*(1+F31),0)</f>
        <v>#DIV/0!</v>
      </c>
      <c r="D83" s="2910" t="str">
        <f>D31</f>
        <v>其他类型公式—收益价值×（1+9%）</v>
      </c>
      <c r="E83" s="2227"/>
      <c r="F83" s="2228"/>
      <c r="O83" s="2125" t="s">
        <v>1812</v>
      </c>
      <c r="P83" s="2126" t="s">
        <v>1838</v>
      </c>
      <c r="Q83" s="2135">
        <f>L61</f>
        <v>0</v>
      </c>
      <c r="R83" s="2128"/>
    </row>
    <row r="84" spans="1:18" ht="15.6">
      <c r="A84" s="2229" t="s">
        <v>1729</v>
      </c>
      <c r="B84" s="2230" t="s">
        <v>1735</v>
      </c>
      <c r="C84" s="1910" t="e">
        <f ca="1">ROUND(C83/F84,0)</f>
        <v>#DIV/0!</v>
      </c>
      <c r="D84" s="2231" t="s">
        <v>1736</v>
      </c>
      <c r="E84" s="2230" t="s">
        <v>1737</v>
      </c>
      <c r="F84" s="2035">
        <f ca="1">F32</f>
        <v>0</v>
      </c>
      <c r="G84" s="1919"/>
      <c r="H84" s="1919"/>
      <c r="O84" s="2125" t="s">
        <v>1816</v>
      </c>
      <c r="P84" s="2126" t="s">
        <v>1841</v>
      </c>
      <c r="Q84" s="2183" t="e">
        <f ca="1">L67</f>
        <v>#DIV/0!</v>
      </c>
      <c r="R84" s="2128" t="s">
        <v>1842</v>
      </c>
    </row>
    <row r="85" spans="1:18">
      <c r="A85" s="826"/>
      <c r="B85" s="2083"/>
      <c r="C85" s="2083"/>
      <c r="D85" s="826"/>
      <c r="E85" s="826"/>
      <c r="F85" s="826"/>
      <c r="O85" s="2125" t="s">
        <v>1867</v>
      </c>
      <c r="P85" s="2126" t="str">
        <f>K68</f>
        <v>建设期及建筑物耐用年限下的土地年期修正系数Kn</v>
      </c>
      <c r="Q85" s="2183" t="e">
        <f ca="1">L68</f>
        <v>#DIV/0!</v>
      </c>
      <c r="R85" s="2128" t="s">
        <v>1843</v>
      </c>
    </row>
    <row r="86" spans="1:18">
      <c r="A86" s="826"/>
      <c r="B86" s="450" t="s">
        <v>1868</v>
      </c>
      <c r="C86" s="2233"/>
      <c r="D86" s="826"/>
      <c r="E86" s="826"/>
      <c r="F86" s="826"/>
      <c r="K86" s="2075"/>
      <c r="L86" s="826"/>
      <c r="O86" s="2106" t="s">
        <v>1821</v>
      </c>
      <c r="P86" s="2153" t="s">
        <v>1822</v>
      </c>
      <c r="Q86" s="2108" t="e">
        <f ca="1">ROUND((Q74+Q75)*(1+F31),0)</f>
        <v>#DIV/0!</v>
      </c>
      <c r="R86" s="2109" t="s">
        <v>1823</v>
      </c>
    </row>
    <row r="87" spans="1:18">
      <c r="A87" s="826"/>
      <c r="B87" s="2234" t="s">
        <v>1869</v>
      </c>
      <c r="C87" s="2235">
        <f ca="1">ROUND(C53*C88,0)</f>
        <v>0</v>
      </c>
      <c r="D87" s="826"/>
      <c r="E87" s="826"/>
      <c r="F87" s="826"/>
      <c r="I87" s="826"/>
      <c r="J87" s="826"/>
      <c r="K87" s="2075"/>
      <c r="L87" s="826"/>
    </row>
    <row r="88" spans="1:18">
      <c r="B88" s="780" t="s">
        <v>1870</v>
      </c>
      <c r="C88" s="2236">
        <f ca="1">INDIRECT("'数据-取费表'!j"&amp;$G$1)</f>
        <v>0</v>
      </c>
      <c r="I88" s="826"/>
      <c r="J88" s="826"/>
      <c r="K88" s="2075"/>
      <c r="L88" s="826"/>
    </row>
    <row r="89" spans="1:18">
      <c r="B89" s="2237" t="s">
        <v>1871</v>
      </c>
      <c r="C89" s="2238"/>
    </row>
    <row r="90" spans="1:18">
      <c r="B90" s="448" t="s">
        <v>1872</v>
      </c>
      <c r="C90" s="2239"/>
    </row>
    <row r="91" spans="1:18">
      <c r="B91" s="2234" t="s">
        <v>1873</v>
      </c>
      <c r="C91" s="2240" t="e">
        <f ca="1">1-C92</f>
        <v>#DIV/0!</v>
      </c>
    </row>
    <row r="92" spans="1:18">
      <c r="B92" s="2234" t="s">
        <v>1874</v>
      </c>
      <c r="C92" s="2240" t="e">
        <f ca="1">ROUND(C87/C27,3)</f>
        <v>#DIV/0!</v>
      </c>
    </row>
    <row r="93" spans="1:18">
      <c r="B93" s="448" t="s">
        <v>1875</v>
      </c>
      <c r="C93" s="418"/>
    </row>
    <row r="94" spans="1:18">
      <c r="B94" s="450" t="s">
        <v>1511</v>
      </c>
      <c r="C94" s="2241" t="e">
        <f ca="1">1-C95</f>
        <v>#DIV/0!</v>
      </c>
    </row>
    <row r="95" spans="1:18">
      <c r="B95" s="450" t="s">
        <v>1512</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1661</v>
      </c>
      <c r="B1" s="1203"/>
      <c r="C1" s="2705"/>
      <c r="D1" s="1892" t="s">
        <v>124</v>
      </c>
      <c r="E1" s="1893" t="s">
        <v>1662</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1663</v>
      </c>
      <c r="B2" s="2707" t="e">
        <f ca="1">ROUND(D2/10000,4)</f>
        <v>#DIV/0!</v>
      </c>
      <c r="C2" s="1902" t="s">
        <v>1664</v>
      </c>
      <c r="D2" s="2227" t="e">
        <f ca="1">C40+J29+L46</f>
        <v>#DIV/0!</v>
      </c>
      <c r="E2" s="1904" t="s">
        <v>1876</v>
      </c>
      <c r="F2" s="1905"/>
      <c r="G2" s="1906"/>
      <c r="H2" s="1907"/>
      <c r="I2" s="1907"/>
      <c r="J2" s="1907"/>
      <c r="K2" s="1908"/>
      <c r="L2" s="1907"/>
      <c r="M2" s="1907"/>
    </row>
    <row r="3" spans="1:37" ht="18" customHeight="1">
      <c r="A3" s="1909" t="s">
        <v>1665</v>
      </c>
      <c r="B3" s="2708">
        <f ca="1">IF(ISERROR(D2/F43),0,ROUND(D2/F43,0))</f>
        <v>0</v>
      </c>
      <c r="C3" s="1902" t="s">
        <v>1666</v>
      </c>
      <c r="D3" s="1902"/>
      <c r="E3" s="1904"/>
      <c r="F3" s="1905"/>
      <c r="G3" s="1906"/>
      <c r="H3" s="1911" t="s">
        <v>1667</v>
      </c>
      <c r="I3" s="1912"/>
      <c r="J3" s="1912"/>
      <c r="K3" s="1913"/>
      <c r="L3" s="1912"/>
      <c r="M3" s="1912"/>
    </row>
    <row r="4" spans="1:37" ht="18" customHeight="1">
      <c r="A4" s="2709" t="s">
        <v>1877</v>
      </c>
      <c r="B4" s="2710" t="s">
        <v>1878</v>
      </c>
      <c r="C4" s="2710" t="s">
        <v>1879</v>
      </c>
      <c r="D4" s="2710" t="s">
        <v>1880</v>
      </c>
      <c r="E4" s="2711" t="s">
        <v>1881</v>
      </c>
      <c r="F4" s="2712"/>
      <c r="G4" s="826"/>
      <c r="H4" s="2709" t="s">
        <v>1877</v>
      </c>
      <c r="I4" s="2710" t="s">
        <v>1878</v>
      </c>
      <c r="J4" s="2710" t="s">
        <v>1879</v>
      </c>
      <c r="K4" s="2710" t="s">
        <v>1880</v>
      </c>
      <c r="L4" s="2711" t="s">
        <v>1881</v>
      </c>
      <c r="M4" s="2712"/>
    </row>
    <row r="5" spans="1:37" ht="18" customHeight="1">
      <c r="A5" s="1920">
        <v>1</v>
      </c>
      <c r="B5" s="2010" t="s">
        <v>1675</v>
      </c>
      <c r="C5" s="2713">
        <f ca="1">C6+C10+C12</f>
        <v>0</v>
      </c>
      <c r="D5" s="2714" t="s">
        <v>1882</v>
      </c>
      <c r="E5" s="2715"/>
      <c r="F5" s="2716"/>
      <c r="G5" s="826"/>
      <c r="H5" s="1920">
        <v>1</v>
      </c>
      <c r="I5" s="2010" t="s">
        <v>1675</v>
      </c>
      <c r="J5" s="2713">
        <f ca="1">J6+J10+J12</f>
        <v>0</v>
      </c>
      <c r="K5" s="2714" t="s">
        <v>1882</v>
      </c>
      <c r="L5" s="2715"/>
      <c r="M5" s="2716"/>
    </row>
    <row r="6" spans="1:37" ht="18" customHeight="1">
      <c r="A6" s="1926" t="s">
        <v>1010</v>
      </c>
      <c r="B6" s="4587" t="s">
        <v>1883</v>
      </c>
      <c r="C6" s="2717">
        <f ca="1">ROUND(F6*F8*F7*(1-F9),0)</f>
        <v>0</v>
      </c>
      <c r="D6" s="1995" t="s">
        <v>1884</v>
      </c>
      <c r="E6" s="1937" t="s">
        <v>1885</v>
      </c>
      <c r="F6" s="2718">
        <f ca="1">INDIRECT("'数据-取费表'!u"&amp;$G$1)</f>
        <v>0</v>
      </c>
      <c r="G6" s="826"/>
      <c r="H6" s="1926" t="s">
        <v>1010</v>
      </c>
      <c r="I6" s="4587" t="s">
        <v>1883</v>
      </c>
      <c r="J6" s="2719">
        <f ca="1">ROUND(M6*M8*M7*(1-M9),0)</f>
        <v>0</v>
      </c>
      <c r="K6" s="1986" t="s">
        <v>1886</v>
      </c>
      <c r="L6" s="1937" t="s">
        <v>1885</v>
      </c>
      <c r="M6" s="2718">
        <f ca="1">INDIRECT("'数据-取费表'!z"&amp;$G$1)</f>
        <v>0</v>
      </c>
    </row>
    <row r="7" spans="1:37" ht="18" customHeight="1">
      <c r="A7" s="2720"/>
      <c r="B7" s="4588"/>
      <c r="C7" s="2721"/>
      <c r="D7" s="2722"/>
      <c r="E7" s="1934" t="s">
        <v>1681</v>
      </c>
      <c r="F7" s="2718">
        <f ca="1">IF(INDIRECT("'数据-取费表'!ah"&amp;$G$1)="",INDIRECT("'数据-取费表'!k"&amp;$G$1),INDIRECT("'数据-取费表'!ah"&amp;$G$1))</f>
        <v>0</v>
      </c>
      <c r="G7" s="826"/>
      <c r="H7" s="2015"/>
      <c r="I7" s="4588"/>
      <c r="J7" s="2723"/>
      <c r="K7" s="2722"/>
      <c r="L7" s="1937" t="s">
        <v>1681</v>
      </c>
      <c r="M7" s="2718">
        <f ca="1">F7</f>
        <v>0</v>
      </c>
    </row>
    <row r="8" spans="1:37" ht="18" customHeight="1">
      <c r="A8" s="2015"/>
      <c r="B8" s="4588"/>
      <c r="C8" s="2723"/>
      <c r="D8" s="2722"/>
      <c r="E8" s="1937" t="s">
        <v>1887</v>
      </c>
      <c r="F8" s="2718">
        <f ca="1">INDIRECT("'数据-取费表'!ai"&amp;$G$1)</f>
        <v>0</v>
      </c>
      <c r="G8" s="826"/>
      <c r="H8" s="2015"/>
      <c r="I8" s="4588"/>
      <c r="J8" s="2723"/>
      <c r="K8" s="2722"/>
      <c r="L8" s="1937" t="s">
        <v>1887</v>
      </c>
      <c r="M8" s="2718">
        <f ca="1">INDIRECT("'数据-取费表'!ai"&amp;$G$1)</f>
        <v>0</v>
      </c>
    </row>
    <row r="9" spans="1:37" ht="18" customHeight="1">
      <c r="A9" s="2015"/>
      <c r="B9" s="4589"/>
      <c r="C9" s="2723"/>
      <c r="D9" s="2722"/>
      <c r="E9" s="1937" t="s">
        <v>1684</v>
      </c>
      <c r="F9" s="2724">
        <f ca="1">INDIRECT("'数据-取费表'!w"&amp;$G$1)</f>
        <v>0</v>
      </c>
      <c r="G9" s="826"/>
      <c r="H9" s="2015"/>
      <c r="I9" s="4589"/>
      <c r="J9" s="2723"/>
      <c r="K9" s="2722"/>
      <c r="L9" s="1943" t="s">
        <v>1684</v>
      </c>
      <c r="M9" s="2725">
        <f ca="1">INDIRECT("'数据-取费表'!ab"&amp;$G$1)</f>
        <v>0</v>
      </c>
    </row>
    <row r="10" spans="1:37" ht="18" customHeight="1">
      <c r="A10" s="1926" t="s">
        <v>1016</v>
      </c>
      <c r="B10" s="1945" t="s">
        <v>1685</v>
      </c>
      <c r="C10" s="2069">
        <f ca="1">ROUND(IF(F10="押一",C6/12*F11,IF(F10="押二",C6/12*2*F11,IF(F10="押三",C6/12*3*F11,C11*F11))),0)</f>
        <v>0</v>
      </c>
      <c r="D10" s="1946" t="s">
        <v>1686</v>
      </c>
      <c r="E10" s="1943" t="s">
        <v>1687</v>
      </c>
      <c r="F10" s="2726"/>
      <c r="G10" s="826"/>
      <c r="H10" s="1926" t="s">
        <v>1016</v>
      </c>
      <c r="I10" s="1945" t="s">
        <v>1685</v>
      </c>
      <c r="J10" s="2719">
        <f ca="1">ROUND(IF(M10="押一",J6/12*M11,IF(M10="押二",J6/12*2*M11,IF(M10="押三",J6/12*3*M11,J11*M11))),0)</f>
        <v>0</v>
      </c>
      <c r="K10" s="2727" t="s">
        <v>1888</v>
      </c>
      <c r="L10" s="1943" t="s">
        <v>1687</v>
      </c>
      <c r="M10" s="2726"/>
    </row>
    <row r="11" spans="1:37" ht="18" customHeight="1">
      <c r="A11" s="1949"/>
      <c r="B11" s="2728" t="s">
        <v>1889</v>
      </c>
      <c r="C11" s="2729"/>
      <c r="D11" s="2722"/>
      <c r="E11" s="1943" t="s">
        <v>1688</v>
      </c>
      <c r="F11" s="2725">
        <f ca="1">'数据-取费表'!B40</f>
        <v>1.4999999999999999E-2</v>
      </c>
      <c r="G11" s="826"/>
      <c r="H11" s="1953"/>
      <c r="I11" s="2728" t="s">
        <v>1890</v>
      </c>
      <c r="J11" s="2729"/>
      <c r="K11" s="1954"/>
      <c r="L11" s="1943" t="s">
        <v>1688</v>
      </c>
      <c r="M11" s="2730">
        <f ca="1">'数据-取费表'!B40</f>
        <v>1.4999999999999999E-2</v>
      </c>
    </row>
    <row r="12" spans="1:37" ht="18" customHeight="1">
      <c r="A12" s="1956" t="s">
        <v>1068</v>
      </c>
      <c r="B12" s="1957" t="s">
        <v>1689</v>
      </c>
      <c r="C12" s="2731"/>
      <c r="D12" s="1959"/>
      <c r="E12" s="1960"/>
      <c r="F12" s="1961"/>
      <c r="G12" s="826"/>
      <c r="H12" s="1956" t="s">
        <v>1068</v>
      </c>
      <c r="I12" s="1957" t="s">
        <v>1689</v>
      </c>
      <c r="J12" s="2731"/>
      <c r="K12" s="1962"/>
      <c r="L12" s="1960"/>
      <c r="M12" s="2732"/>
    </row>
    <row r="13" spans="1:37" ht="18" customHeight="1">
      <c r="A13" s="1964">
        <v>2</v>
      </c>
      <c r="B13" s="1965" t="s">
        <v>1750</v>
      </c>
      <c r="C13" s="2733">
        <f ca="1">ROUND(C29*F13,0)</f>
        <v>0</v>
      </c>
      <c r="D13" s="2734" t="s">
        <v>1891</v>
      </c>
      <c r="E13" s="2734" t="s">
        <v>1892</v>
      </c>
      <c r="F13" s="2735">
        <f ca="1">INDIRECT("'数据-取费表'!y"&amp;$G$1)</f>
        <v>0</v>
      </c>
      <c r="G13" s="826"/>
      <c r="H13" s="1964">
        <v>2</v>
      </c>
      <c r="I13" s="1965" t="s">
        <v>1750</v>
      </c>
      <c r="J13" s="2736">
        <f ca="1">ROUND(J14*J15,0)</f>
        <v>0</v>
      </c>
      <c r="K13" s="2737" t="s">
        <v>1891</v>
      </c>
      <c r="L13" s="2738"/>
      <c r="M13" s="2739"/>
    </row>
    <row r="14" spans="1:37" ht="18" customHeight="1">
      <c r="A14" s="678" t="s">
        <v>1040</v>
      </c>
      <c r="B14" s="1937" t="s">
        <v>1744</v>
      </c>
      <c r="C14" s="2740">
        <f ca="1">ROUND(INDIRECT("'数据-取费表'!l"&amp;$G$1)*F43+'数据-取费表'!L14*INDIRECT("'数据-取费表'!S"&amp;$G$1),0)</f>
        <v>0</v>
      </c>
      <c r="D14" s="1971" t="s">
        <v>1745</v>
      </c>
      <c r="E14" s="2741"/>
      <c r="F14" s="2742"/>
      <c r="G14" s="826"/>
      <c r="H14" s="678" t="s">
        <v>1010</v>
      </c>
      <c r="I14" s="1937" t="s">
        <v>1893</v>
      </c>
      <c r="J14" s="2436">
        <f ca="1">C29</f>
        <v>0</v>
      </c>
      <c r="K14" s="2743"/>
      <c r="L14" s="711"/>
      <c r="M14" s="712"/>
    </row>
    <row r="15" spans="1:37" s="1886" customFormat="1" ht="18" customHeight="1">
      <c r="A15" s="678" t="s">
        <v>1044</v>
      </c>
      <c r="B15" s="1937" t="s">
        <v>1748</v>
      </c>
      <c r="C15" s="2436">
        <f ca="1">ROUND(C14*F15,0)</f>
        <v>0</v>
      </c>
      <c r="D15" s="2744" t="s">
        <v>1749</v>
      </c>
      <c r="E15" s="2744" t="s">
        <v>1706</v>
      </c>
      <c r="F15" s="2745">
        <f>'数据-取费表'!B33</f>
        <v>0.03</v>
      </c>
      <c r="G15" s="1976"/>
      <c r="H15" s="2001" t="s">
        <v>1016</v>
      </c>
      <c r="I15" s="1960" t="s">
        <v>1892</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1047</v>
      </c>
      <c r="B16" s="1937" t="s">
        <v>1752</v>
      </c>
      <c r="C16" s="2436">
        <f ca="1">ROUND(INDIRECT("'数据-取费表'!l"&amp;$G$1)*F43*F16,0)</f>
        <v>0</v>
      </c>
      <c r="D16" s="1937" t="s">
        <v>1749</v>
      </c>
      <c r="E16" s="1937" t="s">
        <v>1706</v>
      </c>
      <c r="F16" s="2749">
        <f ca="1">IF(INDIRECT("'数据-取费表'!c"&amp;$G$1)="住宅",'数据-取费表'!B34,0)</f>
        <v>0</v>
      </c>
      <c r="G16" s="826"/>
      <c r="H16" s="1964" t="s">
        <v>1478</v>
      </c>
      <c r="I16" s="1965" t="s">
        <v>1690</v>
      </c>
      <c r="J16" s="2733">
        <f ca="1">ROUND(J17+J22+J23+J24,0)</f>
        <v>0</v>
      </c>
      <c r="K16" s="2737" t="s">
        <v>1894</v>
      </c>
      <c r="L16" s="2750"/>
      <c r="M16" s="2716"/>
    </row>
    <row r="17" spans="1:37" s="1886" customFormat="1" ht="18" customHeight="1">
      <c r="A17" s="678" t="s">
        <v>1753</v>
      </c>
      <c r="B17" s="1937" t="s">
        <v>1754</v>
      </c>
      <c r="C17" s="2436">
        <f ca="1">ROUND(F17*(F43+INDIRECT("'数据-取费表'!S"&amp;$G$1)),0)</f>
        <v>0</v>
      </c>
      <c r="D17" s="1937" t="s">
        <v>1755</v>
      </c>
      <c r="E17" s="1937" t="s">
        <v>1895</v>
      </c>
      <c r="F17" s="2751">
        <f>'数据-取费表'!B35</f>
        <v>200</v>
      </c>
      <c r="G17" s="1976"/>
      <c r="H17" s="678" t="s">
        <v>1010</v>
      </c>
      <c r="I17" s="1937" t="s">
        <v>1896</v>
      </c>
      <c r="J17" s="2752">
        <f ca="1">ROUND(IF(AND(项目基本情况!B11="自然人",项目基本情况!B10="北京市"),J6*M17/(1+'数据-取费表'!C43),J18+J19+J20),0)</f>
        <v>0</v>
      </c>
      <c r="K17" s="1971" t="s">
        <v>1897</v>
      </c>
      <c r="L17" s="2054" t="s">
        <v>1898</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1651</v>
      </c>
      <c r="B18" s="1937" t="s">
        <v>1899</v>
      </c>
      <c r="C18" s="2436">
        <f ca="1">ROUND(C14*F18,0)</f>
        <v>0</v>
      </c>
      <c r="D18" s="1937" t="s">
        <v>1749</v>
      </c>
      <c r="E18" s="1937" t="s">
        <v>1706</v>
      </c>
      <c r="F18" s="2749">
        <f>'数据-取费表'!B36</f>
        <v>1.4999999999999999E-2</v>
      </c>
      <c r="G18" s="1976"/>
      <c r="H18" s="678" t="s">
        <v>1040</v>
      </c>
      <c r="I18" s="1937" t="s">
        <v>1900</v>
      </c>
      <c r="J18" s="2436">
        <f ca="1">ROUND(J6*M18/(1+'数据-取费表'!C43),0)</f>
        <v>0</v>
      </c>
      <c r="K18" s="2054" t="s">
        <v>1901</v>
      </c>
      <c r="L18" s="1937" t="s">
        <v>1706</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1010</v>
      </c>
      <c r="B19" s="1937" t="s">
        <v>1902</v>
      </c>
      <c r="C19" s="2436">
        <f ca="1">SUM(C14:C18)</f>
        <v>0</v>
      </c>
      <c r="D19" s="2754" t="s">
        <v>1903</v>
      </c>
      <c r="E19" s="2438"/>
      <c r="F19" s="2751"/>
      <c r="G19" s="826"/>
      <c r="H19" s="678" t="s">
        <v>1044</v>
      </c>
      <c r="I19" s="1937" t="s">
        <v>1904</v>
      </c>
      <c r="J19" s="2436">
        <f ca="1">IF(K19="按租金收入计税",ROUND(J6*M19/(1+'数据-取费表'!C43),0),ROUND(C29*M19*0.7,0))</f>
        <v>0</v>
      </c>
      <c r="K19" s="1985" t="s">
        <v>1905</v>
      </c>
      <c r="L19" s="1937" t="s">
        <v>1706</v>
      </c>
      <c r="M19" s="2749">
        <f>IF(K19="按租金收入计税",'数据-取费表'!B52,'数据-取费表'!B51)</f>
        <v>0.12</v>
      </c>
    </row>
    <row r="20" spans="1:37" s="1886" customFormat="1" ht="18" customHeight="1">
      <c r="A20" s="678" t="s">
        <v>1016</v>
      </c>
      <c r="B20" s="1937" t="s">
        <v>1718</v>
      </c>
      <c r="C20" s="2436">
        <f ca="1">ROUND(C19*F20,0)</f>
        <v>0</v>
      </c>
      <c r="D20" s="2072" t="s">
        <v>1906</v>
      </c>
      <c r="E20" s="1937" t="s">
        <v>1706</v>
      </c>
      <c r="F20" s="2749">
        <f>'数据-取费表'!B38</f>
        <v>0.02</v>
      </c>
      <c r="G20" s="1976"/>
      <c r="H20" s="678" t="s">
        <v>1047</v>
      </c>
      <c r="I20" s="1995" t="s">
        <v>1907</v>
      </c>
      <c r="J20" s="2755">
        <f ca="1">ROUND(M20*M21,0)</f>
        <v>0</v>
      </c>
      <c r="K20" s="1987" t="s">
        <v>1708</v>
      </c>
      <c r="L20" s="1937" t="s">
        <v>1709</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1068</v>
      </c>
      <c r="B21" s="1937" t="s">
        <v>1908</v>
      </c>
      <c r="C21" s="2436" t="s">
        <v>124</v>
      </c>
      <c r="D21" s="2072" t="s">
        <v>1909</v>
      </c>
      <c r="E21" s="1937" t="s">
        <v>1910</v>
      </c>
      <c r="F21" s="2749">
        <f>'数据-取费表'!B39</f>
        <v>0.03</v>
      </c>
      <c r="G21" s="1976"/>
      <c r="H21" s="1989"/>
      <c r="I21" s="1993"/>
      <c r="J21" s="2757"/>
      <c r="K21" s="1992"/>
      <c r="L21" s="1937" t="s">
        <v>1710</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1073</v>
      </c>
      <c r="B22" s="1937" t="s">
        <v>1911</v>
      </c>
      <c r="C22" s="2436"/>
      <c r="D22" s="2754" t="str">
        <f>IF(F23&lt;=1,"单利计息。","复利计息。")&amp;"建造成本、管理费用、销售费用产生的利息。"</f>
        <v>复利计息。建造成本、管理费用、销售费用产生的利息。</v>
      </c>
      <c r="E22" s="2438"/>
      <c r="F22" s="2751"/>
      <c r="G22" s="826"/>
      <c r="H22" s="678" t="s">
        <v>1016</v>
      </c>
      <c r="I22" s="1937" t="s">
        <v>1711</v>
      </c>
      <c r="J22" s="2436">
        <f ca="1">ROUND(J14*M22,0)</f>
        <v>0</v>
      </c>
      <c r="K22" s="2054" t="s">
        <v>1712</v>
      </c>
      <c r="L22" s="1937" t="s">
        <v>1706</v>
      </c>
      <c r="M22" s="2758">
        <f ca="1">INDIRECT("'数据-取费表'!Ak"&amp;$G$1)</f>
        <v>0</v>
      </c>
    </row>
    <row r="23" spans="1:37" s="1886" customFormat="1" ht="18" customHeight="1">
      <c r="A23" s="678" t="s">
        <v>1040</v>
      </c>
      <c r="B23" s="1937" t="s">
        <v>1765</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1766</v>
      </c>
      <c r="F23" s="2756">
        <f>'数据-取费表'!B20</f>
        <v>2.5</v>
      </c>
      <c r="G23" s="1976"/>
      <c r="H23" s="678" t="s">
        <v>1068</v>
      </c>
      <c r="I23" s="1937" t="s">
        <v>1714</v>
      </c>
      <c r="J23" s="2436">
        <f ca="1">ROUND(J13*M23,0)</f>
        <v>0</v>
      </c>
      <c r="K23" s="2054" t="s">
        <v>1716</v>
      </c>
      <c r="L23" s="1937" t="s">
        <v>1706</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1044</v>
      </c>
      <c r="B24" s="1937" t="s">
        <v>1767</v>
      </c>
      <c r="C24" s="2436">
        <f ca="1">ROUND(IF('数据-取费表'!B22&lt;=1,F21*F24*F23/2,F21*(POWER((1+F24),F23/2)-1)),4)</f>
        <v>1.1999999999999999E-3</v>
      </c>
      <c r="D24" s="2051" t="str">
        <f>IF(F23&lt;=1,"销售费用×利率×(建设周期÷2)","销售费用×((1+利率)^(建设周期÷2)-1)")</f>
        <v>销售费用×((1+利率)^(建设周期÷2)-1)</v>
      </c>
      <c r="E24" s="1937" t="s">
        <v>1768</v>
      </c>
      <c r="F24" s="2760">
        <f ca="1">'数据-取费表'!B41</f>
        <v>3.1899999999999998E-2</v>
      </c>
      <c r="G24" s="1976"/>
      <c r="H24" s="2001" t="s">
        <v>1073</v>
      </c>
      <c r="I24" s="1960" t="s">
        <v>1718</v>
      </c>
      <c r="J24" s="2761">
        <f ca="1">ROUND(J5*M24,0)</f>
        <v>0</v>
      </c>
      <c r="K24" s="2003" t="s">
        <v>1912</v>
      </c>
      <c r="L24" s="1960" t="s">
        <v>1706</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1077</v>
      </c>
      <c r="B25" s="1937" t="s">
        <v>1913</v>
      </c>
      <c r="C25" s="2436"/>
      <c r="D25" s="2754" t="s">
        <v>1914</v>
      </c>
      <c r="E25" s="2438"/>
      <c r="F25" s="2751"/>
      <c r="G25" s="826"/>
      <c r="H25" s="1964" t="s">
        <v>1722</v>
      </c>
      <c r="I25" s="2004" t="s">
        <v>1720</v>
      </c>
      <c r="J25" s="2733">
        <f ca="1">J5-J16</f>
        <v>0</v>
      </c>
      <c r="K25" s="2762" t="s">
        <v>1915</v>
      </c>
      <c r="L25" s="2763"/>
      <c r="M25" s="2764"/>
    </row>
    <row r="26" spans="1:37" ht="18" customHeight="1">
      <c r="A26" s="678" t="s">
        <v>1040</v>
      </c>
      <c r="B26" s="1937" t="s">
        <v>1771</v>
      </c>
      <c r="C26" s="2436">
        <f ca="1">ROUND((C19+C20)*F26,0)</f>
        <v>0</v>
      </c>
      <c r="D26" s="2072" t="s">
        <v>1772</v>
      </c>
      <c r="E26" s="1943" t="s">
        <v>1773</v>
      </c>
      <c r="F26" s="2724">
        <f ca="1">INDIRECT("'数据-取费表'!q"&amp;$G$1)</f>
        <v>0</v>
      </c>
      <c r="G26" s="826"/>
      <c r="H26" s="1920" t="s">
        <v>1729</v>
      </c>
      <c r="I26" s="2010" t="s">
        <v>1916</v>
      </c>
      <c r="J26" s="2719">
        <f ca="1">IF(J5&lt;&gt;0,ROUND(J25*(1-((1+M28)/(1+M26))^M27)/(M26-M28),0),0)</f>
        <v>0</v>
      </c>
      <c r="K26" s="1987" t="s">
        <v>1917</v>
      </c>
      <c r="L26" s="1937" t="s">
        <v>1918</v>
      </c>
      <c r="M26" s="2724">
        <f ca="1">INDIRECT("'数据-取费表'!I"&amp;$G$1)</f>
        <v>0</v>
      </c>
    </row>
    <row r="27" spans="1:37" ht="18" customHeight="1">
      <c r="A27" s="678" t="s">
        <v>1044</v>
      </c>
      <c r="B27" s="1937" t="s">
        <v>1774</v>
      </c>
      <c r="C27" s="2436">
        <f ca="1">ROUND(F21*F26,4)</f>
        <v>0</v>
      </c>
      <c r="D27" s="2072" t="s">
        <v>1775</v>
      </c>
      <c r="E27" s="2744"/>
      <c r="F27" s="2745"/>
      <c r="G27" s="826"/>
      <c r="H27" s="2015"/>
      <c r="I27" s="2016"/>
      <c r="J27" s="2723"/>
      <c r="K27" s="2765" t="s">
        <v>1919</v>
      </c>
      <c r="L27" s="1937" t="s">
        <v>1920</v>
      </c>
      <c r="M27" s="2055">
        <f ca="1">INDIRECT("'数据-取费表'!ag"&amp;$G$1)</f>
        <v>0</v>
      </c>
    </row>
    <row r="28" spans="1:37" s="1886" customFormat="1" ht="18" customHeight="1">
      <c r="A28" s="678" t="s">
        <v>1079</v>
      </c>
      <c r="B28" s="1937" t="s">
        <v>1921</v>
      </c>
      <c r="C28" s="2436">
        <f>ROUND(F28/(1+'数据-取费表'!C43),4)</f>
        <v>0</v>
      </c>
      <c r="D28" s="2072" t="s">
        <v>1922</v>
      </c>
      <c r="E28" s="1937" t="s">
        <v>1706</v>
      </c>
      <c r="F28" s="2749">
        <f>'数据-取费表'!B42</f>
        <v>0</v>
      </c>
      <c r="G28" s="1976"/>
      <c r="H28" s="1949"/>
      <c r="I28" s="2021"/>
      <c r="J28" s="2733"/>
      <c r="K28" s="1992"/>
      <c r="L28" s="1937" t="s">
        <v>1923</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1924</v>
      </c>
      <c r="B29" s="1960" t="s">
        <v>1925</v>
      </c>
      <c r="C29" s="2761">
        <f ca="1">ROUND((C19+C20+C23+C26)/(1-F21-C24-C27-C28),0)</f>
        <v>0</v>
      </c>
      <c r="D29" s="2003"/>
      <c r="E29" s="1960"/>
      <c r="F29" s="2766"/>
      <c r="G29" s="1976"/>
      <c r="H29" s="685" t="s">
        <v>1734</v>
      </c>
      <c r="I29" s="2034" t="s">
        <v>1732</v>
      </c>
      <c r="J29" s="2767">
        <f ca="1">ROUND(J26/(1+F40)^F41,0)</f>
        <v>0</v>
      </c>
      <c r="K29" s="2061" t="s">
        <v>1926</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1478</v>
      </c>
      <c r="B30" s="1965" t="s">
        <v>1690</v>
      </c>
      <c r="C30" s="2733">
        <f ca="1">ROUND(C31+C36+C37+C38,0)</f>
        <v>0</v>
      </c>
      <c r="D30" s="2737" t="s">
        <v>1894</v>
      </c>
      <c r="E30" s="2750"/>
      <c r="F30" s="2716"/>
      <c r="G30" s="826"/>
      <c r="H30" s="2770"/>
      <c r="I30" s="2771"/>
      <c r="J30" s="2772"/>
      <c r="K30" s="662"/>
      <c r="L30" s="2773"/>
      <c r="M30" s="2774"/>
    </row>
    <row r="31" spans="1:37" ht="18" customHeight="1">
      <c r="A31" s="678" t="s">
        <v>1010</v>
      </c>
      <c r="B31" s="1937" t="s">
        <v>1896</v>
      </c>
      <c r="C31" s="2752">
        <f ca="1">ROUND(IF(AND(项目基本情况!B11="自然人",项目基本情况!B10="北京市"),C6*F31/(1+'数据-取费表'!C43),C32+C33+C34),0)</f>
        <v>0</v>
      </c>
      <c r="D31" s="1971" t="s">
        <v>1897</v>
      </c>
      <c r="E31" s="2054" t="s">
        <v>1898</v>
      </c>
      <c r="F31" s="2753" t="str">
        <f>IF(项目基本情况!B11="企业","——",IF(M47="住宅",IF(F6*F7*F8/12/(1+'数据-取费表'!F30)&gt;100000,4%,2.5%),IF(F6*F7*F8/12/(1+'数据-取费表'!F30)&gt;100000,12%,7%)))</f>
        <v>——</v>
      </c>
      <c r="G31" s="826"/>
      <c r="H31" s="2775" t="s">
        <v>1927</v>
      </c>
      <c r="I31" s="2771"/>
      <c r="J31" s="2772"/>
      <c r="K31" s="662"/>
      <c r="L31" s="2773"/>
      <c r="M31" s="2774"/>
    </row>
    <row r="32" spans="1:37" ht="18" customHeight="1">
      <c r="A32" s="678" t="s">
        <v>1040</v>
      </c>
      <c r="B32" s="1937" t="s">
        <v>1900</v>
      </c>
      <c r="C32" s="2436">
        <f ca="1">IF(项目基本情况!B11="自然人","——",ROUND(C6*F32/(1+'数据-取费表'!C43),0))</f>
        <v>0</v>
      </c>
      <c r="D32" s="2054" t="s">
        <v>1901</v>
      </c>
      <c r="E32" s="1937" t="s">
        <v>1706</v>
      </c>
      <c r="F32" s="2760">
        <f>'数据-取费表'!B42</f>
        <v>0</v>
      </c>
      <c r="G32" s="826"/>
      <c r="H32" s="2770"/>
      <c r="I32" s="2771"/>
      <c r="J32" s="2772"/>
      <c r="K32" s="662"/>
      <c r="L32" s="2773"/>
      <c r="M32" s="2774"/>
    </row>
    <row r="33" spans="1:18" ht="18" customHeight="1">
      <c r="A33" s="678" t="s">
        <v>1044</v>
      </c>
      <c r="B33" s="1937" t="s">
        <v>1904</v>
      </c>
      <c r="C33" s="2436">
        <f ca="1">IF(项目基本情况!B11="自然人","——",IF(D33="按租金收入计税",ROUND(C6*F33/(1+'数据-取费表'!C43),0),IF(D33="按房产原值计税",ROUND(C29*F33*0.7,0),INDIRECT("'数据-取费表'!Aj"&amp;$G$1))))</f>
        <v>0</v>
      </c>
      <c r="D33" s="1985" t="s">
        <v>1905</v>
      </c>
      <c r="E33" s="1937" t="s">
        <v>1706</v>
      </c>
      <c r="F33" s="2749">
        <f>IF(D33="按票据","——",IF(D33="按租金收入计税",'数据-取费表'!B52,'数据-取费表'!B51))</f>
        <v>0.12</v>
      </c>
      <c r="G33" s="826"/>
      <c r="H33" s="2776"/>
      <c r="I33" s="2771"/>
      <c r="J33" s="2772"/>
      <c r="K33" s="2777"/>
      <c r="L33" s="2776"/>
      <c r="M33" s="2776"/>
    </row>
    <row r="34" spans="1:18" ht="18" customHeight="1">
      <c r="A34" s="1926" t="s">
        <v>1047</v>
      </c>
      <c r="B34" s="1995" t="s">
        <v>1907</v>
      </c>
      <c r="C34" s="2755">
        <f ca="1">IF(项目基本情况!B11="自然人","——",ROUND(F34*F35,0))</f>
        <v>0</v>
      </c>
      <c r="D34" s="1987" t="s">
        <v>1708</v>
      </c>
      <c r="E34" s="1937" t="s">
        <v>1709</v>
      </c>
      <c r="F34" s="2756">
        <f>'数据-取费表'!B53</f>
        <v>1.5</v>
      </c>
      <c r="G34" s="826"/>
      <c r="H34" s="2770"/>
      <c r="I34" s="2771"/>
      <c r="J34" s="2772"/>
      <c r="K34" s="2778"/>
      <c r="L34" s="2779"/>
      <c r="M34" s="2779"/>
    </row>
    <row r="35" spans="1:18" ht="18" customHeight="1">
      <c r="A35" s="2780"/>
      <c r="B35" s="1990"/>
      <c r="C35" s="2757"/>
      <c r="D35" s="1992"/>
      <c r="E35" s="1937" t="s">
        <v>1710</v>
      </c>
      <c r="F35" s="2718">
        <f ca="1">INDIRECT("'数据-取费表'!r"&amp;$G$1)</f>
        <v>0</v>
      </c>
      <c r="G35" s="826"/>
      <c r="H35" s="2770"/>
      <c r="I35" s="2771"/>
      <c r="J35" s="2772"/>
      <c r="K35" s="2777"/>
      <c r="L35" s="2776"/>
      <c r="M35" s="2776"/>
    </row>
    <row r="36" spans="1:18" ht="18" customHeight="1">
      <c r="A36" s="2781" t="s">
        <v>1016</v>
      </c>
      <c r="B36" s="1937" t="s">
        <v>1711</v>
      </c>
      <c r="C36" s="2436">
        <f ca="1">ROUND(C29*F36,0)</f>
        <v>0</v>
      </c>
      <c r="D36" s="2054" t="s">
        <v>1928</v>
      </c>
      <c r="E36" s="1937" t="s">
        <v>1706</v>
      </c>
      <c r="F36" s="2758">
        <f ca="1">INDIRECT("'数据-取费表'!Ak"&amp;$G$1)</f>
        <v>0</v>
      </c>
      <c r="G36" s="826"/>
      <c r="H36" s="2776"/>
      <c r="I36" s="2771"/>
      <c r="J36" s="2772"/>
      <c r="K36" s="2063"/>
      <c r="L36" s="2776"/>
      <c r="M36" s="2776"/>
    </row>
    <row r="37" spans="1:18" ht="18" customHeight="1">
      <c r="A37" s="678" t="s">
        <v>1068</v>
      </c>
      <c r="B37" s="1937" t="s">
        <v>1714</v>
      </c>
      <c r="C37" s="2436">
        <f ca="1">ROUND(C13*F37,0)</f>
        <v>0</v>
      </c>
      <c r="D37" s="2054" t="s">
        <v>1716</v>
      </c>
      <c r="E37" s="1937" t="s">
        <v>1706</v>
      </c>
      <c r="F37" s="2759">
        <f ca="1">INDIRECT("'数据-取费表'!Al"&amp;$G$1)</f>
        <v>0</v>
      </c>
      <c r="G37" s="826"/>
      <c r="H37" s="2776"/>
      <c r="I37" s="2771"/>
      <c r="J37" s="2772"/>
      <c r="K37" s="2063"/>
      <c r="L37" s="2776"/>
      <c r="M37" s="2776"/>
    </row>
    <row r="38" spans="1:18" ht="18" customHeight="1">
      <c r="A38" s="2001" t="s">
        <v>1073</v>
      </c>
      <c r="B38" s="1960" t="s">
        <v>1718</v>
      </c>
      <c r="C38" s="2761">
        <f ca="1">ROUND(C5*F38,0)</f>
        <v>0</v>
      </c>
      <c r="D38" s="2003" t="s">
        <v>1912</v>
      </c>
      <c r="E38" s="1960" t="s">
        <v>1706</v>
      </c>
      <c r="F38" s="1961">
        <f ca="1">INDIRECT("'数据-取费表'!Am"&amp;$G$1)</f>
        <v>0</v>
      </c>
      <c r="G38" s="826"/>
      <c r="H38" s="2776"/>
      <c r="I38" s="2771"/>
      <c r="J38" s="2772"/>
      <c r="K38" s="2773"/>
      <c r="L38" s="2776"/>
      <c r="M38" s="2776"/>
    </row>
    <row r="39" spans="1:18" ht="24.6" customHeight="1">
      <c r="A39" s="1964" t="s">
        <v>1722</v>
      </c>
      <c r="B39" s="2004" t="s">
        <v>1720</v>
      </c>
      <c r="C39" s="2733">
        <f ca="1">C5-C30</f>
        <v>0</v>
      </c>
      <c r="D39" s="2762" t="s">
        <v>1915</v>
      </c>
      <c r="E39" s="2763"/>
      <c r="F39" s="2764"/>
      <c r="G39" s="826"/>
      <c r="H39" s="2776"/>
      <c r="I39" s="2771"/>
      <c r="J39" s="2772"/>
      <c r="K39" s="2773"/>
      <c r="L39" s="2776"/>
      <c r="M39" s="2776"/>
    </row>
    <row r="40" spans="1:18" ht="18" customHeight="1">
      <c r="A40" s="1920" t="s">
        <v>1729</v>
      </c>
      <c r="B40" s="2010" t="s">
        <v>1723</v>
      </c>
      <c r="C40" s="2719" t="e">
        <f ca="1">ROUND(C39*(1-((1+F42)/(1+F40))^F41)/(F40-F42),0)</f>
        <v>#DIV/0!</v>
      </c>
      <c r="D40" s="1987" t="s">
        <v>1917</v>
      </c>
      <c r="E40" s="1937" t="s">
        <v>1918</v>
      </c>
      <c r="F40" s="2724">
        <f ca="1">INDIRECT("'数据-取费表'!I"&amp;$G$1)</f>
        <v>0</v>
      </c>
      <c r="G40" s="826"/>
      <c r="H40" s="2085"/>
      <c r="I40" s="2771"/>
      <c r="J40" s="2772"/>
      <c r="K40" s="2773"/>
      <c r="L40" s="2085"/>
      <c r="M40" s="2085"/>
    </row>
    <row r="41" spans="1:18" ht="18" customHeight="1">
      <c r="A41" s="2015"/>
      <c r="B41" s="2016"/>
      <c r="C41" s="2723"/>
      <c r="D41" s="2765" t="s">
        <v>1919</v>
      </c>
      <c r="E41" s="1937" t="s">
        <v>1920</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1923</v>
      </c>
      <c r="F42" s="2724">
        <f ca="1">INDIRECT("'数据-取费表'!v"&amp;$G$1)</f>
        <v>0</v>
      </c>
      <c r="G42" s="826"/>
      <c r="H42" s="662"/>
      <c r="I42" s="2771"/>
      <c r="J42" s="2772"/>
      <c r="K42" s="2063"/>
      <c r="L42" s="662"/>
      <c r="M42" s="662"/>
    </row>
    <row r="43" spans="1:18" ht="18" customHeight="1">
      <c r="A43" s="685" t="s">
        <v>1734</v>
      </c>
      <c r="B43" s="2034" t="s">
        <v>1735</v>
      </c>
      <c r="C43" s="2767" t="e">
        <f ca="1">ROUND(C40/F43,0)</f>
        <v>#DIV/0!</v>
      </c>
      <c r="D43" s="2061" t="s">
        <v>1929</v>
      </c>
      <c r="E43" s="2768" t="s">
        <v>1930</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1787</v>
      </c>
      <c r="B45" s="2080"/>
      <c r="C45" s="2783" t="e">
        <f ca="1">ROUND((C68-C40)/10000,4)</f>
        <v>#DIV/0!</v>
      </c>
      <c r="D45" s="2784" t="s">
        <v>1931</v>
      </c>
      <c r="E45" s="2080"/>
      <c r="F45" s="2080"/>
      <c r="O45" s="2160" t="s">
        <v>1786</v>
      </c>
      <c r="P45" s="2085"/>
      <c r="Q45" s="2085"/>
      <c r="R45" s="2085"/>
    </row>
    <row r="46" spans="1:18" s="826" customFormat="1">
      <c r="A46" s="2086" t="s">
        <v>1932</v>
      </c>
      <c r="C46" s="2785" t="e">
        <f ca="1">ROUND(C45,0)</f>
        <v>#DIV/0!</v>
      </c>
      <c r="D46" s="2088" t="str">
        <f>C2</f>
        <v>万元</v>
      </c>
      <c r="I46" s="2089" t="s">
        <v>1788</v>
      </c>
      <c r="J46" s="2090"/>
      <c r="K46" s="2091"/>
      <c r="L46" s="2786" t="e">
        <f ca="1">IF(M47="住宅",0,IF(L48&gt;J51,L60,J60))</f>
        <v>#DIV/0!</v>
      </c>
      <c r="O46" s="2195" t="s">
        <v>1933</v>
      </c>
      <c r="P46" s="2196" t="s">
        <v>1934</v>
      </c>
      <c r="Q46" s="2197" t="s">
        <v>1935</v>
      </c>
      <c r="R46" s="2197" t="s">
        <v>1936</v>
      </c>
    </row>
    <row r="47" spans="1:18" s="826" customFormat="1">
      <c r="A47" s="2787" t="s">
        <v>1877</v>
      </c>
      <c r="B47" s="2788" t="s">
        <v>1878</v>
      </c>
      <c r="C47" s="2788" t="s">
        <v>1879</v>
      </c>
      <c r="D47" s="2788" t="s">
        <v>1880</v>
      </c>
      <c r="E47" s="2789" t="s">
        <v>1881</v>
      </c>
      <c r="F47" s="2099"/>
      <c r="G47" s="2100"/>
      <c r="I47" s="2101" t="s">
        <v>1792</v>
      </c>
      <c r="J47" s="2102"/>
      <c r="K47" s="2103" t="s">
        <v>1793</v>
      </c>
      <c r="L47" s="2790">
        <f ca="1">INDIRECT("'数据-取费表'!d"&amp;$G$1)</f>
        <v>0</v>
      </c>
      <c r="M47" s="2105" t="str">
        <f>IF(ISNUMBER(FIND("住宅",C1)),"住宅","非住宅")</f>
        <v>非住宅</v>
      </c>
      <c r="O47" s="2206" t="s">
        <v>1438</v>
      </c>
      <c r="P47" s="2126" t="s">
        <v>1937</v>
      </c>
      <c r="Q47" s="2128" t="e">
        <f ca="1">C40+J29</f>
        <v>#DIV/0!</v>
      </c>
      <c r="R47" s="2128" t="s">
        <v>1805</v>
      </c>
    </row>
    <row r="48" spans="1:18" s="826" customFormat="1" ht="39.6">
      <c r="A48" s="2791" t="s">
        <v>1415</v>
      </c>
      <c r="B48" s="2010" t="s">
        <v>1675</v>
      </c>
      <c r="C48" s="2437">
        <f ca="1">C49+C53+C55</f>
        <v>0</v>
      </c>
      <c r="D48" s="2792"/>
      <c r="E48" s="2793"/>
      <c r="F48" s="2113"/>
      <c r="G48" s="2100"/>
      <c r="H48" s="2114"/>
      <c r="I48" s="2115" t="s">
        <v>1796</v>
      </c>
      <c r="J48" s="2116"/>
      <c r="K48" s="2117" t="s">
        <v>1797</v>
      </c>
      <c r="L48" s="2794">
        <f ca="1">INDIRECT("'数据-取费表'!f"&amp;$G$1)</f>
        <v>0</v>
      </c>
      <c r="O48" s="2206" t="s">
        <v>1442</v>
      </c>
      <c r="P48" s="2126" t="s">
        <v>1938</v>
      </c>
      <c r="Q48" s="2128" t="e">
        <f ca="1">J60</f>
        <v>#DIV/0!</v>
      </c>
      <c r="R48" s="2128" t="s">
        <v>1939</v>
      </c>
    </row>
    <row r="49" spans="1:18" s="826" customFormat="1">
      <c r="A49" s="2795" t="s">
        <v>1739</v>
      </c>
      <c r="B49" s="2796" t="s">
        <v>1940</v>
      </c>
      <c r="C49" s="2797">
        <f ca="1">ROUND(F49*F51*F50*(1-F52),0)</f>
        <v>0</v>
      </c>
      <c r="D49" s="2798" t="s">
        <v>1941</v>
      </c>
      <c r="E49" s="2799" t="s">
        <v>1942</v>
      </c>
      <c r="F49" s="2800"/>
      <c r="H49" s="2114"/>
      <c r="I49" s="2115" t="s">
        <v>1801</v>
      </c>
      <c r="J49" s="2801"/>
      <c r="K49" s="2117" t="s">
        <v>1802</v>
      </c>
      <c r="L49" s="2802"/>
      <c r="O49" s="2125" t="s">
        <v>1803</v>
      </c>
      <c r="P49" s="2126" t="s">
        <v>1943</v>
      </c>
      <c r="Q49" s="2128">
        <f ca="1">C29</f>
        <v>0</v>
      </c>
      <c r="R49" s="2128" t="s">
        <v>1805</v>
      </c>
    </row>
    <row r="50" spans="1:18" s="826" customFormat="1">
      <c r="A50" s="2803"/>
      <c r="B50" s="2370"/>
      <c r="C50" s="2804"/>
      <c r="D50" s="2805"/>
      <c r="E50" s="2131" t="s">
        <v>1681</v>
      </c>
      <c r="F50" s="2806">
        <f ca="1">F7</f>
        <v>0</v>
      </c>
      <c r="H50" s="2114"/>
      <c r="I50" s="2115" t="s">
        <v>1806</v>
      </c>
      <c r="J50" s="2807">
        <f>SUMPRODUCT((I63:I65=J47)*(J62:L62=J48)*(J63:L65))</f>
        <v>0</v>
      </c>
      <c r="K50" s="2117" t="s">
        <v>1807</v>
      </c>
      <c r="L50" s="2802"/>
      <c r="M50" s="2134"/>
      <c r="O50" s="2125" t="s">
        <v>1808</v>
      </c>
      <c r="P50" s="2126" t="s">
        <v>1809</v>
      </c>
      <c r="Q50" s="2808" t="e">
        <f ca="1">J58</f>
        <v>#DIV/0!</v>
      </c>
      <c r="R50" s="2128"/>
    </row>
    <row r="51" spans="1:18" s="826" customFormat="1">
      <c r="A51" s="2110"/>
      <c r="B51" s="2370"/>
      <c r="C51" s="2804"/>
      <c r="D51" s="2805"/>
      <c r="E51" s="2137" t="s">
        <v>1887</v>
      </c>
      <c r="F51" s="2718">
        <f ca="1">F8</f>
        <v>0</v>
      </c>
      <c r="I51" s="2138" t="s">
        <v>1810</v>
      </c>
      <c r="J51" s="2794">
        <f>IF(J49="",J50,J49+J50-YEAR('数据-取费表'!B2))</f>
        <v>0</v>
      </c>
      <c r="K51" s="2139" t="s">
        <v>1811</v>
      </c>
      <c r="L51" s="2809">
        <f ca="1">ROUND(-PV(INDIRECT("'数据-取费表'!h"&amp;$G$1),J51,(C39-C13*C76),0),0)</f>
        <v>0</v>
      </c>
      <c r="M51" s="2141"/>
      <c r="O51" s="2125" t="s">
        <v>1812</v>
      </c>
      <c r="P51" s="2126" t="s">
        <v>1813</v>
      </c>
      <c r="Q51" s="2808">
        <f>J52</f>
        <v>0</v>
      </c>
      <c r="R51" s="2128"/>
    </row>
    <row r="52" spans="1:18" s="826" customFormat="1">
      <c r="A52" s="2110"/>
      <c r="B52" s="2370"/>
      <c r="C52" s="2804"/>
      <c r="D52" s="2805"/>
      <c r="E52" s="2137" t="s">
        <v>1684</v>
      </c>
      <c r="F52" s="2810"/>
      <c r="I52" s="2145" t="s">
        <v>1814</v>
      </c>
      <c r="J52" s="2811"/>
      <c r="K52" s="2145" t="s">
        <v>1815</v>
      </c>
      <c r="L52" s="2811"/>
      <c r="O52" s="2125" t="s">
        <v>1816</v>
      </c>
      <c r="P52" s="2126" t="s">
        <v>1817</v>
      </c>
      <c r="Q52" s="2128">
        <f ca="1">J53</f>
        <v>0</v>
      </c>
      <c r="R52" s="2128" t="s">
        <v>1818</v>
      </c>
    </row>
    <row r="53" spans="1:18" s="826" customFormat="1" ht="30.75" customHeight="1">
      <c r="A53" s="2812" t="s">
        <v>1757</v>
      </c>
      <c r="B53" s="2072" t="s">
        <v>1685</v>
      </c>
      <c r="C53" s="2069">
        <f ca="1">ROUND(IF(F53="押一",C49/12*F11,IF(F53="押二",C49/12*2*F11,IF(F53="押三",C49/12*3*F11,C54*F11))),0)</f>
        <v>0</v>
      </c>
      <c r="D53" s="1946" t="s">
        <v>1944</v>
      </c>
      <c r="E53" s="1943" t="s">
        <v>1687</v>
      </c>
      <c r="F53" s="2726"/>
      <c r="I53" s="2151" t="s">
        <v>1819</v>
      </c>
      <c r="J53" s="2813">
        <f ca="1">IF(M47="住宅",IF(D1="——",MAX(J51,L48),MAX(J51,L48-'数据-取费表'!B24)),IF(D1="——",MIN(J51,L48),MIN(J51,L48-'数据-取费表'!B24)))</f>
        <v>0</v>
      </c>
      <c r="K53" s="4578" t="s">
        <v>1820</v>
      </c>
      <c r="L53" s="4579"/>
      <c r="O53" s="2206" t="s">
        <v>1821</v>
      </c>
      <c r="P53" s="2126" t="s">
        <v>1945</v>
      </c>
      <c r="Q53" s="2128" t="e">
        <f ca="1">Q47+Q48</f>
        <v>#DIV/0!</v>
      </c>
      <c r="R53" s="2128" t="s">
        <v>1946</v>
      </c>
    </row>
    <row r="54" spans="1:18" s="826" customFormat="1">
      <c r="A54" s="2795"/>
      <c r="B54" s="2814" t="s">
        <v>1890</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1824</v>
      </c>
      <c r="P54" s="1902"/>
      <c r="Q54" s="1902"/>
      <c r="R54" s="1902"/>
    </row>
    <row r="55" spans="1:18" s="826" customFormat="1">
      <c r="A55" s="1956" t="s">
        <v>1068</v>
      </c>
      <c r="B55" s="1957" t="s">
        <v>1689</v>
      </c>
      <c r="C55" s="2731"/>
      <c r="D55" s="1946"/>
      <c r="E55" s="2155"/>
      <c r="F55" s="2156"/>
      <c r="I55" s="2163" t="s">
        <v>1825</v>
      </c>
      <c r="J55" s="2815" t="e">
        <f ca="1">ROUND(IF(J47="钢混",J57/J50,1-(1-2%)*(J50-J57)/J50),3)</f>
        <v>#DIV/0!</v>
      </c>
      <c r="K55" s="2165" t="s">
        <v>1826</v>
      </c>
      <c r="L55" s="2166"/>
      <c r="O55" s="2195" t="s">
        <v>1933</v>
      </c>
      <c r="P55" s="2196" t="s">
        <v>1934</v>
      </c>
      <c r="Q55" s="2197" t="s">
        <v>1935</v>
      </c>
      <c r="R55" s="2197" t="s">
        <v>1936</v>
      </c>
    </row>
    <row r="56" spans="1:18" s="826" customFormat="1" ht="36" customHeight="1">
      <c r="A56" s="2209">
        <v>2</v>
      </c>
      <c r="B56" s="2167" t="s">
        <v>1750</v>
      </c>
      <c r="C56" s="408">
        <f ca="1">C13</f>
        <v>0</v>
      </c>
      <c r="D56" s="575"/>
      <c r="E56" s="2816"/>
      <c r="F56" s="2156"/>
      <c r="I56" s="2169" t="s">
        <v>1828</v>
      </c>
      <c r="J56" s="2817"/>
      <c r="K56" s="2115" t="s">
        <v>1829</v>
      </c>
      <c r="L56" s="2794">
        <f ca="1">IF(L48&lt;J51,"——",L48-J51)</f>
        <v>0</v>
      </c>
      <c r="O56" s="2206" t="s">
        <v>1438</v>
      </c>
      <c r="P56" s="2126" t="s">
        <v>1937</v>
      </c>
      <c r="Q56" s="2128" t="e">
        <f ca="1">C40+J29</f>
        <v>#DIV/0!</v>
      </c>
      <c r="R56" s="2128" t="s">
        <v>1805</v>
      </c>
    </row>
    <row r="57" spans="1:18" s="826" customFormat="1" ht="24">
      <c r="A57" s="2818"/>
      <c r="B57" s="2185" t="s">
        <v>1925</v>
      </c>
      <c r="C57" s="418">
        <f ca="1">C29</f>
        <v>0</v>
      </c>
      <c r="D57" s="2819"/>
      <c r="E57" s="2820"/>
      <c r="F57" s="2821"/>
      <c r="I57" s="2174" t="s">
        <v>1830</v>
      </c>
      <c r="J57" s="2822">
        <f ca="1">IF(OR(M47="住宅",J51&lt;L48,J56="是"),"——",J51-L48)</f>
        <v>0</v>
      </c>
      <c r="K57" s="2115" t="s">
        <v>1947</v>
      </c>
      <c r="L57" s="2794">
        <f ca="1">IF(L48&lt;J51,"——",IF(L55="比较法",L49,IF(L55="基准地价",L50,L51)))</f>
        <v>0</v>
      </c>
      <c r="O57" s="2206" t="s">
        <v>1442</v>
      </c>
      <c r="P57" s="2126" t="s">
        <v>1948</v>
      </c>
      <c r="Q57" s="2128" t="e">
        <f ca="1">L60</f>
        <v>#DIV/0!</v>
      </c>
      <c r="R57" s="2128" t="s">
        <v>1949</v>
      </c>
    </row>
    <row r="58" spans="1:18" s="826" customFormat="1" ht="24">
      <c r="A58" s="2028" t="s">
        <v>1478</v>
      </c>
      <c r="B58" s="2167" t="s">
        <v>1690</v>
      </c>
      <c r="C58" s="2069">
        <f ca="1">ROUND(C59+C64+C65+C66,0)</f>
        <v>0</v>
      </c>
      <c r="D58" s="2823" t="s">
        <v>1894</v>
      </c>
      <c r="E58" s="2168"/>
      <c r="F58" s="2113"/>
      <c r="I58" s="2174" t="s">
        <v>1834</v>
      </c>
      <c r="J58" s="2824" t="e">
        <f ca="1">IF(J55&lt;0.4,0.4,J55)</f>
        <v>#DIV/0!</v>
      </c>
      <c r="K58" s="2139" t="s">
        <v>1950</v>
      </c>
      <c r="L58" s="2794" t="e">
        <f ca="1">ROUND(POWER(1+L52,L47-L48)*(POWER(1+L52,L48)-1)/(POWER(1+L52,L47)-1),4)</f>
        <v>#DIV/0!</v>
      </c>
      <c r="O58" s="2125" t="s">
        <v>1803</v>
      </c>
      <c r="P58" s="2126" t="s">
        <v>1836</v>
      </c>
      <c r="Q58" s="2128">
        <f>IF(L55="比较法",L49,IF(L55="基准地价",L50,0))</f>
        <v>0</v>
      </c>
      <c r="R58" s="2128" t="s">
        <v>1805</v>
      </c>
    </row>
    <row r="59" spans="1:18" s="826" customFormat="1" ht="24">
      <c r="A59" s="678" t="s">
        <v>1010</v>
      </c>
      <c r="B59" s="2185" t="s">
        <v>1896</v>
      </c>
      <c r="C59" s="2752">
        <f ca="1">ROUND(IF(AND(项目基本情况!B11="自然人",项目基本情况!B10="北京市"),C49*F59/(1+'数据-取费表'!C43),C60+C61+C62),0)</f>
        <v>0</v>
      </c>
      <c r="D59" s="2173" t="s">
        <v>1897</v>
      </c>
      <c r="E59" s="2208" t="s">
        <v>1898</v>
      </c>
      <c r="F59" s="2753" t="str">
        <f>IF(项目基本情况!B11="企业","——",IF('数据-取费表'!B10="住宅",IF(F49*F50*F51/12/(1+'数据-取费表'!F30)&gt;100000,4%,2.5%),IF(F49*F50*F51/12/(1+'数据-取费表'!F30)&gt;100000,12%,7%)))</f>
        <v>——</v>
      </c>
      <c r="I59" s="2174" t="s">
        <v>1837</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1808</v>
      </c>
      <c r="P59" s="2126" t="s">
        <v>1838</v>
      </c>
      <c r="Q59" s="2808">
        <f>L52</f>
        <v>0</v>
      </c>
      <c r="R59" s="2128"/>
    </row>
    <row r="60" spans="1:18" s="826" customFormat="1" ht="15.6">
      <c r="A60" s="678" t="s">
        <v>1040</v>
      </c>
      <c r="B60" s="2185" t="s">
        <v>1900</v>
      </c>
      <c r="C60" s="2436">
        <f ca="1">IF(项目基本情况!B11="自然人","——",ROUND(C48*F60/(1+'数据-取费表'!C43),0))</f>
        <v>0</v>
      </c>
      <c r="D60" s="2208" t="s">
        <v>1901</v>
      </c>
      <c r="E60" s="2185" t="s">
        <v>1706</v>
      </c>
      <c r="F60" s="2760">
        <f t="shared" ref="F60:F66" si="0">F32</f>
        <v>0</v>
      </c>
      <c r="I60" s="2180" t="s">
        <v>1839</v>
      </c>
      <c r="J60" s="2825" t="e">
        <f ca="1">IF(OR(M47="住宅",J51&lt;L48,J56="是"),"0",ROUND(J59/(1+J52)^J53,0))</f>
        <v>#DIV/0!</v>
      </c>
      <c r="K60" s="2182" t="s">
        <v>1840</v>
      </c>
      <c r="L60" s="2825" t="e">
        <f ca="1">IF(OR(M47="住宅",L48&lt;J51),0,ROUND(L57*(L58/L59-1),0))</f>
        <v>#DIV/0!</v>
      </c>
      <c r="O60" s="2125" t="s">
        <v>1812</v>
      </c>
      <c r="P60" s="2126" t="s">
        <v>1841</v>
      </c>
      <c r="Q60" s="2128" t="e">
        <f ca="1">L58</f>
        <v>#DIV/0!</v>
      </c>
      <c r="R60" s="2128" t="s">
        <v>1842</v>
      </c>
    </row>
    <row r="61" spans="1:18" s="826" customFormat="1">
      <c r="A61" s="678" t="s">
        <v>1044</v>
      </c>
      <c r="B61" s="2185" t="s">
        <v>1904</v>
      </c>
      <c r="C61" s="2436">
        <f ca="1">IF(项目基本情况!B11="自然人","——",IF(D61="按租金收入计税",ROUND(C49*F61/(1+'数据-取费表'!C43),0),IF(D61="按房产原值计税",ROUND(C57*F61*0.7,0),INDIRECT("'数据-取费表'!Aj"&amp;$G$1))))</f>
        <v>0</v>
      </c>
      <c r="D61" s="1985" t="s">
        <v>1905</v>
      </c>
      <c r="E61" s="2185" t="s">
        <v>1706</v>
      </c>
      <c r="F61" s="2749">
        <f t="shared" si="0"/>
        <v>0.12</v>
      </c>
      <c r="I61" s="2085"/>
      <c r="J61" s="2085"/>
      <c r="K61" s="2085"/>
      <c r="L61" s="2085"/>
      <c r="O61" s="2125" t="s">
        <v>1816</v>
      </c>
      <c r="P61" s="2126" t="str">
        <f>K59</f>
        <v>建筑物剩余耐用年限下的土地年期修正系数Kn</v>
      </c>
      <c r="Q61" s="2128" t="e">
        <f ca="1">L59</f>
        <v>#DIV/0!</v>
      </c>
      <c r="R61" s="2128" t="s">
        <v>1843</v>
      </c>
    </row>
    <row r="62" spans="1:18" s="826" customFormat="1">
      <c r="A62" s="678" t="s">
        <v>1047</v>
      </c>
      <c r="B62" s="2199" t="s">
        <v>1907</v>
      </c>
      <c r="C62" s="2755">
        <f ca="1">IF(项目基本情况!B11="自然人","——",ROUND(F62*F63,0))</f>
        <v>0</v>
      </c>
      <c r="D62" s="2189" t="s">
        <v>1708</v>
      </c>
      <c r="E62" s="2185" t="s">
        <v>1709</v>
      </c>
      <c r="F62" s="2756">
        <f t="shared" si="0"/>
        <v>1.5</v>
      </c>
      <c r="I62" s="2186" t="s">
        <v>1844</v>
      </c>
      <c r="J62" s="2187" t="s">
        <v>1845</v>
      </c>
      <c r="K62" s="2187" t="s">
        <v>1846</v>
      </c>
      <c r="L62" s="2187" t="s">
        <v>1847</v>
      </c>
      <c r="M62" s="748" t="s">
        <v>1848</v>
      </c>
      <c r="O62" s="2206" t="s">
        <v>1821</v>
      </c>
      <c r="P62" s="2126" t="s">
        <v>1945</v>
      </c>
      <c r="Q62" s="2128" t="e">
        <f ca="1">Q56+Q57</f>
        <v>#DIV/0!</v>
      </c>
      <c r="R62" s="2128" t="s">
        <v>1946</v>
      </c>
    </row>
    <row r="63" spans="1:18" s="826" customFormat="1">
      <c r="A63" s="1989"/>
      <c r="B63" s="2203"/>
      <c r="C63" s="2757"/>
      <c r="D63" s="2194"/>
      <c r="E63" s="2185" t="s">
        <v>1710</v>
      </c>
      <c r="F63" s="2718">
        <f t="shared" ca="1" si="0"/>
        <v>0</v>
      </c>
      <c r="I63" s="2186" t="s">
        <v>1849</v>
      </c>
      <c r="J63" s="2187">
        <v>70</v>
      </c>
      <c r="K63" s="2187">
        <v>50</v>
      </c>
      <c r="L63" s="2187">
        <v>80</v>
      </c>
      <c r="M63" s="2192">
        <v>0.02</v>
      </c>
      <c r="O63" s="2160" t="s">
        <v>1850</v>
      </c>
      <c r="P63" s="1902"/>
      <c r="Q63" s="1902"/>
      <c r="R63" s="1902"/>
    </row>
    <row r="64" spans="1:18" s="826" customFormat="1">
      <c r="A64" s="678" t="s">
        <v>1016</v>
      </c>
      <c r="B64" s="2185" t="s">
        <v>1711</v>
      </c>
      <c r="C64" s="2436">
        <f ca="1">ROUND(C57*F64,0)</f>
        <v>0</v>
      </c>
      <c r="D64" s="2208" t="s">
        <v>1928</v>
      </c>
      <c r="E64" s="2185" t="s">
        <v>1706</v>
      </c>
      <c r="F64" s="2758">
        <f t="shared" ca="1" si="0"/>
        <v>0</v>
      </c>
      <c r="I64" s="2186" t="s">
        <v>1851</v>
      </c>
      <c r="J64" s="2187">
        <v>50</v>
      </c>
      <c r="K64" s="2187">
        <v>35</v>
      </c>
      <c r="L64" s="2187">
        <v>60</v>
      </c>
      <c r="M64" s="748">
        <v>0</v>
      </c>
      <c r="O64" s="2195" t="s">
        <v>1933</v>
      </c>
      <c r="P64" s="2196" t="s">
        <v>1934</v>
      </c>
      <c r="Q64" s="2197" t="s">
        <v>1935</v>
      </c>
      <c r="R64" s="2197" t="s">
        <v>1936</v>
      </c>
    </row>
    <row r="65" spans="1:18" s="826" customFormat="1">
      <c r="A65" s="678" t="s">
        <v>1068</v>
      </c>
      <c r="B65" s="2185" t="s">
        <v>1714</v>
      </c>
      <c r="C65" s="2436">
        <f ca="1">ROUND(C56*F65,0)</f>
        <v>0</v>
      </c>
      <c r="D65" s="2208" t="s">
        <v>1716</v>
      </c>
      <c r="E65" s="2185" t="s">
        <v>1706</v>
      </c>
      <c r="F65" s="2759">
        <f t="shared" ca="1" si="0"/>
        <v>0</v>
      </c>
      <c r="I65" s="2186" t="s">
        <v>1853</v>
      </c>
      <c r="J65" s="2187">
        <v>40</v>
      </c>
      <c r="K65" s="2187">
        <v>30</v>
      </c>
      <c r="L65" s="2187">
        <v>50</v>
      </c>
      <c r="M65" s="2192">
        <v>0.02</v>
      </c>
      <c r="O65" s="2206" t="s">
        <v>1438</v>
      </c>
      <c r="P65" s="2126" t="s">
        <v>1937</v>
      </c>
      <c r="Q65" s="2128" t="e">
        <f ca="1">C40+J29</f>
        <v>#DIV/0!</v>
      </c>
      <c r="R65" s="2128" t="s">
        <v>1805</v>
      </c>
    </row>
    <row r="66" spans="1:18" s="826" customFormat="1" ht="15.6">
      <c r="A66" s="678" t="s">
        <v>1073</v>
      </c>
      <c r="B66" s="2185" t="s">
        <v>1718</v>
      </c>
      <c r="C66" s="2436">
        <f ca="1">ROUND(C48*F66,0)</f>
        <v>0</v>
      </c>
      <c r="D66" s="2208" t="s">
        <v>1912</v>
      </c>
      <c r="E66" s="2185" t="s">
        <v>1706</v>
      </c>
      <c r="F66" s="2724">
        <f t="shared" ca="1" si="0"/>
        <v>0</v>
      </c>
      <c r="O66" s="2206" t="s">
        <v>1442</v>
      </c>
      <c r="P66" s="2126" t="s">
        <v>1948</v>
      </c>
      <c r="Q66" s="2128" t="e">
        <f ca="1">L60</f>
        <v>#DIV/0!</v>
      </c>
      <c r="R66" s="2128" t="s">
        <v>1949</v>
      </c>
    </row>
    <row r="67" spans="1:18" s="826" customFormat="1" ht="24">
      <c r="A67" s="2209" t="s">
        <v>1722</v>
      </c>
      <c r="B67" s="2210" t="s">
        <v>1720</v>
      </c>
      <c r="C67" s="2069">
        <f ca="1">C48-C58</f>
        <v>0</v>
      </c>
      <c r="D67" s="2173" t="s">
        <v>1915</v>
      </c>
      <c r="E67" s="2826"/>
      <c r="F67" s="2827"/>
      <c r="O67" s="2125" t="s">
        <v>1803</v>
      </c>
      <c r="P67" s="2126" t="s">
        <v>1836</v>
      </c>
      <c r="Q67" s="2828">
        <f ca="1">L51</f>
        <v>0</v>
      </c>
      <c r="R67" s="2128" t="s">
        <v>1855</v>
      </c>
    </row>
    <row r="68" spans="1:18" s="826" customFormat="1" ht="15.6">
      <c r="A68" s="2829" t="s">
        <v>1729</v>
      </c>
      <c r="B68" s="2215" t="s">
        <v>1723</v>
      </c>
      <c r="C68" s="2719" t="e">
        <f ca="1">ROUND(C67*(1-((1+F70)/(1+F68))^F69)/(F68-F70),0)</f>
        <v>#DIV/0!</v>
      </c>
      <c r="D68" s="2189" t="s">
        <v>1917</v>
      </c>
      <c r="E68" s="2185" t="s">
        <v>1918</v>
      </c>
      <c r="F68" s="2724">
        <f ca="1">F40</f>
        <v>0</v>
      </c>
      <c r="O68" s="2125" t="s">
        <v>1808</v>
      </c>
      <c r="P68" s="2213" t="s">
        <v>1856</v>
      </c>
      <c r="Q68" s="2128">
        <f ca="1">ROUND(Q69-Q70*Q71,0)</f>
        <v>0</v>
      </c>
      <c r="R68" s="2128" t="s">
        <v>1857</v>
      </c>
    </row>
    <row r="69" spans="1:18" s="826" customFormat="1">
      <c r="A69" s="2830"/>
      <c r="B69" s="2219"/>
      <c r="C69" s="2723"/>
      <c r="D69" s="2831" t="s">
        <v>1919</v>
      </c>
      <c r="E69" s="2185" t="s">
        <v>1920</v>
      </c>
      <c r="F69" s="2055">
        <f ca="1">F41</f>
        <v>0</v>
      </c>
      <c r="O69" s="2125" t="s">
        <v>1859</v>
      </c>
      <c r="P69" s="2213" t="s">
        <v>1860</v>
      </c>
      <c r="Q69" s="2128">
        <f ca="1">C39</f>
        <v>0</v>
      </c>
      <c r="R69" s="2128" t="s">
        <v>1805</v>
      </c>
    </row>
    <row r="70" spans="1:18" s="826" customFormat="1">
      <c r="A70" s="2224"/>
      <c r="B70" s="2832"/>
      <c r="C70" s="2733"/>
      <c r="D70" s="2194"/>
      <c r="E70" s="2185" t="s">
        <v>1923</v>
      </c>
      <c r="F70" s="2810"/>
      <c r="O70" s="2125" t="s">
        <v>1862</v>
      </c>
      <c r="P70" s="2213" t="s">
        <v>1863</v>
      </c>
      <c r="Q70" s="2128">
        <f ca="1">C13</f>
        <v>0</v>
      </c>
      <c r="R70" s="2128" t="s">
        <v>1805</v>
      </c>
    </row>
    <row r="71" spans="1:18" s="826" customFormat="1">
      <c r="A71" s="2229" t="s">
        <v>1734</v>
      </c>
      <c r="B71" s="2230" t="s">
        <v>1735</v>
      </c>
      <c r="C71" s="2767" t="e">
        <f ca="1">ROUND(C68/F71,0)</f>
        <v>#DIV/0!</v>
      </c>
      <c r="D71" s="2833" t="s">
        <v>1929</v>
      </c>
      <c r="E71" s="2834" t="s">
        <v>1930</v>
      </c>
      <c r="F71" s="2769">
        <f ca="1">F43</f>
        <v>0</v>
      </c>
      <c r="O71" s="2125" t="s">
        <v>1864</v>
      </c>
      <c r="P71" s="2213" t="s">
        <v>1865</v>
      </c>
      <c r="Q71" s="2808">
        <f ca="1">C76</f>
        <v>0</v>
      </c>
      <c r="R71" s="2128"/>
    </row>
    <row r="72" spans="1:18" s="826" customFormat="1">
      <c r="B72" s="2083"/>
      <c r="C72" s="2083"/>
      <c r="O72" s="2125" t="s">
        <v>1812</v>
      </c>
      <c r="P72" s="2126" t="s">
        <v>1838</v>
      </c>
      <c r="Q72" s="2808">
        <f>L52</f>
        <v>0</v>
      </c>
      <c r="R72" s="2128"/>
    </row>
    <row r="73" spans="1:18" ht="15.6">
      <c r="A73" s="826"/>
      <c r="B73" s="2083"/>
      <c r="C73" s="2083"/>
      <c r="D73" s="826"/>
      <c r="E73" s="826"/>
      <c r="F73" s="826"/>
      <c r="O73" s="2125" t="s">
        <v>1816</v>
      </c>
      <c r="P73" s="2126" t="s">
        <v>1841</v>
      </c>
      <c r="Q73" s="2128" t="e">
        <f ca="1">L58</f>
        <v>#DIV/0!</v>
      </c>
      <c r="R73" s="2128" t="s">
        <v>1842</v>
      </c>
    </row>
    <row r="74" spans="1:18">
      <c r="A74" s="826"/>
      <c r="B74" s="450" t="s">
        <v>1868</v>
      </c>
      <c r="C74" s="2233"/>
      <c r="D74" s="826"/>
      <c r="E74" s="826"/>
      <c r="F74" s="826"/>
      <c r="O74" s="2125" t="s">
        <v>1867</v>
      </c>
      <c r="P74" s="2126" t="str">
        <f>K59</f>
        <v>建筑物剩余耐用年限下的土地年期修正系数Kn</v>
      </c>
      <c r="Q74" s="2128" t="e">
        <f ca="1">L59</f>
        <v>#DIV/0!</v>
      </c>
      <c r="R74" s="2128" t="s">
        <v>1843</v>
      </c>
    </row>
    <row r="75" spans="1:18">
      <c r="A75" s="826"/>
      <c r="B75" s="2234" t="s">
        <v>1869</v>
      </c>
      <c r="C75" s="2191">
        <f ca="1">ROUND(C13*C76,0)</f>
        <v>0</v>
      </c>
      <c r="D75" s="826"/>
      <c r="E75" s="826"/>
      <c r="F75" s="826"/>
      <c r="K75" s="2075"/>
      <c r="L75" s="826"/>
      <c r="O75" s="2206" t="s">
        <v>1821</v>
      </c>
      <c r="P75" s="2126" t="s">
        <v>1945</v>
      </c>
      <c r="Q75" s="2128" t="e">
        <f ca="1">Q65+Q66</f>
        <v>#DIV/0!</v>
      </c>
      <c r="R75" s="2128" t="s">
        <v>1946</v>
      </c>
    </row>
    <row r="76" spans="1:18">
      <c r="B76" s="780" t="s">
        <v>1870</v>
      </c>
      <c r="C76" s="2835">
        <f ca="1">INDIRECT("'数据-取费表'!j"&amp;$G$1)</f>
        <v>0</v>
      </c>
      <c r="I76" s="826"/>
      <c r="J76" s="826"/>
      <c r="K76" s="2075"/>
      <c r="L76" s="826"/>
    </row>
    <row r="77" spans="1:18">
      <c r="B77" s="2237" t="s">
        <v>1871</v>
      </c>
      <c r="C77" s="2238"/>
      <c r="I77" s="826"/>
      <c r="J77" s="826"/>
      <c r="K77" s="2075"/>
      <c r="L77" s="826"/>
    </row>
    <row r="78" spans="1:18">
      <c r="B78" s="448" t="s">
        <v>1872</v>
      </c>
      <c r="C78" s="2239"/>
    </row>
    <row r="79" spans="1:18">
      <c r="B79" s="2234" t="s">
        <v>1873</v>
      </c>
      <c r="C79" s="451" t="e">
        <f ca="1">1-C80</f>
        <v>#DIV/0!</v>
      </c>
    </row>
    <row r="80" spans="1:18">
      <c r="B80" s="2234" t="s">
        <v>1874</v>
      </c>
      <c r="C80" s="451" t="e">
        <f ca="1">ROUND(C75/C39,3)</f>
        <v>#DIV/0!</v>
      </c>
    </row>
    <row r="81" spans="2:3">
      <c r="B81" s="448" t="s">
        <v>1875</v>
      </c>
      <c r="C81" s="418"/>
    </row>
    <row r="82" spans="2:3">
      <c r="B82" s="450" t="s">
        <v>1511</v>
      </c>
      <c r="C82" s="452" t="e">
        <f ca="1">1-C83</f>
        <v>#DIV/0!</v>
      </c>
    </row>
    <row r="83" spans="2:3">
      <c r="B83" s="450" t="s">
        <v>1512</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1951</v>
      </c>
      <c r="B1" s="2480"/>
      <c r="C1" s="2481"/>
      <c r="D1" s="2482" t="s">
        <v>1699</v>
      </c>
      <c r="E1" s="2483" t="s">
        <v>1952</v>
      </c>
      <c r="F1" s="2484"/>
      <c r="G1" s="2485"/>
      <c r="J1" s="2486" t="s">
        <v>1953</v>
      </c>
      <c r="K1" s="2487"/>
      <c r="L1" s="2487"/>
      <c r="M1" s="2487"/>
      <c r="N1" s="2487"/>
      <c r="O1" s="2487"/>
      <c r="P1" s="2487"/>
      <c r="Q1" s="2487"/>
      <c r="R1" s="2488"/>
      <c r="S1" s="2489"/>
      <c r="T1" s="2489"/>
      <c r="U1" s="2489"/>
    </row>
    <row r="2" spans="1:22" s="2473" customFormat="1" ht="13.2" customHeight="1">
      <c r="A2" s="1900" t="s">
        <v>1663</v>
      </c>
      <c r="B2" s="2490" t="e">
        <f>IF(C1="含税",ROUND((C40+E2)*(1+E1),0),C40+E2)</f>
        <v>#DIV/0!</v>
      </c>
      <c r="C2" s="2491" t="s">
        <v>1664</v>
      </c>
      <c r="D2" s="2482" t="s">
        <v>1954</v>
      </c>
      <c r="E2" s="2492"/>
      <c r="F2" s="2493"/>
      <c r="G2" s="2494"/>
      <c r="H2" s="2495"/>
      <c r="I2" s="2496"/>
      <c r="J2" s="4603" t="s">
        <v>1955</v>
      </c>
      <c r="K2" s="4604"/>
      <c r="L2" s="2497" t="s">
        <v>1956</v>
      </c>
      <c r="M2" s="2497" t="s">
        <v>1957</v>
      </c>
      <c r="N2" s="2497" t="s">
        <v>1958</v>
      </c>
      <c r="O2" s="2497" t="s">
        <v>1959</v>
      </c>
      <c r="P2" s="2497" t="s">
        <v>1960</v>
      </c>
      <c r="Q2" s="2498" t="s">
        <v>1961</v>
      </c>
      <c r="R2" s="2499" t="s">
        <v>1962</v>
      </c>
      <c r="S2" s="2489"/>
      <c r="T2" s="2489"/>
      <c r="U2" s="2489"/>
      <c r="V2" s="2496"/>
    </row>
    <row r="3" spans="1:22" s="2473" customFormat="1" ht="13.2" customHeight="1">
      <c r="A3" s="2500" t="s">
        <v>1665</v>
      </c>
      <c r="B3" s="2501" t="e">
        <f>ROUND(B2*10000/B4,0)</f>
        <v>#DIV/0!</v>
      </c>
      <c r="C3" s="2491" t="s">
        <v>1666</v>
      </c>
      <c r="D3" s="2491"/>
      <c r="E3" s="2502"/>
      <c r="F3" s="2493"/>
      <c r="G3" s="2494"/>
      <c r="H3" s="2495"/>
      <c r="I3" s="2496"/>
      <c r="J3" s="4596" t="s">
        <v>1963</v>
      </c>
      <c r="K3" s="4597"/>
      <c r="L3" s="2503"/>
      <c r="M3" s="2503"/>
      <c r="N3" s="2503"/>
      <c r="O3" s="2503"/>
      <c r="P3" s="2503"/>
      <c r="Q3" s="2504"/>
      <c r="R3" s="2505">
        <f>SUM(L3:Q3)</f>
        <v>0</v>
      </c>
      <c r="S3" s="2489"/>
      <c r="T3" s="2489"/>
      <c r="U3" s="2489"/>
      <c r="V3" s="2496"/>
    </row>
    <row r="4" spans="1:22" s="2473" customFormat="1" ht="13.2" customHeight="1">
      <c r="A4" s="2482" t="s">
        <v>1964</v>
      </c>
      <c r="B4" s="2506"/>
      <c r="C4" s="2491"/>
      <c r="D4" s="2491"/>
      <c r="E4" s="2502"/>
      <c r="F4" s="2493"/>
      <c r="G4" s="2494"/>
      <c r="H4" s="2495"/>
      <c r="I4" s="2496"/>
      <c r="J4" s="4596" t="s">
        <v>1965</v>
      </c>
      <c r="K4" s="4597"/>
      <c r="L4" s="2507"/>
      <c r="M4" s="2507"/>
      <c r="N4" s="2507"/>
      <c r="O4" s="2507"/>
      <c r="P4" s="2507"/>
      <c r="Q4" s="2508"/>
      <c r="R4" s="2509">
        <f>SUM(L4:Q4)</f>
        <v>0</v>
      </c>
      <c r="S4" s="2489"/>
      <c r="T4" s="2489"/>
      <c r="U4" s="2489"/>
      <c r="V4" s="2496"/>
    </row>
    <row r="5" spans="1:22" s="2473" customFormat="1" ht="13.2" customHeight="1">
      <c r="A5" s="2510" t="s">
        <v>1966</v>
      </c>
      <c r="B5" s="2511"/>
      <c r="C5" s="2491"/>
      <c r="D5" s="2512"/>
      <c r="E5" s="2493"/>
      <c r="F5" s="2493"/>
      <c r="G5" s="2494"/>
      <c r="H5" s="2495"/>
      <c r="I5" s="2496"/>
      <c r="J5" s="2513" t="s">
        <v>1967</v>
      </c>
      <c r="K5" s="2514"/>
      <c r="L5" s="2514"/>
      <c r="M5" s="2515"/>
      <c r="N5" s="2515"/>
      <c r="O5" s="2515"/>
      <c r="P5" s="2515"/>
      <c r="Q5" s="2515"/>
      <c r="R5" s="2499">
        <f>SUM(R14,R19,R24,R25,R27,R28)</f>
        <v>0</v>
      </c>
      <c r="S5" s="2489"/>
      <c r="T5" s="2489" t="s">
        <v>1968</v>
      </c>
      <c r="U5" s="2489" t="e">
        <f>ROUND(R5*10000/365/R3,1)</f>
        <v>#DIV/0!</v>
      </c>
      <c r="V5" s="2496"/>
    </row>
    <row r="6" spans="1:22" s="2473" customFormat="1" ht="13.2" customHeight="1">
      <c r="A6" s="4607" t="s">
        <v>1969</v>
      </c>
      <c r="B6" s="4608"/>
      <c r="C6" s="4609"/>
      <c r="D6" s="2516"/>
      <c r="E6" s="2517"/>
      <c r="F6" s="2518"/>
      <c r="G6" s="2519"/>
      <c r="H6" s="2495"/>
      <c r="I6" s="2496"/>
      <c r="J6" s="4590">
        <v>1</v>
      </c>
      <c r="K6" s="4593" t="s">
        <v>1970</v>
      </c>
      <c r="L6" s="2521" t="s">
        <v>1971</v>
      </c>
      <c r="M6" s="2522" t="s">
        <v>1972</v>
      </c>
      <c r="N6" s="2522" t="s">
        <v>1973</v>
      </c>
      <c r="O6" s="2522" t="s">
        <v>1974</v>
      </c>
      <c r="P6" s="2522" t="s">
        <v>1975</v>
      </c>
      <c r="Q6" s="2522" t="s">
        <v>1976</v>
      </c>
      <c r="R6" s="2505" t="s">
        <v>1977</v>
      </c>
      <c r="S6" s="2489"/>
      <c r="T6" s="2489" t="s">
        <v>1978</v>
      </c>
      <c r="U6" s="2489"/>
      <c r="V6" s="2496"/>
    </row>
    <row r="7" spans="1:22" s="2473" customFormat="1" ht="13.2" customHeight="1">
      <c r="A7" s="2523" t="s">
        <v>1979</v>
      </c>
      <c r="B7" s="2524"/>
      <c r="C7" s="2525"/>
      <c r="D7" s="2526">
        <f>SUM(D9,D10,D11,D17,0)</f>
        <v>0</v>
      </c>
      <c r="E7" s="2527" t="e">
        <f>E9+E10+E11+E17</f>
        <v>#DIV/0!</v>
      </c>
      <c r="F7" s="2528"/>
      <c r="G7" s="2529"/>
      <c r="H7" s="2495"/>
      <c r="I7" s="2496"/>
      <c r="J7" s="4590"/>
      <c r="K7" s="4594"/>
      <c r="L7" s="2530" t="s">
        <v>1980</v>
      </c>
      <c r="M7" s="2531"/>
      <c r="N7" s="2532"/>
      <c r="O7" s="2533"/>
      <c r="P7" s="2533"/>
      <c r="Q7" s="2532">
        <v>365</v>
      </c>
      <c r="R7" s="2534">
        <f>ROUND(M7*N7*O7*P7*Q7/10000,0)</f>
        <v>0</v>
      </c>
      <c r="S7" s="2489"/>
      <c r="T7" s="2489" t="s">
        <v>1981</v>
      </c>
      <c r="U7" s="2489"/>
      <c r="V7" s="2496"/>
    </row>
    <row r="8" spans="1:22" s="2473" customFormat="1" ht="13.2" customHeight="1">
      <c r="A8" s="2535" t="s">
        <v>1982</v>
      </c>
      <c r="B8" s="4605" t="s">
        <v>1983</v>
      </c>
      <c r="C8" s="4606"/>
      <c r="D8" s="2538" t="s">
        <v>1410</v>
      </c>
      <c r="E8" s="2539" t="s">
        <v>1984</v>
      </c>
      <c r="F8" s="2540" t="s">
        <v>1985</v>
      </c>
      <c r="G8" s="2541"/>
      <c r="H8" s="2495"/>
      <c r="I8" s="2496"/>
      <c r="J8" s="4590"/>
      <c r="K8" s="4594"/>
      <c r="L8" s="2530" t="s">
        <v>1986</v>
      </c>
      <c r="M8" s="2531"/>
      <c r="N8" s="2532"/>
      <c r="O8" s="2533"/>
      <c r="P8" s="2533"/>
      <c r="Q8" s="2532">
        <v>365</v>
      </c>
      <c r="R8" s="2534">
        <f t="shared" ref="R8:R13" si="0">ROUND(M8*N8*O8*P8*Q8/10000,0)</f>
        <v>0</v>
      </c>
      <c r="S8" s="2489"/>
      <c r="T8" s="2489" t="s">
        <v>1987</v>
      </c>
      <c r="U8" s="2489"/>
      <c r="V8" s="2496"/>
    </row>
    <row r="9" spans="1:22" s="2473" customFormat="1" ht="13.2" customHeight="1">
      <c r="A9" s="2535">
        <v>1</v>
      </c>
      <c r="B9" s="4605" t="s">
        <v>1988</v>
      </c>
      <c r="C9" s="4606"/>
      <c r="D9" s="2542">
        <f>ROUND(D6*E9,0)</f>
        <v>0</v>
      </c>
      <c r="E9" s="2543"/>
      <c r="F9" s="2544" t="s">
        <v>1989</v>
      </c>
      <c r="G9" s="2519"/>
      <c r="H9" s="2495"/>
      <c r="I9" s="2496"/>
      <c r="J9" s="4590"/>
      <c r="K9" s="4594"/>
      <c r="L9" s="2530" t="s">
        <v>1990</v>
      </c>
      <c r="M9" s="2531"/>
      <c r="N9" s="2532"/>
      <c r="O9" s="2533"/>
      <c r="P9" s="2533"/>
      <c r="Q9" s="2532">
        <v>365</v>
      </c>
      <c r="R9" s="2534">
        <f t="shared" si="0"/>
        <v>0</v>
      </c>
      <c r="S9" s="2489"/>
      <c r="T9" s="2489"/>
      <c r="U9" s="2489"/>
      <c r="V9" s="2496"/>
    </row>
    <row r="10" spans="1:22" s="2473" customFormat="1" ht="13.2" customHeight="1">
      <c r="A10" s="2535">
        <v>2</v>
      </c>
      <c r="B10" s="4605" t="s">
        <v>1991</v>
      </c>
      <c r="C10" s="4606"/>
      <c r="D10" s="2542">
        <f>ROUND(D6*E10,0)</f>
        <v>0</v>
      </c>
      <c r="E10" s="2543"/>
      <c r="F10" s="2545" t="s">
        <v>1992</v>
      </c>
      <c r="G10" s="2519"/>
      <c r="H10" s="2495"/>
      <c r="I10" s="2496"/>
      <c r="J10" s="4590"/>
      <c r="K10" s="4594"/>
      <c r="L10" s="2530" t="s">
        <v>1993</v>
      </c>
      <c r="M10" s="2531"/>
      <c r="N10" s="2532"/>
      <c r="O10" s="2533"/>
      <c r="P10" s="2533"/>
      <c r="Q10" s="2532">
        <v>365</v>
      </c>
      <c r="R10" s="2534">
        <f t="shared" si="0"/>
        <v>0</v>
      </c>
      <c r="S10" s="2489"/>
      <c r="T10" s="2489"/>
      <c r="U10" s="2489"/>
      <c r="V10" s="2496"/>
    </row>
    <row r="11" spans="1:22" s="2473" customFormat="1" ht="13.2" customHeight="1">
      <c r="A11" s="2535">
        <v>3</v>
      </c>
      <c r="B11" s="4605" t="s">
        <v>1994</v>
      </c>
      <c r="C11" s="4606"/>
      <c r="D11" s="2542">
        <f>D12+D14+D15+D16</f>
        <v>0</v>
      </c>
      <c r="E11" s="2546" t="e">
        <f>D11/D6</f>
        <v>#DIV/0!</v>
      </c>
      <c r="F11" s="2540"/>
      <c r="G11" s="2541"/>
      <c r="H11" s="2495"/>
      <c r="I11" s="2496"/>
      <c r="J11" s="4590"/>
      <c r="K11" s="4594"/>
      <c r="L11" s="2530" t="s">
        <v>1995</v>
      </c>
      <c r="M11" s="2531"/>
      <c r="N11" s="2532"/>
      <c r="O11" s="2533"/>
      <c r="P11" s="2533"/>
      <c r="Q11" s="2532">
        <v>365</v>
      </c>
      <c r="R11" s="2534">
        <f t="shared" si="0"/>
        <v>0</v>
      </c>
      <c r="S11" s="2489"/>
      <c r="T11" s="2489"/>
      <c r="U11" s="2489"/>
      <c r="V11" s="2496"/>
    </row>
    <row r="12" spans="1:22" s="2473" customFormat="1" ht="13.2" customHeight="1">
      <c r="A12" s="2547" t="s">
        <v>1996</v>
      </c>
      <c r="B12" s="4600" t="s">
        <v>1997</v>
      </c>
      <c r="C12" s="4599"/>
      <c r="D12" s="2549">
        <f>ROUND(D13*1.2%*(1-30%),0)</f>
        <v>0</v>
      </c>
      <c r="E12" s="2550">
        <v>1.2E-2</v>
      </c>
      <c r="F12" s="2540" t="s">
        <v>1998</v>
      </c>
      <c r="G12" s="2541"/>
      <c r="H12" s="2495"/>
      <c r="I12" s="2496"/>
      <c r="J12" s="4590"/>
      <c r="K12" s="4594"/>
      <c r="L12" s="2530" t="s">
        <v>1999</v>
      </c>
      <c r="M12" s="2531"/>
      <c r="N12" s="2532"/>
      <c r="O12" s="2533"/>
      <c r="P12" s="2533"/>
      <c r="Q12" s="2532">
        <v>365</v>
      </c>
      <c r="R12" s="2534">
        <f t="shared" si="0"/>
        <v>0</v>
      </c>
      <c r="S12" s="2489"/>
      <c r="T12" s="2489"/>
      <c r="U12" s="2489"/>
      <c r="V12" s="2496"/>
    </row>
    <row r="13" spans="1:22" s="2473" customFormat="1" ht="13.2" customHeight="1">
      <c r="A13" s="2547"/>
      <c r="B13" s="2548"/>
      <c r="C13" s="2551" t="s">
        <v>2000</v>
      </c>
      <c r="D13" s="2552"/>
      <c r="E13" s="2553"/>
      <c r="F13" s="2540"/>
      <c r="G13" s="2541"/>
      <c r="H13" s="2495"/>
      <c r="I13" s="2496"/>
      <c r="J13" s="4590"/>
      <c r="K13" s="4594"/>
      <c r="L13" s="2530" t="s">
        <v>2001</v>
      </c>
      <c r="M13" s="2531"/>
      <c r="N13" s="2532"/>
      <c r="O13" s="2533"/>
      <c r="P13" s="2533"/>
      <c r="Q13" s="2532">
        <v>365</v>
      </c>
      <c r="R13" s="2534">
        <f t="shared" si="0"/>
        <v>0</v>
      </c>
      <c r="S13" s="2489"/>
      <c r="T13" s="2489"/>
      <c r="U13" s="2489"/>
      <c r="V13" s="2496"/>
    </row>
    <row r="14" spans="1:22" s="2473" customFormat="1" ht="13.2" customHeight="1">
      <c r="A14" s="2547" t="s">
        <v>2002</v>
      </c>
      <c r="B14" s="4600" t="s">
        <v>2003</v>
      </c>
      <c r="C14" s="4599"/>
      <c r="D14" s="2549">
        <f>ROUND(E14*B5/10000,0)</f>
        <v>0</v>
      </c>
      <c r="E14" s="2554"/>
      <c r="F14" s="2540" t="s">
        <v>2004</v>
      </c>
      <c r="G14" s="2541"/>
      <c r="H14" s="2495"/>
      <c r="I14" s="2496"/>
      <c r="J14" s="4590"/>
      <c r="K14" s="4595"/>
      <c r="L14" s="2555" t="s">
        <v>2005</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2006</v>
      </c>
      <c r="B15" s="4598" t="s">
        <v>772</v>
      </c>
      <c r="C15" s="4599"/>
      <c r="D15" s="2549">
        <f>IF(F15="酒店",E48*(1+E15),IF(F15="购物中心",E67*(1+E15),IF(F15="按比例计算-酒店",E46,E65)))</f>
        <v>0</v>
      </c>
      <c r="E15" s="2550">
        <f>'数据-取费表'!B44</f>
        <v>0.1</v>
      </c>
      <c r="F15" s="2559" t="s">
        <v>2007</v>
      </c>
      <c r="G15" s="2560"/>
      <c r="H15" s="2495"/>
      <c r="I15" s="2496"/>
      <c r="J15" s="4590">
        <v>2</v>
      </c>
      <c r="K15" s="4593" t="s">
        <v>2008</v>
      </c>
      <c r="L15" s="2530" t="s">
        <v>2009</v>
      </c>
      <c r="M15" s="2561" t="s">
        <v>2010</v>
      </c>
      <c r="N15" s="2561" t="s">
        <v>2011</v>
      </c>
      <c r="O15" s="2562" t="s">
        <v>2012</v>
      </c>
      <c r="P15" s="2562" t="s">
        <v>1976</v>
      </c>
      <c r="Q15" s="2563" t="s">
        <v>124</v>
      </c>
      <c r="R15" s="2564" t="s">
        <v>1977</v>
      </c>
      <c r="S15" s="2489"/>
      <c r="T15" s="2489"/>
      <c r="U15" s="2489"/>
      <c r="V15" s="2496"/>
    </row>
    <row r="16" spans="1:22" s="2473" customFormat="1" ht="13.2" customHeight="1">
      <c r="A16" s="2547" t="s">
        <v>2013</v>
      </c>
      <c r="B16" s="4600" t="s">
        <v>2014</v>
      </c>
      <c r="C16" s="4599"/>
      <c r="D16" s="2565">
        <f>D6*E16</f>
        <v>0</v>
      </c>
      <c r="E16" s="2566"/>
      <c r="F16" s="2544" t="s">
        <v>2015</v>
      </c>
      <c r="G16" s="2519"/>
      <c r="H16" s="2495"/>
      <c r="I16" s="2496"/>
      <c r="J16" s="4590"/>
      <c r="K16" s="4594"/>
      <c r="L16" s="2530" t="s">
        <v>2016</v>
      </c>
      <c r="M16" s="2531"/>
      <c r="N16" s="2531"/>
      <c r="O16" s="2567"/>
      <c r="P16" s="2532">
        <v>365</v>
      </c>
      <c r="Q16" s="2532"/>
      <c r="R16" s="2534">
        <f>ROUND(M16*N16*O16*P16/10000,0)</f>
        <v>0</v>
      </c>
      <c r="S16" s="2489"/>
      <c r="T16" s="2489"/>
      <c r="U16" s="2489"/>
      <c r="V16" s="2496"/>
    </row>
    <row r="17" spans="1:22" s="2473" customFormat="1" ht="13.2" customHeight="1">
      <c r="A17" s="2568">
        <v>4</v>
      </c>
      <c r="B17" s="4601" t="s">
        <v>2017</v>
      </c>
      <c r="C17" s="4602"/>
      <c r="D17" s="2569">
        <f>ROUND(D6*E17,0)</f>
        <v>0</v>
      </c>
      <c r="E17" s="2570"/>
      <c r="F17" s="2571" t="s">
        <v>2018</v>
      </c>
      <c r="G17" s="2519"/>
      <c r="H17" s="2495"/>
      <c r="I17" s="2496"/>
      <c r="J17" s="4590"/>
      <c r="K17" s="4594"/>
      <c r="L17" s="2530" t="s">
        <v>2019</v>
      </c>
      <c r="M17" s="2531"/>
      <c r="N17" s="2531"/>
      <c r="O17" s="2567"/>
      <c r="P17" s="2532">
        <v>365</v>
      </c>
      <c r="Q17" s="2532"/>
      <c r="R17" s="2534">
        <f>ROUND(M17*N17*O17*P17/10000,0)</f>
        <v>0</v>
      </c>
      <c r="S17" s="2489"/>
      <c r="T17" s="2489"/>
      <c r="U17" s="2489"/>
      <c r="V17" s="2496"/>
    </row>
    <row r="18" spans="1:22" s="2473" customFormat="1" ht="13.2" customHeight="1">
      <c r="A18" s="2523" t="s">
        <v>2020</v>
      </c>
      <c r="B18" s="2524"/>
      <c r="C18" s="2524"/>
      <c r="D18" s="2572">
        <f>ROUND(D6*E18,0)</f>
        <v>0</v>
      </c>
      <c r="E18" s="2573"/>
      <c r="F18" s="2574" t="s">
        <v>2021</v>
      </c>
      <c r="G18" s="2519"/>
      <c r="H18" s="2495"/>
      <c r="I18" s="2496"/>
      <c r="J18" s="4590"/>
      <c r="K18" s="4594"/>
      <c r="L18" s="2530" t="s">
        <v>2022</v>
      </c>
      <c r="M18" s="2531"/>
      <c r="N18" s="2531"/>
      <c r="O18" s="2567"/>
      <c r="P18" s="2532">
        <v>365</v>
      </c>
      <c r="Q18" s="2532"/>
      <c r="R18" s="2534">
        <f>ROUND(M18*N18*O18*P18/10000,0)</f>
        <v>0</v>
      </c>
      <c r="S18" s="2489"/>
      <c r="T18" s="2489"/>
      <c r="U18" s="2489"/>
      <c r="V18" s="2496"/>
    </row>
    <row r="19" spans="1:22" s="2473" customFormat="1" ht="13.2" customHeight="1">
      <c r="A19" s="2575" t="s">
        <v>2023</v>
      </c>
      <c r="B19" s="2576"/>
      <c r="C19" s="2576"/>
      <c r="D19" s="2576"/>
      <c r="E19" s="2576"/>
      <c r="F19" s="2518"/>
      <c r="G19" s="2541"/>
      <c r="H19" s="2495"/>
      <c r="I19" s="2496"/>
      <c r="J19" s="4590"/>
      <c r="K19" s="4595"/>
      <c r="L19" s="2555" t="s">
        <v>2005</v>
      </c>
      <c r="M19" s="2556"/>
      <c r="N19" s="2556">
        <f>SUM(N16:N18)</f>
        <v>0</v>
      </c>
      <c r="O19" s="2557"/>
      <c r="P19" s="2577" t="s">
        <v>2024</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590">
        <v>3</v>
      </c>
      <c r="K20" s="4593" t="s">
        <v>2025</v>
      </c>
      <c r="L20" s="2530" t="s">
        <v>2026</v>
      </c>
      <c r="M20" s="2561" t="s">
        <v>2027</v>
      </c>
      <c r="N20" s="2580" t="s">
        <v>2028</v>
      </c>
      <c r="O20" s="2562" t="s">
        <v>2029</v>
      </c>
      <c r="P20" s="2581" t="s">
        <v>1976</v>
      </c>
      <c r="Q20" s="2563" t="s">
        <v>124</v>
      </c>
      <c r="R20" s="2564" t="s">
        <v>1977</v>
      </c>
      <c r="S20" s="2489"/>
      <c r="T20" s="2489"/>
      <c r="U20" s="2489"/>
      <c r="V20" s="2496"/>
    </row>
    <row r="21" spans="1:22" s="2473" customFormat="1" ht="13.2" customHeight="1">
      <c r="A21" s="2523"/>
      <c r="B21" s="2524"/>
      <c r="C21" s="2536" t="s">
        <v>2030</v>
      </c>
      <c r="D21" s="2582" t="s">
        <v>2031</v>
      </c>
      <c r="E21" s="2537" t="s">
        <v>2032</v>
      </c>
      <c r="F21" s="2579"/>
      <c r="G21" s="2541"/>
      <c r="H21" s="2495"/>
      <c r="I21" s="2496"/>
      <c r="J21" s="4590"/>
      <c r="K21" s="4594"/>
      <c r="L21" s="2530" t="s">
        <v>2033</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2034</v>
      </c>
      <c r="D22" s="2586" t="s">
        <v>2035</v>
      </c>
      <c r="E22" s="2587" t="s">
        <v>2036</v>
      </c>
      <c r="F22" s="2579"/>
      <c r="G22" s="2489"/>
      <c r="H22" s="2495"/>
      <c r="I22" s="2496"/>
      <c r="J22" s="4590"/>
      <c r="K22" s="4594"/>
      <c r="L22" s="2530" t="s">
        <v>2037</v>
      </c>
      <c r="M22" s="2531"/>
      <c r="N22" s="2531"/>
      <c r="O22" s="2583"/>
      <c r="P22" s="2532">
        <v>365</v>
      </c>
      <c r="Q22" s="2532"/>
      <c r="R22" s="2584">
        <f>ROUND(M22*N22*O22*P22/10000,0)</f>
        <v>0</v>
      </c>
      <c r="S22" s="2489"/>
      <c r="T22" s="2489"/>
      <c r="U22" s="2489"/>
      <c r="V22" s="2496"/>
    </row>
    <row r="23" spans="1:22" s="2473" customFormat="1" ht="13.2" customHeight="1">
      <c r="A23" s="2588">
        <v>1</v>
      </c>
      <c r="B23" s="2589" t="s">
        <v>2038</v>
      </c>
      <c r="C23" s="2590">
        <f>D6</f>
        <v>0</v>
      </c>
      <c r="D23" s="2591">
        <f>C23*(1+D24)</f>
        <v>0</v>
      </c>
      <c r="E23" s="2592">
        <f>D23*(1+E24)</f>
        <v>0</v>
      </c>
      <c r="F23" s="2593"/>
      <c r="G23" s="2594"/>
      <c r="H23" s="2495"/>
      <c r="I23" s="2496"/>
      <c r="J23" s="4590"/>
      <c r="K23" s="4594"/>
      <c r="L23" s="2530" t="s">
        <v>2039</v>
      </c>
      <c r="M23" s="2531"/>
      <c r="N23" s="2531"/>
      <c r="O23" s="2583"/>
      <c r="P23" s="2532">
        <v>365</v>
      </c>
      <c r="Q23" s="2532"/>
      <c r="R23" s="2584">
        <f>ROUND(M23*N23*O23*P23/10000,0)</f>
        <v>0</v>
      </c>
      <c r="S23" s="2489"/>
      <c r="T23" s="2489"/>
      <c r="U23" s="2489"/>
      <c r="V23" s="2496"/>
    </row>
    <row r="24" spans="1:22" s="2473" customFormat="1" ht="13.2" customHeight="1">
      <c r="A24" s="2595"/>
      <c r="B24" s="2596" t="s">
        <v>2040</v>
      </c>
      <c r="C24" s="2590"/>
      <c r="D24" s="2597"/>
      <c r="E24" s="2598"/>
      <c r="F24" s="2599"/>
      <c r="G24" s="2594"/>
      <c r="H24" s="2495"/>
      <c r="I24" s="2496"/>
      <c r="J24" s="4590"/>
      <c r="K24" s="4595"/>
      <c r="L24" s="2555" t="s">
        <v>2005</v>
      </c>
      <c r="M24" s="2556">
        <f>SUM(M21:M23)</f>
        <v>0</v>
      </c>
      <c r="N24" s="2556"/>
      <c r="O24" s="2557"/>
      <c r="P24" s="2577" t="s">
        <v>2024</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2041</v>
      </c>
      <c r="L25" s="2602"/>
      <c r="M25" s="2602"/>
      <c r="N25" s="2602"/>
      <c r="O25" s="2602"/>
      <c r="P25" s="2603"/>
      <c r="Q25" s="2604">
        <v>0</v>
      </c>
      <c r="R25" s="2600">
        <f>ROUND(R14*Q25,0)</f>
        <v>0</v>
      </c>
      <c r="S25" s="2489"/>
      <c r="T25" s="2489"/>
      <c r="U25" s="2489"/>
      <c r="V25" s="2605"/>
    </row>
    <row r="26" spans="1:22" s="2474" customFormat="1" ht="13.2" customHeight="1">
      <c r="A26" s="2588">
        <v>2</v>
      </c>
      <c r="B26" s="2589" t="s">
        <v>2042</v>
      </c>
      <c r="C26" s="2590">
        <f>D7</f>
        <v>0</v>
      </c>
      <c r="D26" s="2606">
        <f>D23*D27</f>
        <v>0</v>
      </c>
      <c r="E26" s="2607">
        <f>E23*E27</f>
        <v>0</v>
      </c>
      <c r="F26" s="2593"/>
      <c r="G26" s="2594"/>
      <c r="H26" s="2495"/>
      <c r="I26" s="2496"/>
      <c r="J26" s="4591">
        <v>5</v>
      </c>
      <c r="K26" s="2608" t="s">
        <v>2043</v>
      </c>
      <c r="L26" s="2609"/>
      <c r="M26" s="2610"/>
      <c r="N26" s="2611" t="s">
        <v>542</v>
      </c>
      <c r="O26" s="2611" t="s">
        <v>2044</v>
      </c>
      <c r="P26" s="2612" t="s">
        <v>2045</v>
      </c>
      <c r="Q26" s="2612" t="s">
        <v>2046</v>
      </c>
      <c r="R26" s="2505" t="s">
        <v>1977</v>
      </c>
      <c r="S26" s="2541"/>
      <c r="T26" s="2541"/>
      <c r="U26" s="2541"/>
      <c r="V26" s="2605"/>
    </row>
    <row r="27" spans="1:22" s="2473" customFormat="1" ht="13.2" customHeight="1">
      <c r="A27" s="2595"/>
      <c r="B27" s="2596" t="s">
        <v>2047</v>
      </c>
      <c r="C27" s="2613" t="e">
        <f>E7</f>
        <v>#DIV/0!</v>
      </c>
      <c r="D27" s="2597"/>
      <c r="E27" s="2598"/>
      <c r="F27" s="2599"/>
      <c r="G27" s="2594"/>
      <c r="H27" s="2614"/>
      <c r="I27" s="2605"/>
      <c r="J27" s="4592"/>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2048</v>
      </c>
      <c r="F28" s="2599"/>
      <c r="G28" s="2489"/>
      <c r="H28" s="2614"/>
      <c r="I28" s="2605"/>
      <c r="J28" s="2620">
        <v>6</v>
      </c>
      <c r="K28" s="2621" t="s">
        <v>2049</v>
      </c>
      <c r="L28" s="2622" t="s">
        <v>2050</v>
      </c>
      <c r="M28" s="2623"/>
      <c r="N28" s="2622" t="s">
        <v>2051</v>
      </c>
      <c r="O28" s="2624"/>
      <c r="P28" s="2622" t="s">
        <v>2052</v>
      </c>
      <c r="Q28" s="2625">
        <v>1.4999999999999999E-2</v>
      </c>
      <c r="R28" s="2626"/>
      <c r="S28" s="2489"/>
      <c r="T28" s="2489"/>
      <c r="U28" s="2489"/>
      <c r="V28" s="2605"/>
    </row>
    <row r="29" spans="1:22" s="2474" customFormat="1" ht="13.2" customHeight="1">
      <c r="A29" s="2588">
        <v>3</v>
      </c>
      <c r="B29" s="2589" t="s">
        <v>2053</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2047</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2054</v>
      </c>
      <c r="K31" s="2487"/>
      <c r="L31" s="2487"/>
      <c r="M31" s="2487"/>
      <c r="N31" s="2487"/>
      <c r="O31" s="2487"/>
      <c r="P31" s="2487"/>
      <c r="Q31" s="2487"/>
      <c r="R31" s="2488"/>
      <c r="S31" s="2489"/>
      <c r="T31" s="2489"/>
      <c r="U31" s="2489"/>
      <c r="V31" s="2605"/>
    </row>
    <row r="32" spans="1:22" s="2474" customFormat="1" ht="13.2" customHeight="1">
      <c r="A32" s="2588">
        <v>4</v>
      </c>
      <c r="B32" s="2589" t="s">
        <v>2055</v>
      </c>
      <c r="C32" s="2590">
        <f>C23-C26-C29</f>
        <v>0</v>
      </c>
      <c r="D32" s="2606">
        <f>D23-D26-D29</f>
        <v>0</v>
      </c>
      <c r="E32" s="2607">
        <f>E23-E26-E29</f>
        <v>0</v>
      </c>
      <c r="F32" s="2593"/>
      <c r="G32" s="2489"/>
      <c r="H32" s="2495"/>
      <c r="I32" s="2496"/>
      <c r="J32" s="4603" t="s">
        <v>1955</v>
      </c>
      <c r="K32" s="4604"/>
      <c r="L32" s="2497" t="s">
        <v>1956</v>
      </c>
      <c r="M32" s="2497" t="s">
        <v>1957</v>
      </c>
      <c r="N32" s="2497" t="s">
        <v>1958</v>
      </c>
      <c r="O32" s="2497" t="s">
        <v>1959</v>
      </c>
      <c r="P32" s="2497" t="s">
        <v>1960</v>
      </c>
      <c r="Q32" s="2498" t="s">
        <v>1961</v>
      </c>
      <c r="R32" s="2629" t="s">
        <v>1962</v>
      </c>
      <c r="S32" s="2489"/>
      <c r="T32" s="2489"/>
      <c r="U32" s="2489"/>
      <c r="V32" s="2605"/>
    </row>
    <row r="33" spans="1:23" s="2473" customFormat="1" ht="13.2" customHeight="1">
      <c r="A33" s="2588"/>
      <c r="B33" s="2589"/>
      <c r="C33" s="2590"/>
      <c r="D33" s="2630"/>
      <c r="E33" s="2631"/>
      <c r="F33" s="2593"/>
      <c r="G33" s="2489"/>
      <c r="H33" s="2614"/>
      <c r="I33" s="2605"/>
      <c r="J33" s="4596" t="s">
        <v>1963</v>
      </c>
      <c r="K33" s="4597"/>
      <c r="L33" s="2632"/>
      <c r="M33" s="2632"/>
      <c r="N33" s="2632"/>
      <c r="O33" s="2632"/>
      <c r="P33" s="2632"/>
      <c r="Q33" s="2633"/>
      <c r="R33" s="2634">
        <f>SUM(L33:Q33)</f>
        <v>0</v>
      </c>
      <c r="S33" s="2489"/>
      <c r="T33" s="2489"/>
      <c r="U33" s="2489"/>
      <c r="V33" s="2496"/>
    </row>
    <row r="34" spans="1:23" s="2473" customFormat="1" ht="13.2" customHeight="1">
      <c r="A34" s="2588">
        <v>5</v>
      </c>
      <c r="B34" s="2589" t="s">
        <v>2056</v>
      </c>
      <c r="C34" s="2635"/>
      <c r="D34" s="2636"/>
      <c r="E34" s="2637"/>
      <c r="F34" s="2593"/>
      <c r="G34" s="2489"/>
      <c r="H34" s="2614"/>
      <c r="I34" s="2605"/>
      <c r="J34" s="4596" t="s">
        <v>1965</v>
      </c>
      <c r="K34" s="4597"/>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2057</v>
      </c>
      <c r="C35" s="2628"/>
      <c r="D35" s="2597"/>
      <c r="E35" s="2598"/>
      <c r="F35" s="2593"/>
      <c r="G35" s="2641"/>
      <c r="H35" s="2495"/>
      <c r="I35" s="2605"/>
      <c r="J35" s="2513" t="s">
        <v>1967</v>
      </c>
      <c r="K35" s="2514"/>
      <c r="L35" s="2514"/>
      <c r="M35" s="2515"/>
      <c r="N35" s="2515"/>
      <c r="O35" s="2515"/>
      <c r="P35" s="2515"/>
      <c r="Q35" s="2515"/>
      <c r="R35" s="2642">
        <f>R40+R41+R43</f>
        <v>0</v>
      </c>
      <c r="S35" s="2489"/>
      <c r="T35" s="2489" t="s">
        <v>1968</v>
      </c>
      <c r="U35" s="2489"/>
      <c r="V35" s="2496"/>
    </row>
    <row r="36" spans="1:23" s="2473" customFormat="1" ht="13.2" customHeight="1">
      <c r="A36" s="2589">
        <v>7</v>
      </c>
      <c r="B36" s="2589" t="s">
        <v>2058</v>
      </c>
      <c r="C36" s="2552"/>
      <c r="D36" s="2552"/>
      <c r="E36" s="2552"/>
      <c r="F36" s="2643">
        <f>C36+D36+E36</f>
        <v>0</v>
      </c>
      <c r="G36" s="2489"/>
      <c r="H36" s="2495"/>
      <c r="I36" s="2496"/>
      <c r="J36" s="4590">
        <v>1</v>
      </c>
      <c r="K36" s="4593" t="s">
        <v>2059</v>
      </c>
      <c r="L36" s="2521"/>
      <c r="M36" s="2522"/>
      <c r="N36" s="2522"/>
      <c r="O36" s="2522"/>
      <c r="P36" s="2522"/>
      <c r="Q36" s="2522"/>
      <c r="R36" s="2505" t="s">
        <v>1977</v>
      </c>
      <c r="S36" s="2489"/>
      <c r="T36" s="2489" t="s">
        <v>1978</v>
      </c>
      <c r="U36" s="2489"/>
      <c r="V36" s="2496"/>
    </row>
    <row r="37" spans="1:23" s="2473" customFormat="1" ht="13.2" customHeight="1">
      <c r="A37" s="2589"/>
      <c r="B37" s="2589"/>
      <c r="C37" s="2596"/>
      <c r="D37" s="2596"/>
      <c r="E37" s="2596"/>
      <c r="F37" s="2589"/>
      <c r="G37" s="2489"/>
      <c r="H37" s="2495"/>
      <c r="I37" s="2496"/>
      <c r="J37" s="4590"/>
      <c r="K37" s="4594"/>
      <c r="L37" s="2644"/>
      <c r="M37" s="2645"/>
      <c r="N37" s="2506"/>
      <c r="O37" s="2506"/>
      <c r="P37" s="2506"/>
      <c r="Q37" s="2506"/>
      <c r="R37" s="2646"/>
      <c r="S37" s="2489"/>
      <c r="T37" s="2489" t="s">
        <v>1981</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590"/>
      <c r="K38" s="4594"/>
      <c r="L38" s="2644"/>
      <c r="M38" s="2645"/>
      <c r="N38" s="2506"/>
      <c r="O38" s="2506"/>
      <c r="P38" s="2506"/>
      <c r="Q38" s="2506"/>
      <c r="R38" s="2646"/>
      <c r="S38" s="2489"/>
      <c r="T38" s="2489" t="s">
        <v>1987</v>
      </c>
      <c r="U38" s="2489"/>
      <c r="V38" s="2496"/>
    </row>
    <row r="39" spans="1:23" s="2473" customFormat="1" ht="13.2" customHeight="1">
      <c r="A39" s="2589">
        <v>9</v>
      </c>
      <c r="B39" s="2589" t="s">
        <v>2060</v>
      </c>
      <c r="C39" s="2549" t="e">
        <f>C38</f>
        <v>#DIV/0!</v>
      </c>
      <c r="D39" s="2549">
        <f>IF(D23=0,0,D38/(1+D34)^C36)</f>
        <v>0</v>
      </c>
      <c r="E39" s="2549">
        <f>IF(E23=0,0,E38/(1+E34)^(C36+D36))</f>
        <v>0</v>
      </c>
      <c r="F39" s="2589"/>
      <c r="G39" s="2496"/>
      <c r="H39" s="2495"/>
      <c r="I39" s="2496"/>
      <c r="J39" s="4590"/>
      <c r="K39" s="4594"/>
      <c r="L39" s="2644"/>
      <c r="M39" s="2645"/>
      <c r="N39" s="2506"/>
      <c r="O39" s="2506"/>
      <c r="P39" s="2506"/>
      <c r="Q39" s="2506"/>
      <c r="R39" s="2646"/>
      <c r="S39" s="2489"/>
      <c r="T39" s="2489"/>
      <c r="U39" s="2489"/>
      <c r="V39" s="2496"/>
    </row>
    <row r="40" spans="1:23" s="2473" customFormat="1" ht="13.2" customHeight="1">
      <c r="A40" s="2589">
        <v>10</v>
      </c>
      <c r="B40" s="2647" t="s">
        <v>2061</v>
      </c>
      <c r="C40" s="2648" t="e">
        <f>C39+D39+E39</f>
        <v>#DIV/0!</v>
      </c>
      <c r="D40" s="2649"/>
      <c r="E40" s="2649"/>
      <c r="F40" s="2650"/>
      <c r="G40" s="2489"/>
      <c r="H40" s="2495"/>
      <c r="I40" s="2496"/>
      <c r="J40" s="4590"/>
      <c r="K40" s="4595"/>
      <c r="L40" s="2555" t="s">
        <v>2005</v>
      </c>
      <c r="M40" s="2556"/>
      <c r="N40" s="2556"/>
      <c r="O40" s="2557"/>
      <c r="P40" s="2557"/>
      <c r="Q40" s="2651"/>
      <c r="R40" s="2652">
        <f>SUM(R37:R39)</f>
        <v>0</v>
      </c>
      <c r="S40" s="2489"/>
      <c r="T40" s="2489"/>
      <c r="U40" s="2489"/>
      <c r="V40" s="2496"/>
    </row>
    <row r="41" spans="1:23" s="2473" customFormat="1" ht="13.2" customHeight="1">
      <c r="A41" s="2589">
        <v>11</v>
      </c>
      <c r="B41" s="2653" t="s">
        <v>2062</v>
      </c>
      <c r="C41" s="2549" t="e">
        <f>ROUND(C40*10000/B4,0)</f>
        <v>#DIV/0!</v>
      </c>
      <c r="D41" s="2649"/>
      <c r="E41" s="2649"/>
      <c r="F41" s="2589"/>
      <c r="G41" s="2495"/>
      <c r="H41" s="2495"/>
      <c r="I41" s="2496"/>
      <c r="J41" s="2520">
        <v>2</v>
      </c>
      <c r="K41" s="2601" t="s">
        <v>2041</v>
      </c>
      <c r="L41" s="2602"/>
      <c r="M41" s="2602"/>
      <c r="N41" s="2602"/>
      <c r="O41" s="2602"/>
      <c r="P41" s="2603"/>
      <c r="Q41" s="2645"/>
      <c r="R41" s="2600">
        <f>ROUND(R40*Q41,0)</f>
        <v>0</v>
      </c>
      <c r="S41" s="2489"/>
      <c r="T41" s="2489"/>
      <c r="U41" s="2541"/>
      <c r="V41" s="2496"/>
    </row>
    <row r="42" spans="1:23" s="2473" customFormat="1" ht="13.2" customHeight="1">
      <c r="A42" s="2654">
        <v>12</v>
      </c>
      <c r="B42" s="2655" t="s">
        <v>2063</v>
      </c>
      <c r="C42" s="2656" t="e">
        <f>ROUND(C40*(1+E1),0)</f>
        <v>#DIV/0!</v>
      </c>
      <c r="D42" s="2654"/>
      <c r="E42" s="2654"/>
      <c r="F42" s="2654"/>
      <c r="G42" s="2495"/>
      <c r="H42" s="2495"/>
      <c r="I42" s="2496"/>
      <c r="J42" s="4591">
        <v>3</v>
      </c>
      <c r="K42" s="2608" t="s">
        <v>2043</v>
      </c>
      <c r="L42" s="2609"/>
      <c r="M42" s="2610"/>
      <c r="N42" s="2611" t="s">
        <v>542</v>
      </c>
      <c r="O42" s="2611" t="s">
        <v>2044</v>
      </c>
      <c r="P42" s="2612" t="s">
        <v>2045</v>
      </c>
      <c r="Q42" s="2612" t="s">
        <v>2046</v>
      </c>
      <c r="R42" s="2505" t="s">
        <v>1977</v>
      </c>
      <c r="S42" s="2541"/>
      <c r="T42" s="2541"/>
      <c r="U42" s="2489"/>
      <c r="V42" s="2496"/>
    </row>
    <row r="43" spans="1:23" ht="13.2" customHeight="1">
      <c r="A43" s="2654">
        <v>13</v>
      </c>
      <c r="B43" s="2654" t="s">
        <v>2064</v>
      </c>
      <c r="C43" s="2657" t="e">
        <f>ROUND(C42*10000/B4,0)</f>
        <v>#DIV/0!</v>
      </c>
      <c r="D43" s="2654"/>
      <c r="E43" s="2654"/>
      <c r="F43" s="2654"/>
      <c r="G43" s="2495"/>
      <c r="H43" s="2495"/>
      <c r="I43" s="2476"/>
      <c r="J43" s="4592"/>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2049</v>
      </c>
      <c r="L44" s="2659" t="s">
        <v>2050</v>
      </c>
      <c r="M44" s="2623"/>
      <c r="N44" s="2659" t="s">
        <v>2051</v>
      </c>
      <c r="O44" s="2660"/>
      <c r="P44" s="2659" t="s">
        <v>2052</v>
      </c>
      <c r="Q44" s="2625">
        <v>1.4999999999999999E-2</v>
      </c>
      <c r="R44" s="2626"/>
    </row>
    <row r="45" spans="1:23" ht="13.2" customHeight="1">
      <c r="A45" s="2473"/>
      <c r="B45" s="2473"/>
      <c r="C45" s="2473"/>
      <c r="D45" s="2473"/>
      <c r="E45" s="2473"/>
      <c r="F45" s="2473"/>
      <c r="G45" s="2495"/>
      <c r="H45" s="2495"/>
    </row>
    <row r="46" spans="1:23" ht="14.4">
      <c r="A46" s="2473"/>
      <c r="B46" s="2473"/>
      <c r="C46" s="2661" t="s">
        <v>2065</v>
      </c>
      <c r="D46" s="2662" t="s">
        <v>2066</v>
      </c>
      <c r="E46" s="2663">
        <f>ROUND(D6*G46,0)</f>
        <v>0</v>
      </c>
      <c r="F46" s="2664" t="s">
        <v>2067</v>
      </c>
      <c r="G46" s="2665">
        <v>0.05</v>
      </c>
      <c r="H46" s="2473"/>
      <c r="I46" s="2658"/>
    </row>
    <row r="47" spans="1:23" ht="13.2" customHeight="1">
      <c r="A47" s="2473"/>
      <c r="B47" s="2473"/>
      <c r="C47" s="2666" t="s">
        <v>1982</v>
      </c>
      <c r="D47" s="2667" t="s">
        <v>2068</v>
      </c>
      <c r="E47" s="2655" t="s">
        <v>2069</v>
      </c>
      <c r="F47" s="2668" t="s">
        <v>1985</v>
      </c>
      <c r="G47" s="2669" t="s">
        <v>2070</v>
      </c>
      <c r="H47" s="2475"/>
      <c r="I47" s="2658"/>
    </row>
    <row r="48" spans="1:23" ht="13.2" customHeight="1">
      <c r="C48" s="2670">
        <v>1</v>
      </c>
      <c r="D48" s="2667" t="s">
        <v>2071</v>
      </c>
      <c r="E48" s="2671">
        <f>E49-E54</f>
        <v>0</v>
      </c>
      <c r="F48" s="2667"/>
      <c r="G48" s="2669"/>
      <c r="H48" s="2475"/>
      <c r="I48" s="2658"/>
    </row>
    <row r="49" spans="1:9" ht="13.2" customHeight="1">
      <c r="C49" s="2670">
        <v>2</v>
      </c>
      <c r="D49" s="2667" t="s">
        <v>2072</v>
      </c>
      <c r="E49" s="2671">
        <f>SUM(E50:E53)</f>
        <v>0</v>
      </c>
      <c r="F49" s="2667"/>
      <c r="G49" s="2672"/>
      <c r="H49" s="2475"/>
      <c r="I49" s="2658"/>
    </row>
    <row r="50" spans="1:9" ht="13.2" customHeight="1">
      <c r="C50" s="2673" t="s">
        <v>2073</v>
      </c>
      <c r="D50" s="2674" t="s">
        <v>2074</v>
      </c>
      <c r="E50" s="2675">
        <f>R14*G50/(1+G50)</f>
        <v>0</v>
      </c>
      <c r="F50" s="2676" t="s">
        <v>2075</v>
      </c>
      <c r="G50" s="2677">
        <v>0.06</v>
      </c>
      <c r="H50" s="2475"/>
      <c r="I50" s="2658"/>
    </row>
    <row r="51" spans="1:9" ht="13.2" customHeight="1">
      <c r="C51" s="2673" t="s">
        <v>2076</v>
      </c>
      <c r="D51" s="2674" t="s">
        <v>2077</v>
      </c>
      <c r="E51" s="2675">
        <f>R19*G51/(1+G51)</f>
        <v>0</v>
      </c>
      <c r="F51" s="2676" t="s">
        <v>2078</v>
      </c>
      <c r="G51" s="2677">
        <v>0.06</v>
      </c>
      <c r="H51" s="2475"/>
      <c r="I51" s="2658"/>
    </row>
    <row r="52" spans="1:9" ht="13.2" customHeight="1">
      <c r="C52" s="2673" t="s">
        <v>2079</v>
      </c>
      <c r="D52" s="2674" t="s">
        <v>2080</v>
      </c>
      <c r="E52" s="2675">
        <f>R24*G52/(1+R24)</f>
        <v>0</v>
      </c>
      <c r="F52" s="2676" t="s">
        <v>2081</v>
      </c>
      <c r="G52" s="2677">
        <v>0.09</v>
      </c>
      <c r="H52" s="2475"/>
      <c r="I52" s="2658"/>
    </row>
    <row r="53" spans="1:9" ht="13.2" customHeight="1">
      <c r="C53" s="2673" t="s">
        <v>2082</v>
      </c>
      <c r="D53" s="2674" t="s">
        <v>2083</v>
      </c>
      <c r="E53" s="2675">
        <f>R27*G53/(1+G53)</f>
        <v>0</v>
      </c>
      <c r="F53" s="2676" t="s">
        <v>2081</v>
      </c>
      <c r="G53" s="2677">
        <v>0.09</v>
      </c>
      <c r="H53" s="2475"/>
      <c r="I53" s="2658"/>
    </row>
    <row r="54" spans="1:9" ht="13.2" customHeight="1">
      <c r="A54" s="2475" t="s">
        <v>2084</v>
      </c>
      <c r="B54" s="2658"/>
      <c r="C54" s="2670">
        <v>3</v>
      </c>
      <c r="D54" s="2667" t="s">
        <v>2085</v>
      </c>
      <c r="E54" s="2671">
        <f>E55+E56+E60</f>
        <v>0</v>
      </c>
      <c r="F54" s="2667"/>
      <c r="G54" s="2672"/>
      <c r="H54" s="2475"/>
      <c r="I54" s="2658"/>
    </row>
    <row r="55" spans="1:9" ht="13.2" customHeight="1">
      <c r="A55" s="2678">
        <v>0.05</v>
      </c>
      <c r="B55" s="2679" t="s">
        <v>2086</v>
      </c>
      <c r="C55" s="2673" t="s">
        <v>2073</v>
      </c>
      <c r="D55" s="2674" t="s">
        <v>2087</v>
      </c>
      <c r="E55" s="2675">
        <f>D9*G55/(1+G55)</f>
        <v>0</v>
      </c>
      <c r="F55" s="2680" t="s">
        <v>2088</v>
      </c>
      <c r="G55" s="2677">
        <v>0.13</v>
      </c>
      <c r="H55" s="2475"/>
      <c r="I55" s="2658"/>
    </row>
    <row r="56" spans="1:9" ht="13.2" customHeight="1">
      <c r="A56" s="2678">
        <f>SUM(A57:A59)</f>
        <v>0.39</v>
      </c>
      <c r="B56" s="2679"/>
      <c r="C56" s="2673" t="s">
        <v>2076</v>
      </c>
      <c r="D56" s="2674" t="s">
        <v>2089</v>
      </c>
      <c r="E56" s="2675">
        <f>SUM(E57:E59)</f>
        <v>0</v>
      </c>
      <c r="F56" s="2676"/>
      <c r="G56" s="2681"/>
      <c r="H56" s="2475" t="s">
        <v>2090</v>
      </c>
      <c r="I56" s="2475" t="s">
        <v>2091</v>
      </c>
    </row>
    <row r="57" spans="1:9" ht="13.2" customHeight="1">
      <c r="A57" s="2678">
        <v>0.25</v>
      </c>
      <c r="B57" s="2679" t="s">
        <v>2092</v>
      </c>
      <c r="C57" s="2682" t="s">
        <v>2093</v>
      </c>
      <c r="D57" s="2683" t="s">
        <v>2094</v>
      </c>
      <c r="E57" s="2684">
        <v>0</v>
      </c>
      <c r="F57" s="2685"/>
      <c r="G57" s="2686" t="s">
        <v>2095</v>
      </c>
      <c r="H57" s="2687">
        <v>0.65</v>
      </c>
      <c r="I57" s="2688">
        <f>A57/SUM(A57:A59)</f>
        <v>0.64102564102564097</v>
      </c>
    </row>
    <row r="58" spans="1:9" ht="13.2" customHeight="1">
      <c r="A58" s="2678">
        <v>0.06</v>
      </c>
      <c r="B58" s="2679" t="s">
        <v>2096</v>
      </c>
      <c r="C58" s="2682" t="s">
        <v>2097</v>
      </c>
      <c r="D58" s="2689" t="s">
        <v>2098</v>
      </c>
      <c r="E58" s="2684">
        <f>D10*H58*G58/(1+G58)</f>
        <v>0</v>
      </c>
      <c r="F58" s="2685" t="s">
        <v>2099</v>
      </c>
      <c r="G58" s="2690">
        <v>0.09</v>
      </c>
      <c r="H58" s="2687">
        <v>0.15</v>
      </c>
      <c r="I58" s="2688">
        <f>A58/SUM(A57:A59)</f>
        <v>0.15384615384615399</v>
      </c>
    </row>
    <row r="59" spans="1:9" ht="13.2" customHeight="1">
      <c r="A59" s="2678">
        <v>0.08</v>
      </c>
      <c r="B59" s="2679" t="s">
        <v>2100</v>
      </c>
      <c r="C59" s="2682" t="s">
        <v>2101</v>
      </c>
      <c r="D59" s="2683" t="s">
        <v>2102</v>
      </c>
      <c r="E59" s="2684">
        <f>D10*H59*G59/(1+G59)</f>
        <v>0</v>
      </c>
      <c r="F59" s="2685" t="s">
        <v>2103</v>
      </c>
      <c r="G59" s="2690">
        <v>0.06</v>
      </c>
      <c r="H59" s="2687">
        <v>0.2</v>
      </c>
      <c r="I59" s="2688">
        <f>1-I57-I58</f>
        <v>0.20512820512820501</v>
      </c>
    </row>
    <row r="60" spans="1:9" ht="13.2" customHeight="1">
      <c r="A60" s="2678">
        <f>SUM(A61:A62)</f>
        <v>0.1</v>
      </c>
      <c r="B60" s="2679"/>
      <c r="C60" s="2673" t="s">
        <v>2079</v>
      </c>
      <c r="D60" s="2674" t="s">
        <v>2104</v>
      </c>
      <c r="E60" s="2675">
        <f>SUM(E61:E62)</f>
        <v>0</v>
      </c>
      <c r="F60" s="2676"/>
      <c r="G60" s="2691"/>
      <c r="I60" s="2658"/>
    </row>
    <row r="61" spans="1:9" ht="13.2" customHeight="1">
      <c r="A61" s="2678">
        <v>0.05</v>
      </c>
      <c r="B61" s="2679" t="s">
        <v>2086</v>
      </c>
      <c r="C61" s="2682" t="s">
        <v>2093</v>
      </c>
      <c r="D61" s="2683" t="s">
        <v>2105</v>
      </c>
      <c r="E61" s="2684">
        <f>D17*H61*G61/(1+G61)</f>
        <v>0</v>
      </c>
      <c r="F61" s="2685" t="s">
        <v>2103</v>
      </c>
      <c r="G61" s="2690">
        <v>0.06</v>
      </c>
      <c r="H61" s="2687">
        <v>0.5</v>
      </c>
      <c r="I61" s="2658"/>
    </row>
    <row r="62" spans="1:9" ht="13.2" customHeight="1">
      <c r="A62" s="2678">
        <v>0.05</v>
      </c>
      <c r="B62" s="2679" t="s">
        <v>2067</v>
      </c>
      <c r="C62" s="2692" t="s">
        <v>2097</v>
      </c>
      <c r="D62" s="2693" t="s">
        <v>2106</v>
      </c>
      <c r="E62" s="2694">
        <f>D17*H62*G62/(1+G62)</f>
        <v>0</v>
      </c>
      <c r="F62" s="2695" t="s">
        <v>2107</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2108</v>
      </c>
      <c r="D65" s="2662" t="s">
        <v>2066</v>
      </c>
      <c r="E65" s="2663">
        <f>ROUND(D6*G65,0)</f>
        <v>0</v>
      </c>
      <c r="F65" s="2664" t="s">
        <v>2109</v>
      </c>
      <c r="G65" s="2665">
        <v>0.03</v>
      </c>
      <c r="H65" s="2475"/>
      <c r="I65" s="2658"/>
    </row>
    <row r="66" spans="1:9">
      <c r="C66" s="2666" t="s">
        <v>1982</v>
      </c>
      <c r="D66" s="2667" t="s">
        <v>2068</v>
      </c>
      <c r="E66" s="2655" t="s">
        <v>2069</v>
      </c>
      <c r="F66" s="2668" t="s">
        <v>1985</v>
      </c>
      <c r="G66" s="2669" t="s">
        <v>2070</v>
      </c>
      <c r="H66" s="2475"/>
      <c r="I66" s="2658"/>
    </row>
    <row r="67" spans="1:9" ht="12">
      <c r="C67" s="2670">
        <v>1</v>
      </c>
      <c r="D67" s="2667" t="s">
        <v>2071</v>
      </c>
      <c r="E67" s="2697">
        <f>E68-E73</f>
        <v>0</v>
      </c>
      <c r="F67" s="2667"/>
      <c r="G67" s="2669"/>
      <c r="H67" s="2475"/>
      <c r="I67" s="2658"/>
    </row>
    <row r="68" spans="1:9" ht="13.2" customHeight="1">
      <c r="C68" s="2698">
        <v>2</v>
      </c>
      <c r="D68" s="2667" t="s">
        <v>2072</v>
      </c>
      <c r="E68" s="2697">
        <f>SUM(E69:E70)</f>
        <v>0</v>
      </c>
      <c r="F68" s="2667"/>
      <c r="G68" s="2669"/>
      <c r="H68" s="2475"/>
      <c r="I68" s="2658"/>
    </row>
    <row r="69" spans="1:9" ht="13.2" customHeight="1">
      <c r="C69" s="2673" t="s">
        <v>2073</v>
      </c>
      <c r="D69" s="2674" t="s">
        <v>2110</v>
      </c>
      <c r="E69" s="2674"/>
      <c r="F69" s="2676" t="s">
        <v>2081</v>
      </c>
      <c r="G69" s="2699">
        <v>0.09</v>
      </c>
      <c r="H69" s="2475"/>
      <c r="I69" s="2658"/>
    </row>
    <row r="70" spans="1:9" ht="13.2" customHeight="1">
      <c r="C70" s="2673" t="s">
        <v>2076</v>
      </c>
      <c r="D70" s="2674" t="s">
        <v>2111</v>
      </c>
      <c r="E70" s="2674"/>
      <c r="F70" s="2676" t="s">
        <v>2112</v>
      </c>
      <c r="G70" s="2699">
        <v>0.06</v>
      </c>
      <c r="H70" s="2475"/>
      <c r="I70" s="2658"/>
    </row>
    <row r="71" spans="1:9" ht="13.2" customHeight="1">
      <c r="A71" s="2475" t="s">
        <v>2084</v>
      </c>
      <c r="C71" s="2698">
        <v>3</v>
      </c>
      <c r="D71" s="2667" t="s">
        <v>2085</v>
      </c>
      <c r="E71" s="2697">
        <f>E72+E77</f>
        <v>0</v>
      </c>
      <c r="F71" s="2667"/>
      <c r="G71" s="2669"/>
      <c r="H71" s="2475"/>
      <c r="I71" s="2658"/>
    </row>
    <row r="72" spans="1:9" ht="13.2" customHeight="1">
      <c r="A72" s="2678">
        <v>0.05</v>
      </c>
      <c r="B72" s="2700"/>
      <c r="C72" s="2673" t="s">
        <v>2073</v>
      </c>
      <c r="D72" s="2674" t="s">
        <v>2087</v>
      </c>
      <c r="E72" s="2674">
        <f>D9*G72/(1+G72)</f>
        <v>0</v>
      </c>
      <c r="F72" s="2680" t="s">
        <v>2088</v>
      </c>
      <c r="G72" s="2699">
        <v>0.13</v>
      </c>
      <c r="H72" s="2475"/>
      <c r="I72" s="2658"/>
    </row>
    <row r="73" spans="1:9" ht="13.2" customHeight="1">
      <c r="A73" s="2678">
        <f>SUM(A74:A76)</f>
        <v>0.2</v>
      </c>
      <c r="B73" s="2700"/>
      <c r="C73" s="2673" t="s">
        <v>2076</v>
      </c>
      <c r="D73" s="2674" t="s">
        <v>2089</v>
      </c>
      <c r="E73" s="2674">
        <f>SUM(E74:E76)</f>
        <v>0</v>
      </c>
      <c r="F73" s="2676"/>
      <c r="G73" s="2681"/>
      <c r="H73" s="2475" t="s">
        <v>2090</v>
      </c>
      <c r="I73" s="2475" t="s">
        <v>2091</v>
      </c>
    </row>
    <row r="74" spans="1:9" ht="13.2" customHeight="1">
      <c r="A74" s="2678">
        <v>0.05</v>
      </c>
      <c r="B74" s="2700" t="s">
        <v>2113</v>
      </c>
      <c r="C74" s="2701" t="s">
        <v>2114</v>
      </c>
      <c r="D74" s="2683" t="s">
        <v>2094</v>
      </c>
      <c r="E74" s="2683">
        <v>0</v>
      </c>
      <c r="F74" s="2685"/>
      <c r="G74" s="2686" t="s">
        <v>2095</v>
      </c>
      <c r="H74" s="2687">
        <v>0.25</v>
      </c>
      <c r="I74" s="2688">
        <f>A74/SUM(A74:A76)</f>
        <v>0.25</v>
      </c>
    </row>
    <row r="75" spans="1:9" ht="13.2" customHeight="1">
      <c r="A75" s="2678">
        <v>0.1</v>
      </c>
      <c r="B75" s="2700" t="s">
        <v>2115</v>
      </c>
      <c r="C75" s="2701" t="s">
        <v>2116</v>
      </c>
      <c r="D75" s="2689" t="s">
        <v>2098</v>
      </c>
      <c r="E75" s="2683">
        <f>D10*H75*G75/(1+G75)</f>
        <v>0</v>
      </c>
      <c r="F75" s="2685" t="s">
        <v>2099</v>
      </c>
      <c r="G75" s="2702">
        <v>0.09</v>
      </c>
      <c r="H75" s="2687">
        <v>0.5</v>
      </c>
      <c r="I75" s="2688">
        <f>A75/SUM(A74:A76)</f>
        <v>0.5</v>
      </c>
    </row>
    <row r="76" spans="1:9" ht="13.2" customHeight="1">
      <c r="A76" s="2678">
        <v>0.05</v>
      </c>
      <c r="B76" s="2700" t="s">
        <v>2117</v>
      </c>
      <c r="C76" s="2701" t="s">
        <v>2118</v>
      </c>
      <c r="D76" s="2683" t="s">
        <v>2102</v>
      </c>
      <c r="E76" s="2683">
        <f>D10*H76*G76/(1+G76)</f>
        <v>0</v>
      </c>
      <c r="F76" s="2685" t="s">
        <v>2103</v>
      </c>
      <c r="G76" s="2702">
        <v>0.06</v>
      </c>
      <c r="H76" s="2687">
        <v>0.25</v>
      </c>
      <c r="I76" s="2688">
        <f>1-I74-I75</f>
        <v>0.25</v>
      </c>
    </row>
    <row r="77" spans="1:9" ht="13.2" customHeight="1">
      <c r="A77" s="2678">
        <f>SUM(A78:A79)</f>
        <v>0.1</v>
      </c>
      <c r="B77" s="2700"/>
      <c r="C77" s="2673" t="s">
        <v>2079</v>
      </c>
      <c r="D77" s="2674" t="s">
        <v>2104</v>
      </c>
      <c r="E77" s="2674">
        <f>SUM(E78:E79)</f>
        <v>0</v>
      </c>
      <c r="F77" s="2676"/>
      <c r="G77" s="2681"/>
      <c r="I77" s="2658"/>
    </row>
    <row r="78" spans="1:9" ht="13.2" customHeight="1">
      <c r="A78" s="2678">
        <v>0.05</v>
      </c>
      <c r="B78" s="2700" t="s">
        <v>2096</v>
      </c>
      <c r="C78" s="2701" t="s">
        <v>2114</v>
      </c>
      <c r="D78" s="2683" t="s">
        <v>2105</v>
      </c>
      <c r="E78" s="2683">
        <f>D17*H78*G78/(1+G78)</f>
        <v>0</v>
      </c>
      <c r="F78" s="2685" t="s">
        <v>2103</v>
      </c>
      <c r="G78" s="2702">
        <v>0.06</v>
      </c>
      <c r="H78" s="2687">
        <v>0.5</v>
      </c>
      <c r="I78" s="2658"/>
    </row>
    <row r="79" spans="1:9" ht="13.2" customHeight="1">
      <c r="A79" s="2678">
        <v>0.05</v>
      </c>
      <c r="B79" s="2700" t="s">
        <v>2119</v>
      </c>
      <c r="C79" s="2703" t="s">
        <v>2116</v>
      </c>
      <c r="D79" s="2693" t="s">
        <v>2106</v>
      </c>
      <c r="E79" s="2693">
        <f>D17*H79*G79/(1+G79)</f>
        <v>0</v>
      </c>
      <c r="F79" s="2695" t="s">
        <v>2107</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2120</v>
      </c>
      <c r="B1" s="1092"/>
      <c r="C1" s="1092"/>
      <c r="D1" s="1092"/>
      <c r="E1" s="2453"/>
      <c r="F1" s="2454"/>
      <c r="G1" s="2455"/>
      <c r="H1" s="2455"/>
      <c r="I1" s="2455"/>
      <c r="J1" s="2455"/>
      <c r="K1" s="2455"/>
      <c r="L1" s="2455"/>
      <c r="M1" s="2455"/>
      <c r="N1" s="2455"/>
      <c r="O1" s="2455"/>
      <c r="P1" s="2455"/>
      <c r="Q1" s="2455"/>
      <c r="R1" s="2455"/>
      <c r="S1" s="2455"/>
    </row>
    <row r="2" spans="1:22" ht="15.6">
      <c r="A2" s="2456" t="s">
        <v>1117</v>
      </c>
      <c r="B2" s="795">
        <f ca="1">SUMIF(B6:B13,"&lt;&gt;#ref!",B6:B13)</f>
        <v>2019</v>
      </c>
      <c r="C2" s="2457" t="s">
        <v>2121</v>
      </c>
      <c r="D2" s="2458" t="s">
        <v>2122</v>
      </c>
      <c r="E2" s="2459">
        <f>SUM(E6:E13)</f>
        <v>9602.89</v>
      </c>
      <c r="F2" s="2454"/>
      <c r="G2" s="2455"/>
      <c r="H2" s="2455"/>
      <c r="I2" s="2455"/>
      <c r="J2" s="2455"/>
      <c r="K2" s="2455"/>
      <c r="L2" s="2455"/>
      <c r="M2" s="2455"/>
      <c r="N2" s="2455"/>
      <c r="O2" s="2455"/>
      <c r="P2" s="2455"/>
      <c r="Q2" s="2455"/>
      <c r="R2" s="2455"/>
      <c r="S2" s="2455"/>
    </row>
    <row r="3" spans="1:22" ht="15.6">
      <c r="A3" s="2456" t="s">
        <v>1118</v>
      </c>
      <c r="B3" s="2460">
        <f ca="1">ROUND(B2*10000/E2,0)</f>
        <v>2102</v>
      </c>
      <c r="C3" s="2457" t="s">
        <v>2123</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2124</v>
      </c>
      <c r="B5" s="4610" t="s">
        <v>2125</v>
      </c>
      <c r="C5" s="4611"/>
      <c r="D5" s="2465"/>
      <c r="E5" s="2464" t="s">
        <v>2126</v>
      </c>
      <c r="F5" s="2313" t="s">
        <v>2127</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2121</v>
      </c>
      <c r="D6" s="2454"/>
      <c r="E6" s="2468">
        <f>IF(OR(A6=0,F6="否"),0,'数据-取费表'!K6+'数据-取费表'!S6)</f>
        <v>0</v>
      </c>
      <c r="F6" s="2469" t="s">
        <v>2128</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0</v>
      </c>
      <c r="C7" s="2457" t="s">
        <v>2121</v>
      </c>
      <c r="D7" s="2454"/>
      <c r="E7" s="2468">
        <f>IF(OR(A7=0,F7="否"),0,'数据-取费表'!K7+'数据-取费表'!S7)</f>
        <v>0</v>
      </c>
      <c r="F7" s="2469" t="s">
        <v>2128</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2019</v>
      </c>
      <c r="C8" s="2457" t="s">
        <v>2121</v>
      </c>
      <c r="D8" s="2454"/>
      <c r="E8" s="2468">
        <f>IF(OR(A8=0,F8="否"),0,'数据-取费表'!K8+'数据-取费表'!S8)</f>
        <v>9602.89</v>
      </c>
      <c r="F8" s="2469" t="s">
        <v>2128</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2121</v>
      </c>
      <c r="D9" s="2454"/>
      <c r="E9" s="2468">
        <f>IF(OR(A9=0,F9="否"),0,'数据-取费表'!K9+'数据-取费表'!S9)</f>
        <v>0</v>
      </c>
      <c r="F9" s="2469" t="s">
        <v>2128</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2121</v>
      </c>
      <c r="D10" s="2454"/>
      <c r="E10" s="2468">
        <f>IF(OR(A10=0,F10="否"),0,'数据-取费表'!K10+'数据-取费表'!S10)</f>
        <v>0</v>
      </c>
      <c r="F10" s="2469" t="s">
        <v>2128</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2121</v>
      </c>
      <c r="D11" s="2454"/>
      <c r="E11" s="2468">
        <f>IF(OR(A11=0,F11="否"),0,'数据-取费表'!K11+'数据-取费表'!S11)</f>
        <v>0</v>
      </c>
      <c r="F11" s="2469" t="s">
        <v>2128</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2121</v>
      </c>
      <c r="D12" s="2454"/>
      <c r="E12" s="2468">
        <f>IF(OR(A12=0,F12="否"),0,'数据-取费表'!K12+'数据-取费表'!S12)</f>
        <v>0</v>
      </c>
      <c r="F12" s="2469" t="s">
        <v>2128</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2121</v>
      </c>
      <c r="D13" s="2472"/>
      <c r="E13" s="2468">
        <f>IF(OR(A13=0,F13="否"),0,'数据-取费表'!K13+'数据-取费表'!S13)</f>
        <v>0</v>
      </c>
      <c r="F13" s="2469" t="s">
        <v>2128</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11094.04平方米，建筑面积为25832.71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11094.04平方米，规划建筑面积为25832.71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2129</v>
      </c>
      <c r="C1" s="4612" t="s">
        <v>2130</v>
      </c>
      <c r="D1" s="4613"/>
      <c r="E1" s="4613"/>
      <c r="F1" s="4613"/>
      <c r="G1" s="4613"/>
      <c r="H1" s="4613"/>
      <c r="I1" s="4613"/>
      <c r="J1" s="4613"/>
      <c r="K1" s="4613"/>
      <c r="L1" s="4613"/>
      <c r="M1" s="4613"/>
      <c r="N1" s="4613"/>
      <c r="O1" s="4613"/>
      <c r="P1" s="4613"/>
      <c r="Q1" s="4613"/>
      <c r="R1" s="4613"/>
      <c r="S1" s="4614"/>
      <c r="T1" s="2347" t="s">
        <v>2131</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2132</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2133</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2134</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2135</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2136</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2137</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2138</v>
      </c>
      <c r="B17" s="2410" t="s">
        <v>2139</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2140</v>
      </c>
      <c r="E19" s="2429"/>
      <c r="F19" s="2429"/>
      <c r="G19" s="2429"/>
      <c r="H19" s="2099"/>
      <c r="I19" s="2427"/>
      <c r="J19" s="2427"/>
      <c r="K19" s="2427"/>
      <c r="L19" s="2427"/>
      <c r="M19" s="2427"/>
      <c r="N19" s="2427"/>
      <c r="O19" s="2427"/>
      <c r="P19" s="2427"/>
      <c r="Q19" s="2427"/>
      <c r="R19" s="2427"/>
      <c r="S19" s="662"/>
    </row>
    <row r="20" spans="1:45" ht="15.6">
      <c r="A20" s="2430" t="s">
        <v>2141</v>
      </c>
      <c r="B20" s="2431" t="e">
        <f ca="1">IF(D20="——",S22,S22-F20)</f>
        <v>#REF!</v>
      </c>
      <c r="C20" s="2427"/>
      <c r="D20" s="2432"/>
      <c r="E20" s="2433"/>
      <c r="F20" s="2434" t="e">
        <f ca="1">SUMIF(INDIRECT("'"&amp;H20&amp;"'"&amp;"!A:A"),"承租人权益价值",INDIRECT("'"&amp;H20&amp;"'"&amp;"!c:c"))</f>
        <v>#REF!</v>
      </c>
      <c r="G20" s="2347" t="s">
        <v>889</v>
      </c>
      <c r="H20" s="2435"/>
      <c r="I20" s="2427"/>
      <c r="J20" s="2427"/>
      <c r="K20" s="2427"/>
      <c r="L20" s="2427"/>
      <c r="M20" s="2427"/>
      <c r="N20" s="2427"/>
      <c r="O20" s="2427"/>
      <c r="P20" s="2427"/>
      <c r="Q20" s="2427"/>
      <c r="R20" s="2427"/>
      <c r="S20" s="662"/>
    </row>
    <row r="21" spans="1:45" ht="15.6">
      <c r="A21" s="2430" t="s">
        <v>2142</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2143</v>
      </c>
      <c r="B22" s="2436">
        <f>SUM(B24:B10000)</f>
        <v>0</v>
      </c>
      <c r="C22" s="4615" t="s">
        <v>124</v>
      </c>
      <c r="D22" s="4616"/>
      <c r="E22" s="4616"/>
      <c r="F22" s="4616"/>
      <c r="G22" s="4616"/>
      <c r="H22" s="4616"/>
      <c r="I22" s="4616"/>
      <c r="J22" s="4616"/>
      <c r="K22" s="4616"/>
      <c r="L22" s="4616"/>
      <c r="M22" s="4616"/>
      <c r="N22" s="4616"/>
      <c r="O22" s="4616"/>
      <c r="P22" s="4616"/>
      <c r="Q22" s="4617"/>
      <c r="R22" s="2053" t="e">
        <f>ROUND(S22*10000/B22,0)</f>
        <v>#DIV/0!</v>
      </c>
      <c r="S22" s="2053">
        <f>SUM(S24:S10000)</f>
        <v>0</v>
      </c>
    </row>
    <row r="23" spans="1:45" s="2346" customFormat="1" ht="24">
      <c r="A23" s="2440" t="s">
        <v>2144</v>
      </c>
      <c r="B23" s="2441" t="s">
        <v>542</v>
      </c>
      <c r="C23" s="2440" t="s">
        <v>2131</v>
      </c>
      <c r="D23" s="2054" t="str">
        <f>B5</f>
        <v>修正项2</v>
      </c>
      <c r="E23" s="2440" t="s">
        <v>2131</v>
      </c>
      <c r="F23" s="2054" t="str">
        <f>B7</f>
        <v>修正项3</v>
      </c>
      <c r="G23" s="2440" t="s">
        <v>2131</v>
      </c>
      <c r="H23" s="2054" t="str">
        <f>B9</f>
        <v>修正项4</v>
      </c>
      <c r="I23" s="2440" t="s">
        <v>2131</v>
      </c>
      <c r="J23" s="2054" t="str">
        <f>B11</f>
        <v>修正项5</v>
      </c>
      <c r="K23" s="2440" t="s">
        <v>2131</v>
      </c>
      <c r="L23" s="2054" t="str">
        <f>B13</f>
        <v>修正项6</v>
      </c>
      <c r="M23" s="2440" t="s">
        <v>2131</v>
      </c>
      <c r="N23" s="2054" t="str">
        <f>B15</f>
        <v>修正项7</v>
      </c>
      <c r="O23" s="2440" t="s">
        <v>2131</v>
      </c>
      <c r="P23" s="2054" t="str">
        <f>B17</f>
        <v>楼层</v>
      </c>
      <c r="Q23" s="2440" t="s">
        <v>2131</v>
      </c>
      <c r="R23" s="2440" t="s">
        <v>2145</v>
      </c>
      <c r="S23" s="2440" t="s">
        <v>2146</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2147</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 zoomScaleNormal="60" workbookViewId="0">
      <selection activeCell="N49" sqref="N49"/>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2148</v>
      </c>
      <c r="B1" s="2242" t="s">
        <v>2149</v>
      </c>
      <c r="C1" s="1550" t="s">
        <v>2150</v>
      </c>
      <c r="D1" s="1543" t="s">
        <v>232</v>
      </c>
      <c r="E1" s="1782" t="s">
        <v>2151</v>
      </c>
      <c r="F1" s="1545" t="s">
        <v>2152</v>
      </c>
      <c r="G1" s="1546" t="s">
        <v>1116</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1117</v>
      </c>
      <c r="B2" s="1553">
        <f>IF(C2="含税",D2,ROUND(D2/(1+F3),0))</f>
        <v>54152</v>
      </c>
      <c r="C2" s="1554" t="s">
        <v>1743</v>
      </c>
      <c r="D2" s="2244">
        <f>IF(E1="项目模式",IF(E2="——",ROUND(C49*D3/10000,0),ROUND(C49*D3/10000,0)-F2),IF(E1="单套模式",IF(E2="——",ROUND(C49*D3/10000,4),ROUND(C49*D3/10000,4)-F2)))</f>
        <v>59026</v>
      </c>
      <c r="E2" s="2245" t="s">
        <v>124</v>
      </c>
      <c r="F2" s="2246" t="e">
        <f ca="1">IF(E1="项目模式",SUMIF(INDIRECT("'"&amp;H2&amp;"'"&amp;"!A:A"),"承租人权益价值",INDIRECT("'"&amp;H2&amp;"'"&amp;"!c:c")),SUMIF(INDIRECT("'"&amp;H2&amp;"'"&amp;"!A:A"),"承租人权益价值（单套）",INDIRECT("'"&amp;H2&amp;"'"&amp;"!c:c")))</f>
        <v>#REF!</v>
      </c>
      <c r="G2" s="1558" t="s">
        <v>1409</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1118</v>
      </c>
      <c r="B3" s="1560">
        <f>IF(E2="——",C49,ROUND(B2*10000/D3,0))</f>
        <v>36369</v>
      </c>
      <c r="C3" s="1561" t="s">
        <v>1119</v>
      </c>
      <c r="D3" s="2253">
        <f>IF(D1="",'数据-汇总表'!E3,SUMIF('数据-汇总表'!$C19:$C33,D1,'数据-汇总表'!$E19:$E33))</f>
        <v>16229.82</v>
      </c>
      <c r="E3" s="2254" t="s">
        <v>2153</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1123</v>
      </c>
      <c r="B4" s="1565"/>
      <c r="C4" s="4559" t="s">
        <v>1124</v>
      </c>
      <c r="D4" s="4560"/>
      <c r="E4" s="4561" t="s">
        <v>1125</v>
      </c>
      <c r="F4" s="4562"/>
      <c r="G4" s="4559" t="s">
        <v>1126</v>
      </c>
      <c r="H4" s="4560"/>
      <c r="I4" s="4559" t="s">
        <v>1127</v>
      </c>
      <c r="J4" s="4560"/>
      <c r="K4" s="2256" t="s">
        <v>1128</v>
      </c>
      <c r="L4" s="1218"/>
      <c r="M4" s="1219"/>
      <c r="N4" s="1219"/>
      <c r="O4" s="1219"/>
      <c r="P4" s="4518" t="s">
        <v>1129</v>
      </c>
      <c r="Q4" s="4519"/>
      <c r="R4" s="4524" t="s">
        <v>1125</v>
      </c>
      <c r="S4" s="4525"/>
      <c r="T4" s="4524" t="s">
        <v>1126</v>
      </c>
      <c r="U4" s="4525"/>
      <c r="V4" s="4530" t="s">
        <v>1127</v>
      </c>
      <c r="W4" s="4530"/>
      <c r="X4" s="1220"/>
      <c r="Y4" s="4531" t="s">
        <v>1129</v>
      </c>
      <c r="Z4" s="4532"/>
      <c r="AA4" s="4511" t="s">
        <v>1125</v>
      </c>
      <c r="AB4" s="4511" t="s">
        <v>1126</v>
      </c>
      <c r="AC4" s="4511" t="s">
        <v>1127</v>
      </c>
    </row>
    <row r="5" spans="1:29">
      <c r="A5" s="1570"/>
      <c r="B5" s="1571"/>
      <c r="C5" s="4563" t="s">
        <v>1130</v>
      </c>
      <c r="D5" s="4564"/>
      <c r="E5" s="4565" t="s">
        <v>2154</v>
      </c>
      <c r="F5" s="4566"/>
      <c r="G5" s="4567" t="s">
        <v>2155</v>
      </c>
      <c r="H5" s="4564"/>
      <c r="I5" s="4567" t="s">
        <v>2156</v>
      </c>
      <c r="J5" s="4564"/>
      <c r="K5" s="2257"/>
      <c r="L5" s="1218"/>
      <c r="M5" s="1219"/>
      <c r="N5" s="1219"/>
      <c r="O5" s="1219"/>
      <c r="P5" s="4520"/>
      <c r="Q5" s="4521"/>
      <c r="R5" s="4526"/>
      <c r="S5" s="4527"/>
      <c r="T5" s="4526"/>
      <c r="U5" s="4527"/>
      <c r="V5" s="4530"/>
      <c r="W5" s="4530"/>
      <c r="X5" s="1220"/>
      <c r="Y5" s="4533"/>
      <c r="Z5" s="4534"/>
      <c r="AA5" s="4512"/>
      <c r="AB5" s="4512"/>
      <c r="AC5" s="4512"/>
    </row>
    <row r="6" spans="1:29" ht="14.4">
      <c r="A6" s="1573"/>
      <c r="B6" s="1574"/>
      <c r="C6" s="4554" t="s">
        <v>1134</v>
      </c>
      <c r="D6" s="4555"/>
      <c r="E6" s="4556" t="s">
        <v>2157</v>
      </c>
      <c r="F6" s="4557"/>
      <c r="G6" s="4554" t="s">
        <v>2157</v>
      </c>
      <c r="H6" s="4555"/>
      <c r="I6" s="4554" t="s">
        <v>1134</v>
      </c>
      <c r="J6" s="4555"/>
      <c r="K6" s="2257" t="s">
        <v>1135</v>
      </c>
      <c r="L6" s="1218"/>
      <c r="M6" s="1219"/>
      <c r="N6" s="1219"/>
      <c r="O6" s="1219"/>
      <c r="P6" s="4522"/>
      <c r="Q6" s="4523"/>
      <c r="R6" s="4526"/>
      <c r="S6" s="4527"/>
      <c r="T6" s="4528"/>
      <c r="U6" s="4529"/>
      <c r="V6" s="4530"/>
      <c r="W6" s="4530"/>
      <c r="X6" s="1220"/>
      <c r="Y6" s="4535"/>
      <c r="Z6" s="4536"/>
      <c r="AA6" s="4513"/>
      <c r="AB6" s="4513"/>
      <c r="AC6" s="4513"/>
    </row>
    <row r="7" spans="1:29" s="1186" customFormat="1" ht="14.4">
      <c r="A7" s="1576" t="s">
        <v>1136</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44" t="s">
        <v>1138</v>
      </c>
      <c r="Q7" s="4558"/>
      <c r="R7" s="1738" t="s">
        <v>1139</v>
      </c>
      <c r="S7" s="1739">
        <f t="shared" ref="S7:S15" si="0">F7</f>
        <v>100</v>
      </c>
      <c r="T7" s="1738" t="s">
        <v>1139</v>
      </c>
      <c r="U7" s="1739">
        <f t="shared" ref="U7:U15" si="1">H7</f>
        <v>100</v>
      </c>
      <c r="V7" s="1738" t="s">
        <v>1139</v>
      </c>
      <c r="W7" s="1739">
        <f t="shared" ref="W7:W15" si="2">J7</f>
        <v>100</v>
      </c>
      <c r="X7" s="1239"/>
      <c r="Y7" s="4542" t="s">
        <v>1138</v>
      </c>
      <c r="Z7" s="4543"/>
      <c r="AA7" s="1241">
        <f>D7/F7</f>
        <v>1</v>
      </c>
      <c r="AB7" s="1241">
        <f>D7/H7</f>
        <v>1</v>
      </c>
      <c r="AC7" s="1241">
        <f>D7/J7</f>
        <v>1</v>
      </c>
    </row>
    <row r="8" spans="1:29" s="1186" customFormat="1" ht="14.4">
      <c r="A8" s="1576" t="s">
        <v>1140</v>
      </c>
      <c r="B8" s="1577"/>
      <c r="C8" s="1242" t="s">
        <v>1141</v>
      </c>
      <c r="D8" s="1228">
        <v>100</v>
      </c>
      <c r="E8" s="2259" t="s">
        <v>1141</v>
      </c>
      <c r="F8" s="1230">
        <f>SUMIF(61:61,E8,62:62)-SUMIF(61:61,C8,62:62)+100</f>
        <v>100</v>
      </c>
      <c r="G8" s="1242" t="s">
        <v>1141</v>
      </c>
      <c r="H8" s="1232">
        <f>SUMIF(61:61,G8,62:62)-SUMIF(61:61,C8,62:62)+100</f>
        <v>100</v>
      </c>
      <c r="I8" s="2259" t="s">
        <v>1141</v>
      </c>
      <c r="J8" s="1232">
        <f>SUMIF(61:61,I8,62:62)-SUMIF(61:61,C8,62:62)+100</f>
        <v>100</v>
      </c>
      <c r="K8" s="2258"/>
      <c r="L8" s="1234"/>
      <c r="M8" s="1235"/>
      <c r="N8" s="1235"/>
      <c r="O8" s="1235"/>
      <c r="P8" s="4544" t="s">
        <v>1142</v>
      </c>
      <c r="Q8" s="4545"/>
      <c r="R8" s="1738" t="s">
        <v>1139</v>
      </c>
      <c r="S8" s="1739">
        <f t="shared" si="0"/>
        <v>100</v>
      </c>
      <c r="T8" s="1738" t="s">
        <v>1139</v>
      </c>
      <c r="U8" s="1739">
        <f t="shared" si="1"/>
        <v>100</v>
      </c>
      <c r="V8" s="1738" t="s">
        <v>1139</v>
      </c>
      <c r="W8" s="1739">
        <f t="shared" si="2"/>
        <v>100</v>
      </c>
      <c r="X8" s="1239"/>
      <c r="Y8" s="4542" t="s">
        <v>1142</v>
      </c>
      <c r="Z8" s="4543"/>
      <c r="AA8" s="1241">
        <f t="shared" ref="AA8:AA19" si="3">D8/F8</f>
        <v>1</v>
      </c>
      <c r="AB8" s="1241">
        <f t="shared" ref="AB8:AB19" si="4">D8/H8</f>
        <v>1</v>
      </c>
      <c r="AC8" s="1241">
        <f t="shared" ref="AC8:AC19" si="5">D8/J8</f>
        <v>1</v>
      </c>
    </row>
    <row r="9" spans="1:29" s="1186" customFormat="1" ht="14.4">
      <c r="A9" s="1586" t="s">
        <v>1143</v>
      </c>
      <c r="B9" s="1245" t="s">
        <v>1144</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50" t="s">
        <v>1146</v>
      </c>
      <c r="Z9" s="1241" t="str">
        <f t="shared" ref="Z9:Z15" si="7">Q9</f>
        <v>用途</v>
      </c>
      <c r="AA9" s="1241">
        <f t="shared" si="3"/>
        <v>1</v>
      </c>
      <c r="AB9" s="1241">
        <f t="shared" si="4"/>
        <v>1</v>
      </c>
      <c r="AC9" s="1241">
        <f t="shared" si="5"/>
        <v>1</v>
      </c>
    </row>
    <row r="10" spans="1:29" s="1187" customFormat="1" ht="28.8">
      <c r="A10" s="1592"/>
      <c r="B10" s="1251" t="s">
        <v>1147</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50"/>
      <c r="Z10" s="1241" t="str">
        <f t="shared" si="7"/>
        <v>土地使用年限（年）</v>
      </c>
      <c r="AA10" s="1241">
        <f t="shared" si="3"/>
        <v>1</v>
      </c>
      <c r="AB10" s="1241">
        <f t="shared" si="4"/>
        <v>1</v>
      </c>
      <c r="AC10" s="1241">
        <f t="shared" si="5"/>
        <v>1</v>
      </c>
    </row>
    <row r="11" spans="1:29" ht="15">
      <c r="A11" s="1460"/>
      <c r="B11" s="1251" t="s">
        <v>1148</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98</v>
      </c>
      <c r="X11" s="1239"/>
      <c r="Y11" s="4550"/>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5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50"/>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50"/>
      <c r="Z14" s="1241">
        <f t="shared" si="7"/>
        <v>111</v>
      </c>
      <c r="AA14" s="1241">
        <f t="shared" si="3"/>
        <v>1</v>
      </c>
      <c r="AB14" s="1241">
        <f t="shared" si="4"/>
        <v>1</v>
      </c>
      <c r="AC14" s="1241">
        <f t="shared" si="5"/>
        <v>1</v>
      </c>
    </row>
    <row r="15" spans="1:29" ht="41.4">
      <c r="A15" s="1453" t="s">
        <v>1151</v>
      </c>
      <c r="B15" s="1801" t="s">
        <v>1152</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2158</v>
      </c>
      <c r="J15" s="1284">
        <f>SUMIF(76:76,I16,77:77)-SUMIF(76:76,C16,77:77)+100</f>
        <v>105</v>
      </c>
      <c r="K15" s="2264">
        <v>5</v>
      </c>
      <c r="L15" s="1273"/>
      <c r="M15" s="1219">
        <f>B3/1.09</f>
        <v>33366.055045871559</v>
      </c>
      <c r="N15" s="1219"/>
      <c r="O15" s="1219"/>
      <c r="P15" s="4619" t="s">
        <v>1154</v>
      </c>
      <c r="Q15" s="988" t="str">
        <f t="shared" si="6"/>
        <v>居住社区成熟度</v>
      </c>
      <c r="R15" s="1745" t="s">
        <v>1139</v>
      </c>
      <c r="S15" s="1746">
        <f t="shared" si="0"/>
        <v>100</v>
      </c>
      <c r="T15" s="1745" t="s">
        <v>1139</v>
      </c>
      <c r="U15" s="1746">
        <f t="shared" si="1"/>
        <v>100</v>
      </c>
      <c r="V15" s="1745" t="s">
        <v>1139</v>
      </c>
      <c r="W15" s="1746">
        <f t="shared" si="2"/>
        <v>105</v>
      </c>
      <c r="X15" s="1220"/>
      <c r="Y15" s="4551" t="s">
        <v>1154</v>
      </c>
      <c r="Z15" s="1288" t="str">
        <f t="shared" si="7"/>
        <v>居住社区成熟度</v>
      </c>
      <c r="AA15" s="1288">
        <f t="shared" si="3"/>
        <v>1</v>
      </c>
      <c r="AB15" s="1288">
        <f t="shared" si="4"/>
        <v>1</v>
      </c>
      <c r="AC15" s="1288">
        <f t="shared" si="5"/>
        <v>0.952380952380952</v>
      </c>
    </row>
    <row r="16" spans="1:29" ht="15">
      <c r="A16" s="1460"/>
      <c r="B16" s="1805"/>
      <c r="C16" s="1290" t="s">
        <v>1155</v>
      </c>
      <c r="D16" s="1291"/>
      <c r="E16" s="1290" t="s">
        <v>1155</v>
      </c>
      <c r="F16" s="1293"/>
      <c r="G16" s="1290" t="s">
        <v>1155</v>
      </c>
      <c r="H16" s="1294"/>
      <c r="I16" s="1290" t="s">
        <v>1162</v>
      </c>
      <c r="J16" s="1293"/>
      <c r="K16" s="2265"/>
      <c r="L16" s="1273"/>
      <c r="M16" s="1219"/>
      <c r="N16" s="1219"/>
      <c r="O16" s="1219"/>
      <c r="P16" s="4620"/>
      <c r="Q16" s="988"/>
      <c r="R16" s="1745"/>
      <c r="S16" s="1746"/>
      <c r="T16" s="1745"/>
      <c r="U16" s="1746"/>
      <c r="V16" s="1745"/>
      <c r="W16" s="1746"/>
      <c r="X16" s="1220"/>
      <c r="Y16" s="4552"/>
      <c r="Z16" s="1288"/>
      <c r="AA16" s="1288">
        <v>1</v>
      </c>
      <c r="AB16" s="1288">
        <v>1</v>
      </c>
      <c r="AC16" s="1288">
        <v>1</v>
      </c>
    </row>
    <row r="17" spans="1:29" ht="27.6">
      <c r="A17" s="1460"/>
      <c r="B17" s="1808" t="s">
        <v>1158</v>
      </c>
      <c r="C17" s="1297" t="str">
        <f>估价对象房地状况!C6</f>
        <v>T18\T48，较差</v>
      </c>
      <c r="D17" s="1298">
        <v>100</v>
      </c>
      <c r="E17" s="1301"/>
      <c r="F17" s="1294">
        <f>SUMIF(78:78,E18,79:79)-SUMIF(78:78,C18,79:79)+100</f>
        <v>100</v>
      </c>
      <c r="G17" s="1299"/>
      <c r="H17" s="1300">
        <f>SUMIF(78:78,G18,79:79)-SUMIF(78:78,C18,79:79)+100</f>
        <v>100</v>
      </c>
      <c r="I17" s="1299" t="s">
        <v>2159</v>
      </c>
      <c r="J17" s="1300">
        <f>SUMIF(78:78,I18,79:79)-SUMIF(78:78,C18,79:79)+100</f>
        <v>105</v>
      </c>
      <c r="K17" s="2264">
        <v>5</v>
      </c>
      <c r="L17" s="1273"/>
      <c r="M17" s="1219"/>
      <c r="N17" s="1219"/>
      <c r="O17" s="1219"/>
      <c r="P17" s="4620"/>
      <c r="Q17" s="988" t="str">
        <f>B17</f>
        <v>交通便捷度</v>
      </c>
      <c r="R17" s="1745" t="s">
        <v>1139</v>
      </c>
      <c r="S17" s="1746">
        <f>F17</f>
        <v>100</v>
      </c>
      <c r="T17" s="1745" t="s">
        <v>1139</v>
      </c>
      <c r="U17" s="1746">
        <f>H17</f>
        <v>100</v>
      </c>
      <c r="V17" s="1745" t="s">
        <v>1139</v>
      </c>
      <c r="W17" s="1746">
        <f>J17</f>
        <v>105</v>
      </c>
      <c r="X17" s="1220"/>
      <c r="Y17" s="4552"/>
      <c r="Z17" s="1288" t="str">
        <f>Q17</f>
        <v>交通便捷度</v>
      </c>
      <c r="AA17" s="1288">
        <f t="shared" si="3"/>
        <v>1</v>
      </c>
      <c r="AB17" s="1288">
        <f t="shared" si="4"/>
        <v>1</v>
      </c>
      <c r="AC17" s="1288">
        <f t="shared" si="5"/>
        <v>0.952380952380952</v>
      </c>
    </row>
    <row r="18" spans="1:29" ht="15">
      <c r="A18" s="1460"/>
      <c r="B18" s="1332"/>
      <c r="C18" s="1810" t="s">
        <v>1160</v>
      </c>
      <c r="D18" s="1298"/>
      <c r="E18" s="1810" t="s">
        <v>1160</v>
      </c>
      <c r="F18" s="1294"/>
      <c r="G18" s="1810" t="s">
        <v>1160</v>
      </c>
      <c r="H18" s="1293"/>
      <c r="I18" s="1811" t="s">
        <v>1155</v>
      </c>
      <c r="J18" s="1293"/>
      <c r="K18" s="2265"/>
      <c r="L18" s="1273"/>
      <c r="M18" s="1219"/>
      <c r="N18" s="1219"/>
      <c r="O18" s="1219"/>
      <c r="P18" s="4620"/>
      <c r="Q18" s="988"/>
      <c r="R18" s="1745"/>
      <c r="S18" s="1746"/>
      <c r="T18" s="1745"/>
      <c r="U18" s="1746"/>
      <c r="V18" s="1745"/>
      <c r="W18" s="1746"/>
      <c r="X18" s="1220"/>
      <c r="Y18" s="4552"/>
      <c r="Z18" s="1288"/>
      <c r="AA18" s="1288">
        <v>1</v>
      </c>
      <c r="AB18" s="1288">
        <v>1</v>
      </c>
      <c r="AC18" s="1288">
        <v>1</v>
      </c>
    </row>
    <row r="19" spans="1:29" ht="52.8" customHeight="1">
      <c r="A19" s="1460"/>
      <c r="B19" s="1808" t="s">
        <v>1165</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2160</v>
      </c>
      <c r="J19" s="1294">
        <f>SUMIF(80:80,I20,81:81)-SUMIF(80:80,C20,81:81)+100</f>
        <v>105</v>
      </c>
      <c r="K19" s="2264">
        <v>5</v>
      </c>
      <c r="L19" s="1273"/>
      <c r="M19" s="1219"/>
      <c r="N19" s="1219"/>
      <c r="O19" s="1219"/>
      <c r="P19" s="4620"/>
      <c r="Q19" s="988" t="str">
        <f>B19</f>
        <v>公共配套设施</v>
      </c>
      <c r="R19" s="1745" t="s">
        <v>1139</v>
      </c>
      <c r="S19" s="1746">
        <f>F19</f>
        <v>100</v>
      </c>
      <c r="T19" s="1745" t="s">
        <v>1139</v>
      </c>
      <c r="U19" s="1746">
        <f>H19</f>
        <v>100</v>
      </c>
      <c r="V19" s="1745" t="s">
        <v>1139</v>
      </c>
      <c r="W19" s="1746">
        <f>J19</f>
        <v>105</v>
      </c>
      <c r="X19" s="1220"/>
      <c r="Y19" s="4552"/>
      <c r="Z19" s="1288" t="str">
        <f>Q19</f>
        <v>公共配套设施</v>
      </c>
      <c r="AA19" s="1288">
        <f t="shared" si="3"/>
        <v>1</v>
      </c>
      <c r="AB19" s="1288">
        <f t="shared" si="4"/>
        <v>1</v>
      </c>
      <c r="AC19" s="1288">
        <f t="shared" si="5"/>
        <v>0.952380952380952</v>
      </c>
    </row>
    <row r="20" spans="1:29" ht="15">
      <c r="A20" s="1460"/>
      <c r="B20" s="1332"/>
      <c r="C20" s="1290" t="s">
        <v>1160</v>
      </c>
      <c r="D20" s="1291"/>
      <c r="E20" s="1290" t="s">
        <v>1160</v>
      </c>
      <c r="F20" s="1293"/>
      <c r="G20" s="1290" t="s">
        <v>1160</v>
      </c>
      <c r="H20" s="1293"/>
      <c r="I20" s="1303" t="s">
        <v>1155</v>
      </c>
      <c r="J20" s="1293"/>
      <c r="K20" s="2265"/>
      <c r="L20" s="1273"/>
      <c r="M20" s="1219"/>
      <c r="N20" s="1219"/>
      <c r="O20" s="1219"/>
      <c r="P20" s="4620"/>
      <c r="Q20" s="988"/>
      <c r="R20" s="1745"/>
      <c r="S20" s="1746"/>
      <c r="T20" s="1745"/>
      <c r="U20" s="1746"/>
      <c r="V20" s="1745"/>
      <c r="W20" s="1746"/>
      <c r="X20" s="1220"/>
      <c r="Y20" s="4552"/>
      <c r="Z20" s="1288"/>
      <c r="AA20" s="1288">
        <v>1</v>
      </c>
      <c r="AB20" s="1288">
        <v>1</v>
      </c>
      <c r="AC20" s="1288">
        <v>1</v>
      </c>
    </row>
    <row r="21" spans="1:29" ht="15">
      <c r="A21" s="1460"/>
      <c r="B21" s="1817" t="s">
        <v>1167</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20"/>
      <c r="Q22" s="988"/>
      <c r="R22" s="1745"/>
      <c r="S22" s="1746"/>
      <c r="T22" s="1745"/>
      <c r="U22" s="1746"/>
      <c r="V22" s="1745"/>
      <c r="W22" s="1746"/>
      <c r="X22" s="1220"/>
      <c r="Y22" s="4552"/>
      <c r="Z22" s="1288"/>
      <c r="AA22" s="1288">
        <v>1</v>
      </c>
      <c r="AB22" s="1288">
        <v>1</v>
      </c>
      <c r="AC22" s="1288">
        <v>1</v>
      </c>
    </row>
    <row r="23" spans="1:29" ht="55.2">
      <c r="A23" s="1460"/>
      <c r="B23" s="1808" t="s">
        <v>2161</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2162</v>
      </c>
      <c r="J23" s="1294">
        <f>SUMIF(84:84,I24,85:85)-SUMIF(84:84,C24,85:85)+100</f>
        <v>100</v>
      </c>
      <c r="K23" s="2264">
        <v>3</v>
      </c>
      <c r="L23" s="1273"/>
      <c r="M23" s="1219"/>
      <c r="N23" s="1219"/>
      <c r="O23" s="1219"/>
      <c r="P23" s="4620"/>
      <c r="Q23" s="988" t="str">
        <f>B23</f>
        <v>自然及人文环境</v>
      </c>
      <c r="R23" s="1745" t="s">
        <v>1139</v>
      </c>
      <c r="S23" s="1746">
        <f>F23</f>
        <v>100</v>
      </c>
      <c r="T23" s="1745" t="s">
        <v>1139</v>
      </c>
      <c r="U23" s="1746">
        <f>H23</f>
        <v>100</v>
      </c>
      <c r="V23" s="1745" t="s">
        <v>1139</v>
      </c>
      <c r="W23" s="1746">
        <f>J23</f>
        <v>100</v>
      </c>
      <c r="X23" s="1220"/>
      <c r="Y23" s="4552"/>
      <c r="Z23" s="1288" t="str">
        <f>Q23</f>
        <v>自然及人文环境</v>
      </c>
      <c r="AA23" s="1288">
        <f>D23/F23</f>
        <v>1</v>
      </c>
      <c r="AB23" s="1288">
        <f>D23/H23</f>
        <v>1</v>
      </c>
      <c r="AC23" s="1288">
        <f>D23/J23</f>
        <v>1</v>
      </c>
    </row>
    <row r="24" spans="1:29" ht="15">
      <c r="A24" s="1460"/>
      <c r="B24" s="1332"/>
      <c r="C24" s="1290" t="s">
        <v>1155</v>
      </c>
      <c r="D24" s="1291"/>
      <c r="E24" s="1290" t="s">
        <v>1155</v>
      </c>
      <c r="F24" s="1293"/>
      <c r="G24" s="1290" t="s">
        <v>1155</v>
      </c>
      <c r="H24" s="1293"/>
      <c r="I24" s="1303" t="s">
        <v>1155</v>
      </c>
      <c r="J24" s="1293"/>
      <c r="K24" s="2265"/>
      <c r="L24" s="1273"/>
      <c r="M24" s="1219"/>
      <c r="N24" s="1219"/>
      <c r="O24" s="1219"/>
      <c r="P24" s="4620"/>
      <c r="Q24" s="988"/>
      <c r="R24" s="1745"/>
      <c r="S24" s="1746"/>
      <c r="T24" s="1745"/>
      <c r="U24" s="1746"/>
      <c r="V24" s="1745"/>
      <c r="W24" s="1746"/>
      <c r="X24" s="1220"/>
      <c r="Y24" s="4552"/>
      <c r="Z24" s="1288"/>
      <c r="AA24" s="1288">
        <v>1</v>
      </c>
      <c r="AB24" s="1288">
        <v>1</v>
      </c>
      <c r="AC24" s="1288">
        <v>1</v>
      </c>
    </row>
    <row r="25" spans="1:29" ht="15">
      <c r="A25" s="1460"/>
      <c r="B25" s="1251" t="s">
        <v>2163</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20"/>
      <c r="Q25" s="988" t="str">
        <f t="shared" ref="Q25:Q46" si="11">B25</f>
        <v>楼层-1</v>
      </c>
      <c r="R25" s="1745" t="s">
        <v>1139</v>
      </c>
      <c r="S25" s="1746">
        <f t="shared" ref="S25:S46" si="12">F25</f>
        <v>100</v>
      </c>
      <c r="T25" s="1745" t="s">
        <v>1139</v>
      </c>
      <c r="U25" s="1746">
        <f t="shared" ref="U25:U46" si="13">H25</f>
        <v>100</v>
      </c>
      <c r="V25" s="1745" t="s">
        <v>1139</v>
      </c>
      <c r="W25" s="1746">
        <f t="shared" ref="W25:W46" si="14">J25</f>
        <v>100</v>
      </c>
      <c r="X25" s="1220"/>
      <c r="Y25" s="4552"/>
      <c r="Z25" s="1288" t="str">
        <f>Q25</f>
        <v>楼层-1</v>
      </c>
      <c r="AA25" s="1288">
        <f t="shared" ref="AA25:AA46" si="15">D25/F25</f>
        <v>1</v>
      </c>
      <c r="AB25" s="1288">
        <f t="shared" ref="AB25:AB46" si="16">D25/H25</f>
        <v>1</v>
      </c>
      <c r="AC25" s="1288">
        <f t="shared" ref="AC25:AC46" si="17">D25/J25</f>
        <v>1</v>
      </c>
    </row>
    <row r="26" spans="1:29" ht="15">
      <c r="A26" s="1460"/>
      <c r="B26" s="1251" t="s">
        <v>2164</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20"/>
      <c r="Q26" s="988" t="str">
        <f t="shared" si="11"/>
        <v>朝向</v>
      </c>
      <c r="R26" s="1745" t="s">
        <v>1139</v>
      </c>
      <c r="S26" s="1746">
        <f t="shared" si="12"/>
        <v>100</v>
      </c>
      <c r="T26" s="1745" t="s">
        <v>1139</v>
      </c>
      <c r="U26" s="1746">
        <f t="shared" si="13"/>
        <v>100</v>
      </c>
      <c r="V26" s="1745" t="s">
        <v>1139</v>
      </c>
      <c r="W26" s="1746">
        <f t="shared" si="14"/>
        <v>100</v>
      </c>
      <c r="X26" s="1220"/>
      <c r="Y26" s="4552"/>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20"/>
      <c r="Q27" s="1137">
        <f t="shared" si="11"/>
        <v>111</v>
      </c>
      <c r="R27" s="1738" t="s">
        <v>1139</v>
      </c>
      <c r="S27" s="1739">
        <f t="shared" si="12"/>
        <v>100</v>
      </c>
      <c r="T27" s="1738" t="s">
        <v>1139</v>
      </c>
      <c r="U27" s="1739">
        <f t="shared" si="13"/>
        <v>100</v>
      </c>
      <c r="V27" s="1738" t="s">
        <v>1139</v>
      </c>
      <c r="W27" s="1739">
        <f t="shared" si="14"/>
        <v>100</v>
      </c>
      <c r="X27" s="1239"/>
      <c r="Y27" s="4552"/>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20"/>
      <c r="Q28" s="988">
        <f t="shared" si="11"/>
        <v>111</v>
      </c>
      <c r="R28" s="1745" t="s">
        <v>1139</v>
      </c>
      <c r="S28" s="1746">
        <f t="shared" si="12"/>
        <v>100</v>
      </c>
      <c r="T28" s="1745" t="s">
        <v>1139</v>
      </c>
      <c r="U28" s="1746">
        <f t="shared" si="13"/>
        <v>100</v>
      </c>
      <c r="V28" s="1745" t="s">
        <v>1139</v>
      </c>
      <c r="W28" s="1746">
        <f t="shared" si="14"/>
        <v>100</v>
      </c>
      <c r="X28" s="1220"/>
      <c r="Y28" s="4552"/>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20"/>
      <c r="Q29" s="988">
        <f t="shared" si="11"/>
        <v>111</v>
      </c>
      <c r="R29" s="1745" t="s">
        <v>1139</v>
      </c>
      <c r="S29" s="1746">
        <f t="shared" si="12"/>
        <v>100</v>
      </c>
      <c r="T29" s="1745" t="s">
        <v>1139</v>
      </c>
      <c r="U29" s="1746">
        <f t="shared" si="13"/>
        <v>100</v>
      </c>
      <c r="V29" s="1745" t="s">
        <v>1139</v>
      </c>
      <c r="W29" s="1746">
        <f t="shared" si="14"/>
        <v>100</v>
      </c>
      <c r="X29" s="1220"/>
      <c r="Y29" s="4552"/>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52"/>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52"/>
      <c r="Z31" s="1288">
        <f t="shared" si="18"/>
        <v>111</v>
      </c>
      <c r="AA31" s="1288">
        <f t="shared" si="15"/>
        <v>1</v>
      </c>
      <c r="AB31" s="1288">
        <f t="shared" si="16"/>
        <v>1</v>
      </c>
      <c r="AC31" s="1288">
        <f t="shared" si="17"/>
        <v>1</v>
      </c>
    </row>
    <row r="32" spans="1:29" ht="15">
      <c r="A32" s="1453" t="s">
        <v>1174</v>
      </c>
      <c r="B32" s="1245" t="s">
        <v>2165</v>
      </c>
      <c r="C32" s="1826" t="s">
        <v>2166</v>
      </c>
      <c r="D32" s="1334">
        <v>100</v>
      </c>
      <c r="E32" s="2272" t="s">
        <v>2166</v>
      </c>
      <c r="F32" s="1820">
        <f>SUMIF(100:100,E32,101:101)-SUMIF(100:100,C32,101:101)+100</f>
        <v>100</v>
      </c>
      <c r="G32" s="1826" t="s">
        <v>2167</v>
      </c>
      <c r="H32" s="1335">
        <f>SUMIF(100:100,G32,101:101)-SUMIF(100:100,C32,101:101)+100</f>
        <v>98</v>
      </c>
      <c r="I32" s="2272" t="s">
        <v>2168</v>
      </c>
      <c r="J32" s="1272">
        <f>SUMIF(100:100,I32,101:101)-SUMIF(100:100,C32,101:101)+100</f>
        <v>96</v>
      </c>
      <c r="K32" s="2262">
        <v>2</v>
      </c>
      <c r="L32" s="1273"/>
      <c r="M32" s="1219"/>
      <c r="N32" s="1219"/>
      <c r="O32" s="1219"/>
      <c r="P32" s="4621" t="s">
        <v>1173</v>
      </c>
      <c r="Q32" s="988" t="str">
        <f t="shared" si="11"/>
        <v>建筑类型</v>
      </c>
      <c r="R32" s="1745" t="s">
        <v>1139</v>
      </c>
      <c r="S32" s="1746">
        <f t="shared" si="12"/>
        <v>100</v>
      </c>
      <c r="T32" s="1745" t="s">
        <v>1139</v>
      </c>
      <c r="U32" s="1746">
        <f t="shared" si="13"/>
        <v>98</v>
      </c>
      <c r="V32" s="1745" t="s">
        <v>1139</v>
      </c>
      <c r="W32" s="1746">
        <f t="shared" si="14"/>
        <v>96</v>
      </c>
      <c r="X32" s="1220"/>
      <c r="Y32" s="4553" t="s">
        <v>1173</v>
      </c>
      <c r="Z32" s="1288" t="str">
        <f t="shared" si="18"/>
        <v>建筑类型</v>
      </c>
      <c r="AA32" s="1288">
        <f t="shared" si="15"/>
        <v>1</v>
      </c>
      <c r="AB32" s="1288">
        <f t="shared" si="16"/>
        <v>1.0204081632653099</v>
      </c>
      <c r="AC32" s="1288">
        <f t="shared" si="17"/>
        <v>1.0416666666666701</v>
      </c>
    </row>
    <row r="33" spans="1:29" s="1188" customFormat="1" ht="15">
      <c r="A33" s="1528"/>
      <c r="B33" s="1251" t="s">
        <v>2169</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22"/>
      <c r="Q33" s="1707" t="str">
        <f t="shared" si="11"/>
        <v>项目建筑规模</v>
      </c>
      <c r="R33" s="1758" t="s">
        <v>1139</v>
      </c>
      <c r="S33" s="1759">
        <f t="shared" si="12"/>
        <v>100</v>
      </c>
      <c r="T33" s="1758" t="s">
        <v>1139</v>
      </c>
      <c r="U33" s="1759">
        <f t="shared" si="13"/>
        <v>100</v>
      </c>
      <c r="V33" s="1758" t="s">
        <v>1139</v>
      </c>
      <c r="W33" s="1759">
        <f t="shared" si="14"/>
        <v>100</v>
      </c>
      <c r="X33" s="1330"/>
      <c r="Y33" s="4553"/>
      <c r="Z33" s="1331" t="str">
        <f t="shared" si="18"/>
        <v>项目建筑规模</v>
      </c>
      <c r="AA33" s="1288">
        <f t="shared" si="15"/>
        <v>1</v>
      </c>
      <c r="AB33" s="1288">
        <f t="shared" si="16"/>
        <v>1</v>
      </c>
      <c r="AC33" s="1288">
        <f t="shared" si="17"/>
        <v>1</v>
      </c>
    </row>
    <row r="34" spans="1:29" ht="15">
      <c r="A34" s="1537"/>
      <c r="B34" s="1251" t="s">
        <v>2170</v>
      </c>
      <c r="C34" s="1828" t="s">
        <v>2171</v>
      </c>
      <c r="D34" s="1271">
        <v>100</v>
      </c>
      <c r="E34" s="2274" t="s">
        <v>2171</v>
      </c>
      <c r="F34" s="1820">
        <f>SUMIF(105:105,E34,106:106)-SUMIF(105:105,C34,106:106)+100</f>
        <v>100</v>
      </c>
      <c r="G34" s="2274" t="s">
        <v>2171</v>
      </c>
      <c r="H34" s="1272">
        <f>SUMIF(105:105,G34,106:106)-SUMIF(105:105,C34,106:106)+100</f>
        <v>100</v>
      </c>
      <c r="I34" s="2274" t="s">
        <v>2171</v>
      </c>
      <c r="J34" s="1272">
        <f>SUMIF(105:105,I34,106:106)-SUMIF(105:105,C34,106:106)+100</f>
        <v>100</v>
      </c>
      <c r="K34" s="2262">
        <v>2</v>
      </c>
      <c r="L34" s="1273"/>
      <c r="M34" s="1219"/>
      <c r="N34" s="1219"/>
      <c r="O34" s="1219"/>
      <c r="P34" s="4622"/>
      <c r="Q34" s="988" t="str">
        <f t="shared" si="11"/>
        <v>建筑结构</v>
      </c>
      <c r="R34" s="1745" t="s">
        <v>1139</v>
      </c>
      <c r="S34" s="1746">
        <f t="shared" si="12"/>
        <v>100</v>
      </c>
      <c r="T34" s="1745" t="s">
        <v>1139</v>
      </c>
      <c r="U34" s="1746">
        <f t="shared" si="13"/>
        <v>100</v>
      </c>
      <c r="V34" s="1745" t="s">
        <v>1139</v>
      </c>
      <c r="W34" s="1746">
        <f t="shared" si="14"/>
        <v>100</v>
      </c>
      <c r="X34" s="1220"/>
      <c r="Y34" s="4553"/>
      <c r="Z34" s="1288" t="str">
        <f t="shared" si="18"/>
        <v>建筑结构</v>
      </c>
      <c r="AA34" s="1288">
        <f t="shared" si="15"/>
        <v>1</v>
      </c>
      <c r="AB34" s="1288">
        <f t="shared" si="16"/>
        <v>1</v>
      </c>
      <c r="AC34" s="1288">
        <f t="shared" si="17"/>
        <v>1</v>
      </c>
    </row>
    <row r="35" spans="1:29" ht="15">
      <c r="A35" s="1537"/>
      <c r="B35" s="1251" t="s">
        <v>2172</v>
      </c>
      <c r="C35" s="1338" t="s">
        <v>2173</v>
      </c>
      <c r="D35" s="1271">
        <v>100</v>
      </c>
      <c r="E35" s="2267" t="s">
        <v>2173</v>
      </c>
      <c r="F35" s="1820">
        <f>SUMIF(107:107,E35,108:108)-SUMIF(107:107,C35,108:108)+100</f>
        <v>100</v>
      </c>
      <c r="G35" s="2267" t="s">
        <v>2173</v>
      </c>
      <c r="H35" s="1272">
        <f>SUMIF(107:107,G35,108:108)-SUMIF(107:107,C35,108:108)+100</f>
        <v>100</v>
      </c>
      <c r="I35" s="2267" t="s">
        <v>2173</v>
      </c>
      <c r="J35" s="1272">
        <f>SUMIF(107:107,I35,108:108)-SUMIF(107:107,C35,108:108)+100</f>
        <v>100</v>
      </c>
      <c r="K35" s="2262">
        <v>5</v>
      </c>
      <c r="L35" s="1273"/>
      <c r="M35" s="1219"/>
      <c r="N35" s="1219"/>
      <c r="O35" s="1219"/>
      <c r="P35" s="4622"/>
      <c r="Q35" s="988" t="str">
        <f t="shared" si="11"/>
        <v>建筑品质</v>
      </c>
      <c r="R35" s="1745" t="s">
        <v>1139</v>
      </c>
      <c r="S35" s="1746">
        <f t="shared" si="12"/>
        <v>100</v>
      </c>
      <c r="T35" s="1745" t="s">
        <v>1139</v>
      </c>
      <c r="U35" s="1746">
        <f t="shared" si="13"/>
        <v>100</v>
      </c>
      <c r="V35" s="1745" t="s">
        <v>1139</v>
      </c>
      <c r="W35" s="1746">
        <f t="shared" si="14"/>
        <v>100</v>
      </c>
      <c r="X35" s="1220"/>
      <c r="Y35" s="4553"/>
      <c r="Z35" s="1288" t="str">
        <f t="shared" si="18"/>
        <v>建筑品质</v>
      </c>
      <c r="AA35" s="1288">
        <f t="shared" si="15"/>
        <v>1</v>
      </c>
      <c r="AB35" s="1288">
        <f t="shared" si="16"/>
        <v>1</v>
      </c>
      <c r="AC35" s="1288">
        <f t="shared" si="17"/>
        <v>1</v>
      </c>
    </row>
    <row r="36" spans="1:29" ht="15">
      <c r="A36" s="1537"/>
      <c r="B36" s="1251" t="s">
        <v>2174</v>
      </c>
      <c r="C36" s="1338" t="s">
        <v>2175</v>
      </c>
      <c r="D36" s="1271">
        <v>100</v>
      </c>
      <c r="E36" s="2267" t="s">
        <v>2175</v>
      </c>
      <c r="F36" s="1820">
        <f>SUMIF(109:109,E36,110:110)-SUMIF(109:109,C36,110:110)+100</f>
        <v>100</v>
      </c>
      <c r="G36" s="2267" t="s">
        <v>2175</v>
      </c>
      <c r="H36" s="1272">
        <f>SUMIF(109:109,G36,110:110)-SUMIF(109:109,C36,110:110)+100</f>
        <v>100</v>
      </c>
      <c r="I36" s="2267" t="s">
        <v>2175</v>
      </c>
      <c r="J36" s="1272">
        <f>SUMIF(109:109,I36,110:110)-SUMIF(109:109,C36,110:110)+100</f>
        <v>100</v>
      </c>
      <c r="K36" s="2262">
        <v>2</v>
      </c>
      <c r="L36" s="1273"/>
      <c r="M36" s="1219"/>
      <c r="N36" s="1219"/>
      <c r="O36" s="1219"/>
      <c r="P36" s="4622"/>
      <c r="Q36" s="988" t="str">
        <f t="shared" si="11"/>
        <v>公共部分装修</v>
      </c>
      <c r="R36" s="1745" t="s">
        <v>1139</v>
      </c>
      <c r="S36" s="1746">
        <f t="shared" si="12"/>
        <v>100</v>
      </c>
      <c r="T36" s="1745" t="s">
        <v>1139</v>
      </c>
      <c r="U36" s="1746">
        <f t="shared" si="13"/>
        <v>100</v>
      </c>
      <c r="V36" s="1745" t="s">
        <v>1139</v>
      </c>
      <c r="W36" s="1746">
        <f t="shared" si="14"/>
        <v>100</v>
      </c>
      <c r="X36" s="1220"/>
      <c r="Y36" s="4553"/>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22"/>
      <c r="Q37" s="1137" t="str">
        <f t="shared" si="11"/>
        <v>成新度</v>
      </c>
      <c r="R37" s="1738" t="s">
        <v>1139</v>
      </c>
      <c r="S37" s="1739">
        <f t="shared" si="12"/>
        <v>100</v>
      </c>
      <c r="T37" s="1738" t="s">
        <v>1139</v>
      </c>
      <c r="U37" s="1739">
        <f t="shared" si="13"/>
        <v>100</v>
      </c>
      <c r="V37" s="1738" t="s">
        <v>1139</v>
      </c>
      <c r="W37" s="1739">
        <f t="shared" si="14"/>
        <v>100</v>
      </c>
      <c r="X37" s="1239"/>
      <c r="Y37" s="4553"/>
      <c r="Z37" s="1241" t="str">
        <f t="shared" si="18"/>
        <v>成新度</v>
      </c>
      <c r="AA37" s="1241">
        <f t="shared" si="15"/>
        <v>1</v>
      </c>
      <c r="AB37" s="1241">
        <f t="shared" si="16"/>
        <v>1</v>
      </c>
      <c r="AC37" s="1241">
        <f t="shared" si="17"/>
        <v>1</v>
      </c>
    </row>
    <row r="38" spans="1:29" ht="15">
      <c r="A38" s="1537"/>
      <c r="B38" s="1251" t="s">
        <v>2176</v>
      </c>
      <c r="C38" s="1338" t="s">
        <v>2177</v>
      </c>
      <c r="D38" s="1271">
        <v>100</v>
      </c>
      <c r="E38" s="2267" t="s">
        <v>2177</v>
      </c>
      <c r="F38" s="1820">
        <f>SUMIF(114:114,E38,115:115)-SUMIF(114:114,C38,115:115)+100</f>
        <v>100</v>
      </c>
      <c r="G38" s="2267" t="s">
        <v>2177</v>
      </c>
      <c r="H38" s="1272">
        <f>SUMIF(114:114,G38,115:115)-SUMIF(114:114,C38,115:115)+100</f>
        <v>100</v>
      </c>
      <c r="I38" s="2267" t="s">
        <v>2177</v>
      </c>
      <c r="J38" s="1272">
        <f>SUMIF(114:114,I38,115:115)-SUMIF(114:114,C38,115:115)+100</f>
        <v>100</v>
      </c>
      <c r="K38" s="2262">
        <v>2</v>
      </c>
      <c r="L38" s="1273"/>
      <c r="M38" s="1219"/>
      <c r="N38" s="1219"/>
      <c r="O38" s="1219"/>
      <c r="P38" s="4622" t="s">
        <v>1173</v>
      </c>
      <c r="Q38" s="988" t="str">
        <f t="shared" si="11"/>
        <v>物业管理</v>
      </c>
      <c r="R38" s="1745" t="s">
        <v>1139</v>
      </c>
      <c r="S38" s="1746">
        <f t="shared" si="12"/>
        <v>100</v>
      </c>
      <c r="T38" s="1745" t="s">
        <v>1139</v>
      </c>
      <c r="U38" s="1746">
        <f t="shared" si="13"/>
        <v>100</v>
      </c>
      <c r="V38" s="1745" t="s">
        <v>1139</v>
      </c>
      <c r="W38" s="1746">
        <f t="shared" si="14"/>
        <v>100</v>
      </c>
      <c r="X38" s="1220"/>
      <c r="Y38" s="4553" t="s">
        <v>1173</v>
      </c>
      <c r="Z38" s="1288" t="str">
        <f t="shared" si="18"/>
        <v>物业管理</v>
      </c>
      <c r="AA38" s="1288">
        <f t="shared" si="15"/>
        <v>1</v>
      </c>
      <c r="AB38" s="1288">
        <f t="shared" si="16"/>
        <v>1</v>
      </c>
      <c r="AC38" s="1288">
        <f t="shared" si="17"/>
        <v>1</v>
      </c>
    </row>
    <row r="39" spans="1:29" ht="15">
      <c r="A39" s="1537"/>
      <c r="B39" s="1251" t="s">
        <v>2178</v>
      </c>
      <c r="C39" s="1338" t="s">
        <v>241</v>
      </c>
      <c r="D39" s="1271">
        <v>100</v>
      </c>
      <c r="E39" s="2267" t="s">
        <v>241</v>
      </c>
      <c r="F39" s="1820">
        <f>SUMIF(116:116,E39,117:117)-SUMIF(116:116,C39,117:117)+100</f>
        <v>100</v>
      </c>
      <c r="G39" s="2267" t="s">
        <v>241</v>
      </c>
      <c r="H39" s="1272">
        <f>SUMIF(116:116,G39,117:117)-SUMIF(116:116,C39,117:117)+100</f>
        <v>100</v>
      </c>
      <c r="I39" s="2267" t="s">
        <v>241</v>
      </c>
      <c r="J39" s="1272">
        <f>SUMIF(116:116,I39,117:117)-SUMIF(116:116,C39,117:117)+100</f>
        <v>100</v>
      </c>
      <c r="K39" s="2262">
        <v>1</v>
      </c>
      <c r="L39" s="1273"/>
      <c r="M39" s="1219"/>
      <c r="N39" s="1219"/>
      <c r="O39" s="1219"/>
      <c r="P39" s="4622"/>
      <c r="Q39" s="988" t="str">
        <f t="shared" si="11"/>
        <v>市政基础设施</v>
      </c>
      <c r="R39" s="1745" t="s">
        <v>1139</v>
      </c>
      <c r="S39" s="1746">
        <f t="shared" si="12"/>
        <v>100</v>
      </c>
      <c r="T39" s="1745" t="s">
        <v>1139</v>
      </c>
      <c r="U39" s="1746">
        <f t="shared" si="13"/>
        <v>100</v>
      </c>
      <c r="V39" s="1745" t="s">
        <v>1139</v>
      </c>
      <c r="W39" s="1746">
        <f t="shared" si="14"/>
        <v>100</v>
      </c>
      <c r="X39" s="1220"/>
      <c r="Y39" s="4553"/>
      <c r="Z39" s="1288" t="str">
        <f t="shared" si="18"/>
        <v>市政基础设施</v>
      </c>
      <c r="AA39" s="1288">
        <f t="shared" si="15"/>
        <v>1</v>
      </c>
      <c r="AB39" s="1288">
        <f t="shared" si="16"/>
        <v>1</v>
      </c>
      <c r="AC39" s="1288">
        <f t="shared" si="17"/>
        <v>1</v>
      </c>
    </row>
    <row r="40" spans="1:29" ht="15">
      <c r="A40" s="1537"/>
      <c r="B40" s="1251" t="s">
        <v>2179</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22"/>
      <c r="Q40" s="988" t="str">
        <f t="shared" si="11"/>
        <v>房型</v>
      </c>
      <c r="R40" s="1745" t="s">
        <v>1139</v>
      </c>
      <c r="S40" s="1746">
        <f t="shared" si="12"/>
        <v>100</v>
      </c>
      <c r="T40" s="1745" t="s">
        <v>1139</v>
      </c>
      <c r="U40" s="1746">
        <f t="shared" si="13"/>
        <v>100</v>
      </c>
      <c r="V40" s="1745" t="s">
        <v>1139</v>
      </c>
      <c r="W40" s="1746">
        <f t="shared" si="14"/>
        <v>100</v>
      </c>
      <c r="X40" s="1220"/>
      <c r="Y40" s="4553"/>
      <c r="Z40" s="1288" t="str">
        <f t="shared" si="18"/>
        <v>房型</v>
      </c>
      <c r="AA40" s="1288">
        <f t="shared" si="15"/>
        <v>1</v>
      </c>
      <c r="AB40" s="1288">
        <f t="shared" si="16"/>
        <v>1</v>
      </c>
      <c r="AC40" s="1288">
        <f t="shared" si="17"/>
        <v>1</v>
      </c>
    </row>
    <row r="41" spans="1:29" s="1188" customFormat="1" ht="28.8">
      <c r="A41" s="1528"/>
      <c r="B41" s="1251" t="s">
        <v>2180</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22"/>
      <c r="Q41" s="1707" t="str">
        <f t="shared" si="11"/>
        <v>单套/主力户型建筑面积</v>
      </c>
      <c r="R41" s="1758" t="s">
        <v>1139</v>
      </c>
      <c r="S41" s="1759">
        <f t="shared" si="12"/>
        <v>100</v>
      </c>
      <c r="T41" s="1758" t="s">
        <v>1139</v>
      </c>
      <c r="U41" s="1759">
        <f t="shared" si="13"/>
        <v>100</v>
      </c>
      <c r="V41" s="1758" t="s">
        <v>1139</v>
      </c>
      <c r="W41" s="1759">
        <f t="shared" si="14"/>
        <v>100</v>
      </c>
      <c r="X41" s="1330"/>
      <c r="Y41" s="4553"/>
      <c r="Z41" s="1331" t="str">
        <f t="shared" si="18"/>
        <v>单套/主力户型建筑面积</v>
      </c>
      <c r="AA41" s="1288">
        <f t="shared" si="15"/>
        <v>1</v>
      </c>
      <c r="AB41" s="1288">
        <f t="shared" si="16"/>
        <v>1</v>
      </c>
      <c r="AC41" s="1288">
        <f t="shared" si="17"/>
        <v>1</v>
      </c>
    </row>
    <row r="42" spans="1:29" ht="15">
      <c r="A42" s="1537"/>
      <c r="B42" s="1251" t="s">
        <v>2181</v>
      </c>
      <c r="C42" s="1338" t="s">
        <v>2175</v>
      </c>
      <c r="D42" s="1271">
        <v>100</v>
      </c>
      <c r="E42" s="2267" t="s">
        <v>2175</v>
      </c>
      <c r="F42" s="1820">
        <f>SUMIF(122:122,E42,123:123)-SUMIF(122:122,C42,123:123)+100</f>
        <v>100</v>
      </c>
      <c r="G42" s="2267" t="s">
        <v>2175</v>
      </c>
      <c r="H42" s="1272">
        <f>SUMIF(122:122,G42,123:123)-SUMIF(122:122,C42,123:123)+100</f>
        <v>100</v>
      </c>
      <c r="I42" s="2267" t="s">
        <v>2175</v>
      </c>
      <c r="J42" s="1272">
        <f>SUMIF(122:122,I42,123:123)-SUMIF(122:122,C42,123:123)+100</f>
        <v>100</v>
      </c>
      <c r="K42" s="2262">
        <v>2</v>
      </c>
      <c r="L42" s="1273"/>
      <c r="M42" s="1219"/>
      <c r="N42" s="1219"/>
      <c r="O42" s="1219"/>
      <c r="P42" s="4622"/>
      <c r="Q42" s="988" t="str">
        <f t="shared" si="11"/>
        <v>内部装修</v>
      </c>
      <c r="R42" s="1745" t="s">
        <v>1139</v>
      </c>
      <c r="S42" s="1746">
        <f t="shared" si="12"/>
        <v>100</v>
      </c>
      <c r="T42" s="1745" t="s">
        <v>1139</v>
      </c>
      <c r="U42" s="1746">
        <f t="shared" si="13"/>
        <v>100</v>
      </c>
      <c r="V42" s="1745" t="s">
        <v>1139</v>
      </c>
      <c r="W42" s="1746">
        <f t="shared" si="14"/>
        <v>100</v>
      </c>
      <c r="X42" s="1220"/>
      <c r="Y42" s="4553"/>
      <c r="Z42" s="1288" t="str">
        <f t="shared" si="18"/>
        <v>内部装修</v>
      </c>
      <c r="AA42" s="1288">
        <f t="shared" si="15"/>
        <v>1</v>
      </c>
      <c r="AB42" s="1288">
        <f t="shared" si="16"/>
        <v>1</v>
      </c>
      <c r="AC42" s="1288">
        <f t="shared" si="17"/>
        <v>1</v>
      </c>
    </row>
    <row r="43" spans="1:29" ht="28.8">
      <c r="A43" s="1537"/>
      <c r="B43" s="1251" t="s">
        <v>2182</v>
      </c>
      <c r="C43" s="1338" t="s">
        <v>1162</v>
      </c>
      <c r="D43" s="1271">
        <v>100</v>
      </c>
      <c r="E43" s="2267" t="s">
        <v>1162</v>
      </c>
      <c r="F43" s="1820">
        <f>SUMIF(124:124,E43,125:125)-SUMIF(124:124,C43,125:125)+100</f>
        <v>100</v>
      </c>
      <c r="G43" s="2267" t="s">
        <v>1162</v>
      </c>
      <c r="H43" s="1272">
        <f>SUMIF(124:124,G43,125:125)-SUMIF(124:124,C43,125:125)+100</f>
        <v>100</v>
      </c>
      <c r="I43" s="2267" t="s">
        <v>1162</v>
      </c>
      <c r="J43" s="1272">
        <f>SUMIF(124:124,I43,125:125)-SUMIF(124:124,C43,125:125)+100</f>
        <v>100</v>
      </c>
      <c r="K43" s="2262">
        <v>2</v>
      </c>
      <c r="L43" s="1273"/>
      <c r="M43" s="1219"/>
      <c r="N43" s="1219"/>
      <c r="O43" s="1219"/>
      <c r="P43" s="4622"/>
      <c r="Q43" s="988" t="str">
        <f t="shared" si="11"/>
        <v>内部装修维护情况</v>
      </c>
      <c r="R43" s="1745" t="s">
        <v>1139</v>
      </c>
      <c r="S43" s="1746">
        <f t="shared" si="12"/>
        <v>100</v>
      </c>
      <c r="T43" s="1745" t="s">
        <v>1139</v>
      </c>
      <c r="U43" s="1746">
        <f t="shared" si="13"/>
        <v>100</v>
      </c>
      <c r="V43" s="1745" t="s">
        <v>1139</v>
      </c>
      <c r="W43" s="1746">
        <f t="shared" si="14"/>
        <v>100</v>
      </c>
      <c r="X43" s="1220"/>
      <c r="Y43" s="4553"/>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22"/>
      <c r="Q44" s="1137">
        <f t="shared" si="11"/>
        <v>0</v>
      </c>
      <c r="R44" s="1738" t="s">
        <v>1139</v>
      </c>
      <c r="S44" s="1739">
        <f t="shared" si="12"/>
        <v>100</v>
      </c>
      <c r="T44" s="1738" t="s">
        <v>1139</v>
      </c>
      <c r="U44" s="1739">
        <f t="shared" si="13"/>
        <v>100</v>
      </c>
      <c r="V44" s="1738" t="s">
        <v>1139</v>
      </c>
      <c r="W44" s="1739">
        <f t="shared" si="14"/>
        <v>100</v>
      </c>
      <c r="X44" s="1239"/>
      <c r="Y44" s="4553"/>
      <c r="Z44" s="1241">
        <f t="shared" si="18"/>
        <v>0</v>
      </c>
      <c r="AA44" s="1241">
        <f t="shared" si="15"/>
        <v>1</v>
      </c>
      <c r="AB44" s="1241">
        <f t="shared" si="16"/>
        <v>1</v>
      </c>
      <c r="AC44" s="1241">
        <f t="shared" si="17"/>
        <v>1</v>
      </c>
    </row>
    <row r="45" spans="1:29" ht="15">
      <c r="A45" s="1537"/>
      <c r="B45" s="2277" t="s">
        <v>2183</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22"/>
      <c r="Q45" s="988" t="str">
        <f t="shared" si="11"/>
        <v>得房率</v>
      </c>
      <c r="R45" s="1745" t="s">
        <v>1139</v>
      </c>
      <c r="S45" s="1746">
        <f t="shared" si="12"/>
        <v>106</v>
      </c>
      <c r="T45" s="1745" t="s">
        <v>1139</v>
      </c>
      <c r="U45" s="1746">
        <f t="shared" si="13"/>
        <v>124</v>
      </c>
      <c r="V45" s="1745" t="s">
        <v>1139</v>
      </c>
      <c r="W45" s="1746">
        <f t="shared" si="14"/>
        <v>100</v>
      </c>
      <c r="X45" s="1220"/>
      <c r="Y45" s="4553"/>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23"/>
      <c r="Q46" s="988">
        <f t="shared" si="11"/>
        <v>111</v>
      </c>
      <c r="R46" s="1745" t="s">
        <v>1139</v>
      </c>
      <c r="S46" s="1746">
        <f t="shared" si="12"/>
        <v>100</v>
      </c>
      <c r="T46" s="1745" t="s">
        <v>1139</v>
      </c>
      <c r="U46" s="1746">
        <f t="shared" si="13"/>
        <v>100</v>
      </c>
      <c r="V46" s="1745" t="s">
        <v>1139</v>
      </c>
      <c r="W46" s="1746">
        <f t="shared" si="14"/>
        <v>100</v>
      </c>
      <c r="X46" s="1220"/>
      <c r="Y46" s="4624"/>
      <c r="Z46" s="1288">
        <f t="shared" si="18"/>
        <v>111</v>
      </c>
      <c r="AA46" s="1288">
        <f t="shared" si="15"/>
        <v>1</v>
      </c>
      <c r="AB46" s="1288">
        <f t="shared" si="16"/>
        <v>1</v>
      </c>
      <c r="AC46" s="1288">
        <f t="shared" si="17"/>
        <v>1</v>
      </c>
    </row>
    <row r="47" spans="1:29" ht="14.4">
      <c r="A47" s="1345" t="s">
        <v>2184</v>
      </c>
      <c r="B47" s="1655"/>
      <c r="C47" s="1656" t="s">
        <v>124</v>
      </c>
      <c r="D47" s="1657"/>
      <c r="E47" s="1349">
        <v>38805</v>
      </c>
      <c r="F47" s="2281"/>
      <c r="G47" s="1351">
        <v>43357</v>
      </c>
      <c r="H47" s="2282"/>
      <c r="I47" s="1349">
        <v>40101</v>
      </c>
      <c r="J47" s="2282"/>
      <c r="K47" s="2283"/>
      <c r="L47" s="1354"/>
      <c r="M47" s="1219"/>
      <c r="N47" s="1219"/>
      <c r="O47" s="1219"/>
      <c r="P47" s="4537" t="str">
        <f>A47</f>
        <v>成交单价（元/平方米）</v>
      </c>
      <c r="Q47" s="4537"/>
      <c r="R47" s="4538">
        <f>E47</f>
        <v>38805</v>
      </c>
      <c r="S47" s="4538"/>
      <c r="T47" s="4538">
        <f>G47</f>
        <v>43357</v>
      </c>
      <c r="U47" s="4538"/>
      <c r="V47" s="4538">
        <f>I47</f>
        <v>40101</v>
      </c>
      <c r="W47" s="4538"/>
      <c r="X47" s="1355"/>
      <c r="Y47" s="1356"/>
      <c r="Z47" s="1355"/>
      <c r="AA47" s="1355"/>
      <c r="AB47" s="1355"/>
      <c r="AC47" s="1355"/>
    </row>
    <row r="48" spans="1:29" ht="14.4">
      <c r="A48" s="1357" t="s">
        <v>1183</v>
      </c>
      <c r="B48" s="1658"/>
      <c r="C48" s="1362">
        <f>R49</f>
        <v>36369</v>
      </c>
      <c r="D48" s="1659" t="s">
        <v>2185</v>
      </c>
      <c r="E48" s="1709">
        <f>R48</f>
        <v>36608</v>
      </c>
      <c r="F48" s="1361"/>
      <c r="G48" s="1710">
        <f>T48</f>
        <v>35679</v>
      </c>
      <c r="H48" s="1361"/>
      <c r="I48" s="1709">
        <f>V48</f>
        <v>36821</v>
      </c>
      <c r="J48" s="1361"/>
      <c r="K48" s="1363">
        <f>F48+H48+J48</f>
        <v>0</v>
      </c>
      <c r="L48" s="1354"/>
      <c r="M48" s="1219"/>
      <c r="N48" s="1219"/>
      <c r="O48" s="1219"/>
      <c r="P48" s="4537" t="str">
        <f>A48</f>
        <v>比较价值（元/平方米）</v>
      </c>
      <c r="Q48" s="4537"/>
      <c r="R48" s="4538">
        <f>IF(F1="售价",ROUND(PRODUCT(R47,AA7:AA46),0),ROUND(PRODUCT(R47,AA7:AA46),1))</f>
        <v>36608</v>
      </c>
      <c r="S48" s="4538"/>
      <c r="T48" s="4538">
        <f>IF(F1="售价",ROUND(PRODUCT(T47,AB7:AB46),0),ROUND(PRODUCT(T47,AB7:AB46),1))</f>
        <v>35679</v>
      </c>
      <c r="U48" s="4538"/>
      <c r="V48" s="4538">
        <f>IF(F1="售价",ROUND(PRODUCT(V47,AC7:AC46),0),ROUND(PRODUCT(V47,AC7:AC46),1))</f>
        <v>36821</v>
      </c>
      <c r="W48" s="4538"/>
      <c r="X48" s="1355"/>
      <c r="Y48" s="1355"/>
      <c r="Z48" s="1355"/>
      <c r="AA48" s="1355"/>
      <c r="AB48" s="1355"/>
      <c r="AC48" s="1355"/>
    </row>
    <row r="49" spans="1:29" ht="14.4">
      <c r="A49" s="1364" t="s">
        <v>2186</v>
      </c>
      <c r="B49" s="1365"/>
      <c r="C49" s="2284">
        <f>R49</f>
        <v>36369</v>
      </c>
      <c r="D49" s="1574"/>
      <c r="E49" s="1574"/>
      <c r="F49" s="1574"/>
      <c r="G49" s="1574"/>
      <c r="H49" s="1574"/>
      <c r="I49" s="1574"/>
      <c r="J49" s="1574"/>
      <c r="K49" s="2285"/>
      <c r="L49" s="1354"/>
      <c r="M49" s="1219"/>
      <c r="N49" s="1219"/>
      <c r="O49" s="1219"/>
      <c r="P49" s="4539" t="str">
        <f>A49</f>
        <v>估价对象XX用房的比较价值（楼面单价，元/平方米）</v>
      </c>
      <c r="Q49" s="4540"/>
      <c r="R49" s="4541">
        <f>IF(F1="售价",ROUND(IF(D48="简单平均",AVERAGE(R48:V48),R48*F48+T48*H48+V48*J48),0),ROUND(IF(D48="简单平均",AVERAGE(R48:V48),R48*F48+T48*H48+V48*J48),1))</f>
        <v>36369</v>
      </c>
      <c r="S49" s="4541"/>
      <c r="T49" s="4541"/>
      <c r="U49" s="4541"/>
      <c r="V49" s="4541"/>
      <c r="W49" s="454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1186</v>
      </c>
      <c r="D52" s="1058"/>
      <c r="E52" s="1373">
        <f>IF(E47&lt;E48,E48/E47-1,E47/E48-1)</f>
        <v>6.00142045454546E-2</v>
      </c>
      <c r="F52" s="1374" t="str">
        <f>IF(OR(E52&gt;=0.3,E52&lt;=-0.3),"超过30%","")</f>
        <v/>
      </c>
      <c r="G52" s="1373">
        <f>IF(G47&lt;G48,G48/G47-1,G47/G48-1)</f>
        <v>0.21519661425488401</v>
      </c>
      <c r="H52" s="1374" t="str">
        <f>IF(OR(G52&gt;=0.3,G52&lt;=-0.3),"超过30%","")</f>
        <v/>
      </c>
      <c r="I52" s="1373">
        <f>IF(I47&lt;I48,I48/I47-1,I47/I48-1)</f>
        <v>8.9079601314467197E-2</v>
      </c>
      <c r="J52" s="1374" t="str">
        <f>IF(OR(I52&gt;=0.3,I52&lt;=-0.3),"超过30%","")</f>
        <v/>
      </c>
      <c r="K52" s="1371"/>
      <c r="L52" s="1372"/>
      <c r="M52" s="1219"/>
      <c r="N52" s="1219"/>
      <c r="O52" s="1219"/>
    </row>
    <row r="53" spans="1:29" ht="13.5" customHeight="1">
      <c r="A53" s="1219"/>
      <c r="B53" s="1219"/>
      <c r="C53" s="624" t="s">
        <v>1187</v>
      </c>
      <c r="D53" s="1057"/>
      <c r="E53" s="1373">
        <f>IF(E48&lt;G48,G48/E48-1,E48/G48-1)</f>
        <v>2.6037725272569201E-2</v>
      </c>
      <c r="F53" s="1374" t="str">
        <f>IF(OR(E53&gt;=0.2,E53&lt;=-0.2),"超过20%","")</f>
        <v/>
      </c>
      <c r="G53" s="1373">
        <f>IF(G48&lt;I48,I48/G48-1,G48/I48-1)</f>
        <v>3.2007623532049702E-2</v>
      </c>
      <c r="H53" s="1374" t="str">
        <f>IF(OR(G53&gt;=0.2,G53&lt;=-0.2),"超过20%","")</f>
        <v/>
      </c>
      <c r="I53" s="1373">
        <f>IF(I48&lt;E48,E48/I48-1,I48/E48-1)</f>
        <v>5.8184003496504202E-3</v>
      </c>
      <c r="J53" s="1374" t="str">
        <f>IF(OR(I53&gt;=0.2,I53&lt;=-0.2),"超过20%","")</f>
        <v/>
      </c>
      <c r="K53" s="1371"/>
      <c r="L53" s="1372"/>
      <c r="M53" s="1219"/>
      <c r="N53" s="1219"/>
      <c r="O53" s="1219"/>
    </row>
    <row r="54" spans="1:29" s="1189" customFormat="1" ht="13.5" customHeight="1">
      <c r="A54" s="1375"/>
      <c r="B54" s="1375"/>
      <c r="C54" s="624" t="s">
        <v>1188</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1213</v>
      </c>
      <c r="B57" s="1355"/>
      <c r="C57" s="1421"/>
      <c r="D57" s="1421"/>
      <c r="E57" s="1421"/>
      <c r="F57" s="1422"/>
      <c r="G57" s="1422"/>
      <c r="H57" s="1421"/>
      <c r="I57" s="1421"/>
      <c r="J57" s="1421"/>
      <c r="K57" s="1714"/>
      <c r="L57" s="1715"/>
      <c r="M57" s="1425"/>
      <c r="N57" s="1425"/>
      <c r="O57" s="1425"/>
      <c r="P57" s="2287"/>
      <c r="Q57" s="2288"/>
    </row>
    <row r="58" spans="1:29" s="1191" customFormat="1" ht="14.4">
      <c r="A58" s="1663" t="s">
        <v>1136</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1216</v>
      </c>
      <c r="B60" s="1438"/>
      <c r="C60" s="1439"/>
      <c r="D60" s="1440"/>
      <c r="E60" s="1440"/>
      <c r="F60" s="1440"/>
      <c r="G60" s="1440"/>
      <c r="H60" s="1440"/>
      <c r="I60" s="1440"/>
      <c r="J60" s="1440"/>
      <c r="K60" s="1440"/>
      <c r="L60" s="1440"/>
      <c r="M60" s="1441"/>
      <c r="N60" s="1440"/>
      <c r="O60" s="1441"/>
      <c r="P60" s="2292"/>
      <c r="Q60" s="2288"/>
    </row>
    <row r="61" spans="1:29" s="1186" customFormat="1" ht="14.4">
      <c r="A61" s="1443" t="s">
        <v>1140</v>
      </c>
      <c r="B61" s="1444"/>
      <c r="C61" s="1445" t="s">
        <v>1217</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1218</v>
      </c>
      <c r="B63" s="1454" t="s">
        <v>1144</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1147</v>
      </c>
      <c r="C65" s="1517" t="s">
        <v>2187</v>
      </c>
      <c r="D65" s="1517" t="s">
        <v>2188</v>
      </c>
      <c r="E65" s="1517" t="s">
        <v>2189</v>
      </c>
      <c r="F65" s="1517" t="s">
        <v>2190</v>
      </c>
      <c r="G65" s="1517"/>
      <c r="H65" s="1517"/>
      <c r="I65" s="1517"/>
      <c r="J65" s="1517"/>
      <c r="K65" s="1517"/>
      <c r="L65" s="1517"/>
      <c r="M65" s="1517"/>
      <c r="N65" s="1726"/>
      <c r="O65" s="1726"/>
      <c r="P65" s="2294"/>
      <c r="Q65" s="2288"/>
    </row>
    <row r="66" spans="1:17" ht="14.4">
      <c r="A66" s="1460"/>
      <c r="B66" s="1470" t="s">
        <v>2191</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1148</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1151</v>
      </c>
      <c r="B76" s="1454" t="s">
        <v>1152</v>
      </c>
      <c r="C76" s="1501" t="s">
        <v>1219</v>
      </c>
      <c r="D76" s="1501" t="s">
        <v>1220</v>
      </c>
      <c r="E76" s="1501" t="s">
        <v>1221</v>
      </c>
      <c r="F76" s="1501" t="s">
        <v>1222</v>
      </c>
      <c r="G76" s="1501" t="s">
        <v>1223</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1158</v>
      </c>
      <c r="C78" s="1506" t="s">
        <v>1219</v>
      </c>
      <c r="D78" s="1506" t="s">
        <v>1220</v>
      </c>
      <c r="E78" s="1506" t="s">
        <v>1221</v>
      </c>
      <c r="F78" s="1506" t="s">
        <v>1222</v>
      </c>
      <c r="G78" s="1506" t="s">
        <v>1223</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1165</v>
      </c>
      <c r="C80" s="1506" t="s">
        <v>1219</v>
      </c>
      <c r="D80" s="1506" t="s">
        <v>1220</v>
      </c>
      <c r="E80" s="1506" t="s">
        <v>1221</v>
      </c>
      <c r="F80" s="1506" t="s">
        <v>1222</v>
      </c>
      <c r="G80" s="1506" t="s">
        <v>1223</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1167</v>
      </c>
      <c r="C82" s="1466" t="s">
        <v>1224</v>
      </c>
      <c r="D82" s="1466" t="s">
        <v>1225</v>
      </c>
      <c r="E82" s="1466" t="s">
        <v>1226</v>
      </c>
      <c r="F82" s="1466" t="s">
        <v>1227</v>
      </c>
      <c r="G82" s="1466" t="s">
        <v>1228</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2161</v>
      </c>
      <c r="C84" s="1506" t="s">
        <v>1219</v>
      </c>
      <c r="D84" s="1506" t="s">
        <v>1220</v>
      </c>
      <c r="E84" s="1506" t="s">
        <v>1221</v>
      </c>
      <c r="F84" s="1506" t="s">
        <v>1222</v>
      </c>
      <c r="G84" s="1506" t="s">
        <v>1223</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2163</v>
      </c>
      <c r="C86" s="2301" t="s">
        <v>2192</v>
      </c>
      <c r="D86" s="2301" t="s">
        <v>2193</v>
      </c>
      <c r="E86" s="2301" t="s">
        <v>2194</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2164</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1174</v>
      </c>
      <c r="B100" s="1454" t="s">
        <v>2165</v>
      </c>
      <c r="C100" s="2302" t="s">
        <v>2166</v>
      </c>
      <c r="D100" s="2302" t="s">
        <v>2167</v>
      </c>
      <c r="E100" s="2302" t="s">
        <v>2168</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2169</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2170</v>
      </c>
      <c r="C105" s="2301" t="s">
        <v>2171</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2172</v>
      </c>
      <c r="C107" s="2303" t="s">
        <v>2195</v>
      </c>
      <c r="D107" s="2303" t="s">
        <v>2173</v>
      </c>
      <c r="E107" s="2303" t="s">
        <v>2196</v>
      </c>
      <c r="F107" s="2303" t="s">
        <v>2197</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2174</v>
      </c>
      <c r="C109" s="2301" t="s">
        <v>2175</v>
      </c>
      <c r="D109" s="2301" t="s">
        <v>2198</v>
      </c>
      <c r="E109" s="2301" t="s">
        <v>2199</v>
      </c>
      <c r="F109" s="2303" t="s">
        <v>2200</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2176</v>
      </c>
      <c r="C114" s="2301" t="s">
        <v>2177</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2178</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2179</v>
      </c>
      <c r="C118" s="2303" t="s">
        <v>2201</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2180</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2181</v>
      </c>
      <c r="C122" s="2301" t="s">
        <v>2175</v>
      </c>
      <c r="D122" s="2301" t="s">
        <v>2198</v>
      </c>
      <c r="E122" s="2301" t="s">
        <v>2199</v>
      </c>
      <c r="F122" s="2303" t="s">
        <v>2200</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2182</v>
      </c>
      <c r="C124" s="1506" t="s">
        <v>1219</v>
      </c>
      <c r="D124" s="1506" t="s">
        <v>1220</v>
      </c>
      <c r="E124" s="1506" t="s">
        <v>1221</v>
      </c>
      <c r="F124" s="1506" t="s">
        <v>1222</v>
      </c>
      <c r="G124" s="1506" t="s">
        <v>1223</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1247</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2202</v>
      </c>
    </row>
    <row r="137" spans="1:17" ht="15">
      <c r="B137" s="2306" t="s">
        <v>2203</v>
      </c>
      <c r="C137" s="2307"/>
      <c r="D137" s="2307"/>
      <c r="E137" s="2307"/>
      <c r="F137" s="2307"/>
      <c r="G137" s="2308"/>
      <c r="H137" s="2309"/>
      <c r="I137" s="2310" t="s">
        <v>2204</v>
      </c>
      <c r="J137" s="2307"/>
      <c r="K137" s="2311"/>
    </row>
    <row r="138" spans="1:17" ht="15">
      <c r="B138" s="2312"/>
      <c r="C138" s="2313" t="s">
        <v>2205</v>
      </c>
      <c r="D138" s="2313" t="s">
        <v>2206</v>
      </c>
      <c r="E138" s="2314" t="s">
        <v>2207</v>
      </c>
      <c r="F138" s="2315" t="s">
        <v>2208</v>
      </c>
      <c r="G138" s="2313" t="s">
        <v>2206</v>
      </c>
      <c r="H138" s="2316" t="s">
        <v>2207</v>
      </c>
      <c r="I138" s="2317"/>
      <c r="J138" s="2313" t="s">
        <v>2209</v>
      </c>
      <c r="K138" s="2316" t="s">
        <v>2210</v>
      </c>
    </row>
    <row r="139" spans="1:17" ht="15">
      <c r="B139" s="2318">
        <v>6</v>
      </c>
      <c r="C139" s="2319">
        <v>96</v>
      </c>
      <c r="D139" s="2320" t="s">
        <v>2211</v>
      </c>
      <c r="E139" s="2321">
        <v>100</v>
      </c>
      <c r="F139" s="2322">
        <v>102.5</v>
      </c>
      <c r="G139" s="2320" t="s">
        <v>2211</v>
      </c>
      <c r="H139" s="2323">
        <v>105</v>
      </c>
      <c r="I139" s="2324" t="s">
        <v>2212</v>
      </c>
      <c r="J139" s="2319">
        <v>20</v>
      </c>
      <c r="K139" s="2325">
        <f>C145/(J139-2)</f>
        <v>4.0555555555555596E-3</v>
      </c>
    </row>
    <row r="140" spans="1:17" ht="15">
      <c r="B140" s="2326">
        <v>5</v>
      </c>
      <c r="C140" s="2327">
        <v>100</v>
      </c>
      <c r="D140" s="2327"/>
      <c r="E140" s="2328"/>
      <c r="F140" s="2329">
        <v>102</v>
      </c>
      <c r="G140" s="2327"/>
      <c r="H140" s="2330"/>
      <c r="I140" s="2331" t="s">
        <v>2213</v>
      </c>
      <c r="J140" s="449">
        <f>ROUNDUP((J139-1)/2,0)</f>
        <v>10</v>
      </c>
      <c r="K140" s="2332">
        <v>100</v>
      </c>
    </row>
    <row r="141" spans="1:17" ht="15">
      <c r="B141" s="2326">
        <v>4</v>
      </c>
      <c r="C141" s="2327">
        <v>102</v>
      </c>
      <c r="D141" s="2327"/>
      <c r="E141" s="2328"/>
      <c r="F141" s="2329">
        <v>101.5</v>
      </c>
      <c r="G141" s="2327"/>
      <c r="H141" s="2330"/>
      <c r="I141" s="2331" t="s">
        <v>2214</v>
      </c>
      <c r="J141" s="449">
        <v>1</v>
      </c>
      <c r="K141" s="2333">
        <f>ROUND(100+(J141-J140)*K139*100,1)</f>
        <v>96.4</v>
      </c>
    </row>
    <row r="142" spans="1:17" ht="15">
      <c r="B142" s="2326">
        <v>3</v>
      </c>
      <c r="C142" s="2327">
        <v>103</v>
      </c>
      <c r="D142" s="2327"/>
      <c r="E142" s="2328"/>
      <c r="F142" s="2329">
        <v>101</v>
      </c>
      <c r="G142" s="2327"/>
      <c r="H142" s="2330"/>
      <c r="I142" s="2331" t="s">
        <v>2215</v>
      </c>
      <c r="J142" s="449">
        <f>J139</f>
        <v>20</v>
      </c>
      <c r="K142" s="2334">
        <v>95</v>
      </c>
    </row>
    <row r="143" spans="1:17" ht="15">
      <c r="B143" s="2326">
        <v>2</v>
      </c>
      <c r="C143" s="2327">
        <v>100</v>
      </c>
      <c r="D143" s="2327"/>
      <c r="E143" s="2328"/>
      <c r="F143" s="2329">
        <v>100.5</v>
      </c>
      <c r="G143" s="2327"/>
      <c r="H143" s="2330"/>
      <c r="I143" s="2331" t="s">
        <v>2216</v>
      </c>
      <c r="J143" s="2327">
        <v>15</v>
      </c>
      <c r="K143" s="2333">
        <f>ROUND(100+(J143-J140)*K139*100,1)</f>
        <v>102</v>
      </c>
    </row>
    <row r="144" spans="1:17" ht="15">
      <c r="B144" s="2326">
        <v>1</v>
      </c>
      <c r="C144" s="2327">
        <v>98</v>
      </c>
      <c r="D144" s="2335" t="s">
        <v>2217</v>
      </c>
      <c r="E144" s="2328">
        <v>102</v>
      </c>
      <c r="F144" s="2336">
        <v>100</v>
      </c>
      <c r="G144" s="2335" t="s">
        <v>2217</v>
      </c>
      <c r="H144" s="2330">
        <v>105</v>
      </c>
      <c r="I144" s="2331" t="s">
        <v>2216</v>
      </c>
      <c r="J144" s="2327">
        <v>18</v>
      </c>
      <c r="K144" s="2333">
        <f>ROUND(100+(J144-J140)*K139*100,1)</f>
        <v>103.2</v>
      </c>
    </row>
    <row r="145" spans="2:11" ht="15.6">
      <c r="B145" s="871" t="s">
        <v>2218</v>
      </c>
      <c r="C145" s="2337">
        <f>ROUND(MAX(C139:C144)/MIN(C139:C144)-1,3)</f>
        <v>7.2999999999999995E-2</v>
      </c>
      <c r="D145" s="2338"/>
      <c r="E145" s="2338"/>
      <c r="F145" s="2339" t="s">
        <v>2219</v>
      </c>
      <c r="G145" s="1762"/>
      <c r="H145" s="1763"/>
      <c r="I145" s="2340" t="s">
        <v>2216</v>
      </c>
      <c r="J145" s="2341">
        <v>8</v>
      </c>
      <c r="K145" s="2342">
        <f>ROUND(100+(J145-J140)*K139*100,1)</f>
        <v>99.2</v>
      </c>
    </row>
    <row r="147" spans="2:11" ht="14.4">
      <c r="B147" s="2305" t="s">
        <v>2220</v>
      </c>
    </row>
    <row r="148" spans="2:11" ht="14.4">
      <c r="B148" s="2305" t="s">
        <v>2221</v>
      </c>
    </row>
  </sheetData>
  <sheetProtection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workbookViewId="0">
      <selection activeCell="G28" sqref="G28"/>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1661</v>
      </c>
      <c r="B1" s="1203"/>
      <c r="C1" s="1891" t="s">
        <v>630</v>
      </c>
      <c r="D1" s="1892" t="s">
        <v>2222</v>
      </c>
      <c r="E1" s="1893" t="s">
        <v>1662</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1663</v>
      </c>
      <c r="B2" s="1901">
        <f ca="1">IF(D2="含税",ROUND((C28+J31+L55)*(1+F31),0),C28+J31+L55)</f>
        <v>0</v>
      </c>
      <c r="C2" s="1902" t="s">
        <v>1664</v>
      </c>
      <c r="D2" s="1903" t="s">
        <v>1743</v>
      </c>
      <c r="E2" s="1904"/>
      <c r="F2" s="1905"/>
      <c r="G2" s="1906"/>
      <c r="H2" s="1907"/>
      <c r="I2" s="1907"/>
      <c r="J2" s="1907"/>
      <c r="K2" s="1908"/>
      <c r="L2" s="1907"/>
      <c r="M2" s="1907"/>
    </row>
    <row r="3" spans="1:37" ht="18" customHeight="1">
      <c r="A3" s="1909" t="s">
        <v>1665</v>
      </c>
      <c r="B3" s="1910">
        <f ca="1">IF(ISERROR(B2*10000/F32),0,ROUND(B2*10000/F32,0))</f>
        <v>0</v>
      </c>
      <c r="C3" s="1902" t="s">
        <v>1666</v>
      </c>
      <c r="D3" s="1902"/>
      <c r="E3" s="1904"/>
      <c r="F3" s="1905"/>
      <c r="G3" s="1906"/>
      <c r="H3" s="1911" t="s">
        <v>1667</v>
      </c>
      <c r="I3" s="1912"/>
      <c r="J3" s="1912"/>
      <c r="K3" s="1913"/>
      <c r="L3" s="1912"/>
      <c r="M3" s="1912"/>
    </row>
    <row r="4" spans="1:37" s="366" customFormat="1" ht="18" customHeight="1">
      <c r="A4" s="1914" t="s">
        <v>1668</v>
      </c>
      <c r="B4" s="1915" t="s">
        <v>1669</v>
      </c>
      <c r="C4" s="1916" t="s">
        <v>2223</v>
      </c>
      <c r="D4" s="1915" t="s">
        <v>1671</v>
      </c>
      <c r="E4" s="1917" t="s">
        <v>1672</v>
      </c>
      <c r="F4" s="1918"/>
      <c r="G4" s="1919"/>
      <c r="H4" s="1914" t="s">
        <v>1668</v>
      </c>
      <c r="I4" s="1915" t="s">
        <v>1669</v>
      </c>
      <c r="J4" s="1916" t="s">
        <v>2223</v>
      </c>
      <c r="K4" s="1915" t="s">
        <v>1671</v>
      </c>
      <c r="L4" s="1917" t="s">
        <v>1672</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1673</v>
      </c>
      <c r="C5" s="1922">
        <f ca="1">ROUND(C6+C10+C12,0)</f>
        <v>0</v>
      </c>
      <c r="D5" s="1923" t="s">
        <v>1674</v>
      </c>
      <c r="E5" s="1924"/>
      <c r="F5" s="1925"/>
      <c r="G5" s="1919"/>
      <c r="H5" s="1920">
        <v>1</v>
      </c>
      <c r="I5" s="1921" t="s">
        <v>1673</v>
      </c>
      <c r="J5" s="1922">
        <f ca="1">ROUND(J6+J10+J12,0)</f>
        <v>0</v>
      </c>
      <c r="K5" s="1923" t="s">
        <v>1674</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1676</v>
      </c>
      <c r="C6" s="1928">
        <f ca="1">C7-C9</f>
        <v>0</v>
      </c>
      <c r="D6" s="1929" t="s">
        <v>1677</v>
      </c>
      <c r="E6" s="1930" t="s">
        <v>2224</v>
      </c>
      <c r="F6" s="1931">
        <f ca="1">INDIRECT("'数据-取费表'!u"&amp;$G$1)</f>
        <v>0.9</v>
      </c>
      <c r="G6" s="826"/>
      <c r="H6" s="1926" t="s">
        <v>1010</v>
      </c>
      <c r="I6" s="1927" t="s">
        <v>1676</v>
      </c>
      <c r="J6" s="1932">
        <f ca="1">J7-J9</f>
        <v>0</v>
      </c>
      <c r="K6" s="1929" t="s">
        <v>1677</v>
      </c>
      <c r="L6" s="1930" t="s">
        <v>2224</v>
      </c>
      <c r="M6" s="1931">
        <f ca="1">INDIRECT("'数据-取费表'!z"&amp;$G$1)</f>
        <v>0</v>
      </c>
    </row>
    <row r="7" spans="1:37" ht="18" customHeight="1">
      <c r="A7" s="4580" t="s">
        <v>1040</v>
      </c>
      <c r="B7" s="4582" t="s">
        <v>1679</v>
      </c>
      <c r="C7" s="4626">
        <f ca="1">ROUND(F6*F7*F8/10000,2)</f>
        <v>0</v>
      </c>
      <c r="D7" s="4585" t="s">
        <v>1680</v>
      </c>
      <c r="E7" s="1934" t="s">
        <v>1681</v>
      </c>
      <c r="F7" s="1935">
        <f ca="1">IF(INDIRECT("'数据-取费表'!ah"&amp;$G$1)="",INDIRECT("'数据-取费表'!k"&amp;$G$1),INDIRECT("'数据-取费表'!ah"&amp;$G$1))</f>
        <v>0</v>
      </c>
      <c r="G7" s="826"/>
      <c r="H7" s="4580" t="s">
        <v>1040</v>
      </c>
      <c r="I7" s="4582" t="s">
        <v>1679</v>
      </c>
      <c r="J7" s="4629">
        <f ca="1">ROUND(M6*M8*M7/10000,2)</f>
        <v>0</v>
      </c>
      <c r="K7" s="4585" t="s">
        <v>1680</v>
      </c>
      <c r="L7" s="1937" t="s">
        <v>1681</v>
      </c>
      <c r="M7" s="1935">
        <f ca="1">F7</f>
        <v>0</v>
      </c>
    </row>
    <row r="8" spans="1:37" ht="18" customHeight="1">
      <c r="A8" s="4581"/>
      <c r="B8" s="4583"/>
      <c r="C8" s="4626"/>
      <c r="D8" s="4585"/>
      <c r="E8" s="1937" t="str">
        <f ca="1">IF(F8=1,"年",IF(F8=12,"月","天"))</f>
        <v>天</v>
      </c>
      <c r="F8" s="1940">
        <f ca="1">INDIRECT("'数据-取费表'!ai"&amp;$G$1)</f>
        <v>365</v>
      </c>
      <c r="G8" s="826"/>
      <c r="H8" s="4581"/>
      <c r="I8" s="4583"/>
      <c r="J8" s="4629"/>
      <c r="K8" s="4585"/>
      <c r="L8" s="1937" t="str">
        <f ca="1">IF(M8=1,"年",IF(M8=12,"月","天"))</f>
        <v>天</v>
      </c>
      <c r="M8" s="1940">
        <f ca="1">INDIRECT("'数据-取费表'!ai"&amp;$G$1)</f>
        <v>365</v>
      </c>
    </row>
    <row r="9" spans="1:37" ht="18" customHeight="1">
      <c r="A9" s="1941" t="s">
        <v>1044</v>
      </c>
      <c r="B9" s="1939" t="s">
        <v>1682</v>
      </c>
      <c r="C9" s="1936">
        <f ca="1">ROUND(C7*F9,2)</f>
        <v>0</v>
      </c>
      <c r="D9" s="1929" t="s">
        <v>1683</v>
      </c>
      <c r="E9" s="1937" t="s">
        <v>1684</v>
      </c>
      <c r="F9" s="1942">
        <f ca="1">INDIRECT("'数据-取费表'!w"&amp;$G$1)</f>
        <v>0.1</v>
      </c>
      <c r="G9" s="826"/>
      <c r="H9" s="1941" t="s">
        <v>1044</v>
      </c>
      <c r="I9" s="1939" t="s">
        <v>1682</v>
      </c>
      <c r="J9" s="1932">
        <f ca="1">ROUND(J7*M9,2)</f>
        <v>0</v>
      </c>
      <c r="K9" s="1929" t="s">
        <v>1683</v>
      </c>
      <c r="L9" s="1943" t="s">
        <v>1684</v>
      </c>
      <c r="M9" s="1944">
        <f ca="1">INDIRECT("'数据-取费表'!ab"&amp;$G$1)</f>
        <v>0</v>
      </c>
    </row>
    <row r="10" spans="1:37" ht="18" customHeight="1">
      <c r="A10" s="1926" t="s">
        <v>1016</v>
      </c>
      <c r="B10" s="1945" t="s">
        <v>1685</v>
      </c>
      <c r="C10" s="1932">
        <f ca="1">ROUND(IF(F10="押一",C6/12*F11,IF(F10="押二",C6/12*2*F11,IF(F10="押三",C6/12*3*F11,C11*F11))),2)</f>
        <v>0</v>
      </c>
      <c r="D10" s="1946" t="s">
        <v>1686</v>
      </c>
      <c r="E10" s="1943" t="s">
        <v>1687</v>
      </c>
      <c r="F10" s="1947" t="s">
        <v>2225</v>
      </c>
      <c r="G10" s="826"/>
      <c r="H10" s="1926" t="s">
        <v>1016</v>
      </c>
      <c r="I10" s="1945" t="s">
        <v>1685</v>
      </c>
      <c r="J10" s="1948">
        <f ca="1">ROUND(IF(M10="押一",J6/12*M11,IF(M10="押二",J6/12*2*M11,IF(M10="押三",J6/12*3*M11,J11*M11))),2)</f>
        <v>0</v>
      </c>
      <c r="K10" s="1946" t="s">
        <v>1686</v>
      </c>
      <c r="L10" s="1943" t="s">
        <v>1687</v>
      </c>
      <c r="M10" s="1947"/>
    </row>
    <row r="11" spans="1:37" ht="18" customHeight="1">
      <c r="A11" s="1949"/>
      <c r="B11" s="1950" t="str">
        <f>IF(OR(F10="自定义",F10=" "),"（自定义押金）","")</f>
        <v/>
      </c>
      <c r="C11" s="1951"/>
      <c r="D11" s="1952"/>
      <c r="E11" s="1943" t="s">
        <v>1688</v>
      </c>
      <c r="F11" s="1944">
        <f ca="1">'数据-取费表'!B40</f>
        <v>1.4999999999999999E-2</v>
      </c>
      <c r="G11" s="826"/>
      <c r="H11" s="1953"/>
      <c r="I11" s="1950" t="str">
        <f>IF(OR(M10="自定义",M10=" "),"（自定义押金）","")</f>
        <v/>
      </c>
      <c r="J11" s="1951"/>
      <c r="K11" s="1954"/>
      <c r="L11" s="1943" t="s">
        <v>1688</v>
      </c>
      <c r="M11" s="1955">
        <f ca="1">'数据-取费表'!B40</f>
        <v>1.4999999999999999E-2</v>
      </c>
    </row>
    <row r="12" spans="1:37" ht="18" customHeight="1">
      <c r="A12" s="1956" t="s">
        <v>1068</v>
      </c>
      <c r="B12" s="1957" t="s">
        <v>1689</v>
      </c>
      <c r="C12" s="1958"/>
      <c r="D12" s="1959"/>
      <c r="E12" s="1960"/>
      <c r="F12" s="1961"/>
      <c r="G12" s="826"/>
      <c r="H12" s="1956" t="s">
        <v>1068</v>
      </c>
      <c r="I12" s="1957" t="s">
        <v>1689</v>
      </c>
      <c r="J12" s="1958"/>
      <c r="K12" s="1962"/>
      <c r="L12" s="1960"/>
      <c r="M12" s="1963"/>
    </row>
    <row r="13" spans="1:37" s="366" customFormat="1" ht="18" customHeight="1">
      <c r="A13" s="1964" t="s">
        <v>1364</v>
      </c>
      <c r="B13" s="1965" t="s">
        <v>1690</v>
      </c>
      <c r="C13" s="1966">
        <f ca="1">ROUND(C14+C22+C24+C26,0)</f>
        <v>0</v>
      </c>
      <c r="D13" s="1967" t="s">
        <v>1691</v>
      </c>
      <c r="E13" s="1968"/>
      <c r="F13" s="1925"/>
      <c r="G13" s="1919"/>
      <c r="H13" s="1964" t="s">
        <v>1364</v>
      </c>
      <c r="I13" s="1965" t="s">
        <v>1690</v>
      </c>
      <c r="J13" s="1966">
        <f ca="1">ROUND(J14+J22+J24+J26,0)</f>
        <v>0</v>
      </c>
      <c r="K13" s="1969" t="s">
        <v>1692</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1693</v>
      </c>
      <c r="C14" s="1932">
        <f ca="1">ROUND(IF(AND(项目基本情况!B11="自然人",项目基本情况!B10="北京市",M56="住宅"),C6*F14,C15+C19+C20),2)</f>
        <v>0</v>
      </c>
      <c r="D14" s="1971" t="s">
        <v>1694</v>
      </c>
      <c r="E14" s="1971" t="str">
        <f>IF(M56="非住宅","","综合税率")</f>
        <v/>
      </c>
      <c r="F14" s="1972" t="str">
        <f>IF(M56="非住宅","",IF(F6*F7*F8/12/(1+'数据-取费表'!F30)&gt;100000,4%,2.5%))</f>
        <v/>
      </c>
      <c r="G14" s="826"/>
      <c r="H14" s="678" t="s">
        <v>1010</v>
      </c>
      <c r="I14" s="1930" t="s">
        <v>1693</v>
      </c>
      <c r="J14" s="1932">
        <f ca="1">ROUND(IF(AND(项目基本情况!B11="自然人",项目基本情况!B10="北京市",M56="住宅"),J6*M14/(1+'数据-取费表'!C43),J15+J19+J20),2)</f>
        <v>0</v>
      </c>
      <c r="K14" s="1973" t="s">
        <v>1695</v>
      </c>
      <c r="L14" s="1971" t="str">
        <f>E14</f>
        <v/>
      </c>
      <c r="M14" s="1972" t="str">
        <f>IF(M56="非住宅","",IF(M6*M7*M8/12/(1+'数据-取费表'!F30)&gt;100000,4%,2.5%))</f>
        <v/>
      </c>
    </row>
    <row r="15" spans="1:37" s="1886" customFormat="1" ht="18" customHeight="1">
      <c r="A15" s="1941" t="s">
        <v>1040</v>
      </c>
      <c r="B15" s="1930" t="s">
        <v>1696</v>
      </c>
      <c r="C15" s="1932">
        <f ca="1">C18</f>
        <v>0</v>
      </c>
      <c r="D15" s="1039" t="s">
        <v>1697</v>
      </c>
      <c r="E15" s="1974"/>
      <c r="F15" s="1975"/>
      <c r="G15" s="1976"/>
      <c r="H15" s="1941" t="s">
        <v>1040</v>
      </c>
      <c r="I15" s="1930" t="s">
        <v>1696</v>
      </c>
      <c r="J15" s="1932">
        <f ca="1">J18</f>
        <v>0</v>
      </c>
      <c r="K15" s="1039" t="s">
        <v>1697</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1435</v>
      </c>
      <c r="B16" s="1977" t="s">
        <v>973</v>
      </c>
      <c r="C16" s="751">
        <f ca="1">ROUND(C6*F16,2)</f>
        <v>0</v>
      </c>
      <c r="D16" s="575" t="s">
        <v>1698</v>
      </c>
      <c r="E16" s="1978" t="s">
        <v>1699</v>
      </c>
      <c r="F16" s="1979">
        <v>0.09</v>
      </c>
      <c r="G16" s="826"/>
      <c r="H16" s="604" t="s">
        <v>1435</v>
      </c>
      <c r="I16" s="1977" t="s">
        <v>973</v>
      </c>
      <c r="J16" s="751">
        <f ca="1">ROUND(J6*M16,2)</f>
        <v>0</v>
      </c>
      <c r="K16" s="1980" t="s">
        <v>2226</v>
      </c>
      <c r="L16" s="1978" t="s">
        <v>1699</v>
      </c>
      <c r="M16" s="1979">
        <v>0.09</v>
      </c>
    </row>
    <row r="17" spans="1:37" s="1886" customFormat="1" ht="18" customHeight="1">
      <c r="A17" s="604" t="s">
        <v>1444</v>
      </c>
      <c r="B17" s="1977" t="s">
        <v>977</v>
      </c>
      <c r="C17" s="1981">
        <f ca="1">ROUND(C22*F16+((C24+C26)*F17),2)</f>
        <v>0</v>
      </c>
      <c r="D17" s="1982" t="s">
        <v>1701</v>
      </c>
      <c r="E17" s="1983"/>
      <c r="F17" s="1979">
        <v>0.06</v>
      </c>
      <c r="G17" s="1976"/>
      <c r="H17" s="604" t="s">
        <v>1444</v>
      </c>
      <c r="I17" s="1977" t="s">
        <v>977</v>
      </c>
      <c r="J17" s="1981">
        <f ca="1">ROUND(J22*M16+((J24+J26)*M17),2)</f>
        <v>0</v>
      </c>
      <c r="K17" s="1982" t="s">
        <v>1701</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1447</v>
      </c>
      <c r="B18" s="1977" t="s">
        <v>2227</v>
      </c>
      <c r="C18" s="1981">
        <f ca="1">ROUND((C16-C17)*F18,2)</f>
        <v>0</v>
      </c>
      <c r="D18" s="1973" t="s">
        <v>1703</v>
      </c>
      <c r="E18" s="1937" t="s">
        <v>1704</v>
      </c>
      <c r="F18" s="1979">
        <f>'数据-取费表'!B44</f>
        <v>0.1</v>
      </c>
      <c r="G18" s="1976"/>
      <c r="H18" s="604" t="s">
        <v>1447</v>
      </c>
      <c r="I18" s="1977" t="s">
        <v>1702</v>
      </c>
      <c r="J18" s="1981">
        <f ca="1">ROUND((J16-J17)*M18,2)</f>
        <v>0</v>
      </c>
      <c r="K18" s="1973" t="s">
        <v>1703</v>
      </c>
      <c r="L18" s="1937" t="s">
        <v>1704</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1705</v>
      </c>
      <c r="C19" s="1932">
        <f ca="1">IF(AND(项目基本情况!B11="自然人",M56="住宅"),"——",IF(D19="按不含税租金收入（有效毛租金收入）计税",ROUND(C6*F19,2),IF(D19="按房产原值计税",ROUND(C51*F19*0.7,2),INDIRECT("'数据-取费表'!Aj"&amp;$G$1))))</f>
        <v>0</v>
      </c>
      <c r="D19" s="1984" t="s">
        <v>2228</v>
      </c>
      <c r="E19" s="1937" t="s">
        <v>1706</v>
      </c>
      <c r="F19" s="1979">
        <f>IF(D19="按票据","——",IF(D19="按不含税租金收入（有效毛租金收入）计税",'数据-取费表'!B52,'数据-取费表'!B51))</f>
        <v>0.12</v>
      </c>
      <c r="G19" s="1976"/>
      <c r="H19" s="1941" t="s">
        <v>1044</v>
      </c>
      <c r="I19" s="1930" t="s">
        <v>1705</v>
      </c>
      <c r="J19" s="1932">
        <f ca="1">IF(K19="按不含税租金收入（有效毛租金收入）计税",ROUND(J6*M19,2),ROUND(C51*M19*0.7,2))</f>
        <v>0</v>
      </c>
      <c r="K19" s="1985"/>
      <c r="L19" s="1937" t="s">
        <v>1706</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1986" t="s">
        <v>1707</v>
      </c>
      <c r="C20" s="1948">
        <f ca="1">IF(AND(项目基本情况!B11="自然人",M56="住宅"),"——",ROUND(F20*F21/10000,2))</f>
        <v>0</v>
      </c>
      <c r="D20" s="1987" t="s">
        <v>1708</v>
      </c>
      <c r="E20" s="1937" t="s">
        <v>1709</v>
      </c>
      <c r="F20" s="1988">
        <f>'数据-取费表'!B53</f>
        <v>1.5</v>
      </c>
      <c r="G20" s="826"/>
      <c r="H20" s="1933" t="s">
        <v>1047</v>
      </c>
      <c r="I20" s="1986" t="s">
        <v>1707</v>
      </c>
      <c r="J20" s="1948">
        <f ca="1">ROUND(M20*M21/10000,2)</f>
        <v>0</v>
      </c>
      <c r="K20" s="1987" t="s">
        <v>1708</v>
      </c>
      <c r="L20" s="1937" t="s">
        <v>1709</v>
      </c>
      <c r="M20" s="1988">
        <f>'数据-取费表'!B53</f>
        <v>1.5</v>
      </c>
    </row>
    <row r="21" spans="1:37" s="1886" customFormat="1" ht="18" customHeight="1">
      <c r="A21" s="1989"/>
      <c r="B21" s="1990"/>
      <c r="C21" s="1991"/>
      <c r="D21" s="1992"/>
      <c r="E21" s="1937" t="s">
        <v>1710</v>
      </c>
      <c r="F21" s="1935">
        <f ca="1">INDIRECT("'数据-取费表'!r"&amp;$G$1)</f>
        <v>0</v>
      </c>
      <c r="G21" s="1976"/>
      <c r="H21" s="1989"/>
      <c r="I21" s="1993"/>
      <c r="J21" s="1991"/>
      <c r="K21" s="1992"/>
      <c r="L21" s="1937" t="s">
        <v>1710</v>
      </c>
      <c r="M21" s="1935">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1711</v>
      </c>
      <c r="C22" s="1996">
        <f ca="1">ROUND(C51*F22,2)</f>
        <v>0</v>
      </c>
      <c r="D22" s="1997" t="s">
        <v>1712</v>
      </c>
      <c r="E22" s="1937" t="s">
        <v>1706</v>
      </c>
      <c r="F22" s="1942">
        <f ca="1">INDIRECT("'数据-取费表'!Ak"&amp;$G$1)</f>
        <v>3.0000000000000001E-3</v>
      </c>
      <c r="G22" s="1976"/>
      <c r="H22" s="1994" t="s">
        <v>1016</v>
      </c>
      <c r="I22" s="1995" t="s">
        <v>1711</v>
      </c>
      <c r="J22" s="1996">
        <f ca="1">ROUND(J35*M22,2)</f>
        <v>0</v>
      </c>
      <c r="K22" s="1997" t="s">
        <v>1712</v>
      </c>
      <c r="L22" s="1937" t="s">
        <v>1706</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1713</v>
      </c>
      <c r="F23" s="1940">
        <f ca="1">C51</f>
        <v>0</v>
      </c>
      <c r="G23" s="1976"/>
      <c r="H23" s="1989"/>
      <c r="I23" s="1993"/>
      <c r="J23" s="1998"/>
      <c r="K23" s="1999"/>
      <c r="L23" s="1930" t="s">
        <v>1713</v>
      </c>
      <c r="M23" s="1940">
        <f ca="1">J35</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1714</v>
      </c>
      <c r="C24" s="1996">
        <f ca="1">ROUND(C53*F24,2)</f>
        <v>0</v>
      </c>
      <c r="D24" s="1997" t="s">
        <v>1715</v>
      </c>
      <c r="E24" s="1937" t="s">
        <v>1706</v>
      </c>
      <c r="F24" s="1942">
        <f ca="1">INDIRECT("'数据-取费表'!Al"&amp;$G$1)</f>
        <v>1E-3</v>
      </c>
      <c r="G24" s="826"/>
      <c r="H24" s="1994" t="s">
        <v>1068</v>
      </c>
      <c r="I24" s="1995" t="s">
        <v>1714</v>
      </c>
      <c r="J24" s="1996">
        <f ca="1">ROUND(J37*M24,2)</f>
        <v>0</v>
      </c>
      <c r="K24" s="1997" t="s">
        <v>2229</v>
      </c>
      <c r="L24" s="1937" t="s">
        <v>1706</v>
      </c>
      <c r="M24" s="1942">
        <f ca="1">INDIRECT("'数据-取费表'!Al"&amp;$G$1)</f>
        <v>1E-3</v>
      </c>
    </row>
    <row r="25" spans="1:37" ht="18" customHeight="1">
      <c r="A25" s="1989"/>
      <c r="B25" s="1993"/>
      <c r="C25" s="1998"/>
      <c r="D25" s="1999"/>
      <c r="E25" s="2000" t="s">
        <v>1717</v>
      </c>
      <c r="F25" s="1940">
        <f ca="1">C53</f>
        <v>0</v>
      </c>
      <c r="G25" s="826"/>
      <c r="H25" s="1989"/>
      <c r="I25" s="1993"/>
      <c r="J25" s="1998"/>
      <c r="K25" s="1999"/>
      <c r="L25" s="2000" t="s">
        <v>1717</v>
      </c>
      <c r="M25" s="1940">
        <f ca="1">J37</f>
        <v>0</v>
      </c>
    </row>
    <row r="26" spans="1:37" s="1886" customFormat="1" ht="18" customHeight="1">
      <c r="A26" s="2001" t="s">
        <v>1073</v>
      </c>
      <c r="B26" s="1960" t="s">
        <v>1718</v>
      </c>
      <c r="C26" s="2002">
        <f ca="1">ROUND(C5*F26,2)</f>
        <v>0</v>
      </c>
      <c r="D26" s="2003" t="s">
        <v>1719</v>
      </c>
      <c r="E26" s="1960" t="s">
        <v>1706</v>
      </c>
      <c r="F26" s="1963">
        <f ca="1">INDIRECT("'数据-取费表'!Am"&amp;$G$1)</f>
        <v>5.0000000000000001E-3</v>
      </c>
      <c r="G26" s="1976"/>
      <c r="H26" s="2001" t="s">
        <v>1073</v>
      </c>
      <c r="I26" s="1960" t="s">
        <v>1718</v>
      </c>
      <c r="J26" s="2002">
        <f ca="1">ROUND(J5*M26,2)</f>
        <v>0</v>
      </c>
      <c r="K26" s="2003" t="s">
        <v>1719</v>
      </c>
      <c r="L26" s="1960" t="s">
        <v>1706</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1478</v>
      </c>
      <c r="B27" s="2004" t="s">
        <v>1720</v>
      </c>
      <c r="C27" s="1966">
        <f ca="1">C5-C13</f>
        <v>0</v>
      </c>
      <c r="D27" s="2005" t="s">
        <v>1721</v>
      </c>
      <c r="E27" s="2006"/>
      <c r="F27" s="2007"/>
      <c r="G27" s="2008"/>
      <c r="H27" s="1964" t="s">
        <v>1478</v>
      </c>
      <c r="I27" s="2004" t="s">
        <v>1720</v>
      </c>
      <c r="J27" s="1966">
        <f ca="1">J5-J13</f>
        <v>0</v>
      </c>
      <c r="K27" s="2005" t="s">
        <v>1721</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1722</v>
      </c>
      <c r="B28" s="2010" t="s">
        <v>1723</v>
      </c>
      <c r="C28" s="2011">
        <f ca="1">IF(C5&lt;&gt;0,ROUND(C27*(1-((1+F30)/(1+F28))^F29)/(F28-F30),0),0)</f>
        <v>0</v>
      </c>
      <c r="D28" s="2012" t="s">
        <v>1858</v>
      </c>
      <c r="E28" s="2013" t="s">
        <v>1725</v>
      </c>
      <c r="F28" s="1942">
        <f ca="1">INDIRECT("'数据-取费表'!I"&amp;$G$1)</f>
        <v>0.05</v>
      </c>
      <c r="G28" s="1919"/>
      <c r="H28" s="1920" t="s">
        <v>1722</v>
      </c>
      <c r="I28" s="2010" t="s">
        <v>1916</v>
      </c>
      <c r="J28" s="2011">
        <f ca="1">IF(J5&lt;&gt;0,ROUND(J27*(1-((1+M30)/(1+M28))^M29)/(M28-M30),0),0)</f>
        <v>0</v>
      </c>
      <c r="K28" s="2012" t="s">
        <v>1858</v>
      </c>
      <c r="L28" s="2014" t="s">
        <v>1725</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1861</v>
      </c>
      <c r="E29" s="2013" t="s">
        <v>1727</v>
      </c>
      <c r="F29" s="2019">
        <f ca="1">IF(INDIRECT("'数据-取费表'!af"&amp;$G$1)=0,INDIRECT("'数据-取费表'!ae"&amp;$G$1),INDIRECT("'数据-取费表'!af"&amp;$G$1))</f>
        <v>47.54</v>
      </c>
      <c r="G29" s="1919"/>
      <c r="H29" s="2015"/>
      <c r="I29" s="2016"/>
      <c r="J29" s="2017"/>
      <c r="K29" s="2020" t="s">
        <v>1861</v>
      </c>
      <c r="L29" s="2013" t="s">
        <v>1727</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1728</v>
      </c>
      <c r="F30" s="1942">
        <f ca="1">INDIRECT("'数据-取费表'!v"&amp;$G$1)</f>
        <v>1.4999999999999999E-2</v>
      </c>
      <c r="G30" s="1919"/>
      <c r="H30" s="1949"/>
      <c r="I30" s="2021"/>
      <c r="J30" s="2022"/>
      <c r="K30" s="2020"/>
      <c r="L30" s="2013" t="s">
        <v>1728</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1729</v>
      </c>
      <c r="B31" s="2024" t="s">
        <v>1730</v>
      </c>
      <c r="C31" s="2025">
        <f ca="1">ROUND(C28*(1+F31),0)</f>
        <v>0</v>
      </c>
      <c r="D31" s="2026" t="s">
        <v>1731</v>
      </c>
      <c r="E31" s="2027" t="str">
        <f>IF(D31="其他类型公式—收益价值×（1+9%）","销项税率","征收率")</f>
        <v>销项税率</v>
      </c>
      <c r="F31" s="1942">
        <f>IF(D31="其他类型公式—收益价值×（1+9%）",9%,3%)</f>
        <v>0.09</v>
      </c>
      <c r="G31" s="2008"/>
      <c r="H31" s="2028" t="s">
        <v>1729</v>
      </c>
      <c r="I31" s="2013" t="s">
        <v>1732</v>
      </c>
      <c r="J31" s="1901">
        <f ca="1">ROUND(J28/(1+F28)^F29,0)</f>
        <v>0</v>
      </c>
      <c r="K31" s="2029" t="s">
        <v>2230</v>
      </c>
      <c r="L31" s="2013"/>
      <c r="M31" s="2019">
        <f ca="1">INDIRECT("'数据-取费表'!k"&amp;$G$1)</f>
        <v>0</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1734</v>
      </c>
      <c r="B32" s="2031" t="s">
        <v>1735</v>
      </c>
      <c r="C32" s="2032" t="e">
        <f ca="1">ROUND(C31*10000/F32,0)</f>
        <v>#DIV/0!</v>
      </c>
      <c r="D32" s="2033" t="s">
        <v>1736</v>
      </c>
      <c r="E32" s="2034" t="s">
        <v>1737</v>
      </c>
      <c r="F32" s="2035">
        <f ca="1">INDIRECT("'数据-取费表'!k"&amp;$G$1)</f>
        <v>0</v>
      </c>
      <c r="G32" s="2008"/>
      <c r="H32" s="2030" t="s">
        <v>1734</v>
      </c>
      <c r="I32" s="2036" t="s">
        <v>1738</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1668</v>
      </c>
      <c r="B34" s="2043" t="s">
        <v>1669</v>
      </c>
      <c r="C34" s="2044" t="s">
        <v>2223</v>
      </c>
      <c r="D34" s="2043" t="s">
        <v>1671</v>
      </c>
      <c r="E34" s="2045" t="s">
        <v>1672</v>
      </c>
      <c r="F34" s="2046"/>
      <c r="G34" s="1919"/>
      <c r="H34" s="2042" t="s">
        <v>1668</v>
      </c>
      <c r="I34" s="2043" t="s">
        <v>1669</v>
      </c>
      <c r="J34" s="2044" t="s">
        <v>2223</v>
      </c>
      <c r="K34" s="2043" t="s">
        <v>1671</v>
      </c>
      <c r="L34" s="2045" t="s">
        <v>1672</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1739</v>
      </c>
      <c r="B35" s="2013" t="s">
        <v>1740</v>
      </c>
      <c r="C35" s="1901">
        <f ca="1">SUM(C36:C41)</f>
        <v>0</v>
      </c>
      <c r="D35" s="2029" t="s">
        <v>1741</v>
      </c>
      <c r="E35" s="575"/>
      <c r="F35" s="576"/>
      <c r="G35" s="826"/>
      <c r="H35" s="2047" t="s">
        <v>1739</v>
      </c>
      <c r="I35" s="2048" t="s">
        <v>1742</v>
      </c>
      <c r="J35" s="2049">
        <f ca="1">C51</f>
        <v>0</v>
      </c>
      <c r="K35" s="2050" t="s">
        <v>1743</v>
      </c>
      <c r="L35" s="2051"/>
      <c r="M35" s="2052"/>
    </row>
    <row r="36" spans="1:37" ht="18" customHeight="1">
      <c r="A36" s="1941" t="s">
        <v>1040</v>
      </c>
      <c r="B36" s="2053" t="s">
        <v>1744</v>
      </c>
      <c r="C36" s="1038">
        <f ca="1">INDIRECT("'数据-取费表'!m"&amp;$G$1)+INDIRECT("'数据-取费表'!t"&amp;$G$1)</f>
        <v>0</v>
      </c>
      <c r="D36" s="2054" t="s">
        <v>1745</v>
      </c>
      <c r="E36" s="2054"/>
      <c r="F36" s="2055"/>
      <c r="G36" s="826"/>
      <c r="H36" s="2056" t="s">
        <v>1016</v>
      </c>
      <c r="I36" s="2057" t="s">
        <v>1476</v>
      </c>
      <c r="J36" s="747">
        <f ca="1">ROUND(J35*(1-M36),0)</f>
        <v>0</v>
      </c>
      <c r="K36" s="1937" t="s">
        <v>1746</v>
      </c>
      <c r="L36" s="1929" t="s">
        <v>1747</v>
      </c>
      <c r="M36" s="1942">
        <f ca="1">INDIRECT("'数据-取费表'!ad"&amp;$G$1)</f>
        <v>0</v>
      </c>
    </row>
    <row r="37" spans="1:37" ht="18" customHeight="1">
      <c r="A37" s="1941" t="s">
        <v>1044</v>
      </c>
      <c r="B37" s="1977" t="s">
        <v>756</v>
      </c>
      <c r="C37" s="2049">
        <f ca="1">ROUND(C36*F37,0)</f>
        <v>0</v>
      </c>
      <c r="D37" s="1937" t="s">
        <v>1749</v>
      </c>
      <c r="E37" s="1937" t="s">
        <v>1706</v>
      </c>
      <c r="F37" s="1979">
        <f>'数据-取费表'!B33</f>
        <v>0.03</v>
      </c>
      <c r="G37" s="826"/>
      <c r="H37" s="2058" t="s">
        <v>1594</v>
      </c>
      <c r="I37" s="2059" t="s">
        <v>2231</v>
      </c>
      <c r="J37" s="1910">
        <f ca="1">J35-J36</f>
        <v>0</v>
      </c>
      <c r="K37" s="2060" t="s">
        <v>1751</v>
      </c>
      <c r="L37" s="2061"/>
      <c r="M37" s="2062"/>
    </row>
    <row r="38" spans="1:37" ht="18" customHeight="1">
      <c r="A38" s="1941" t="s">
        <v>1047</v>
      </c>
      <c r="B38" s="2053" t="s">
        <v>1752</v>
      </c>
      <c r="C38" s="2049">
        <f ca="1">ROUND(INDIRECT("'数据-取费表'!m"&amp;$G$1)*F38,0)</f>
        <v>0</v>
      </c>
      <c r="D38" s="1937" t="s">
        <v>1749</v>
      </c>
      <c r="E38" s="1937" t="s">
        <v>1706</v>
      </c>
      <c r="F38" s="1979">
        <f ca="1">IF(INDIRECT("'数据-取费表'!c"&amp;$G$1)="住宅",'数据-取费表'!B34,0)</f>
        <v>0</v>
      </c>
      <c r="G38" s="826"/>
    </row>
    <row r="39" spans="1:37" ht="18" customHeight="1">
      <c r="A39" s="1941" t="s">
        <v>1753</v>
      </c>
      <c r="B39" s="2053" t="s">
        <v>1754</v>
      </c>
      <c r="C39" s="2049">
        <f ca="1">ROUND(F39*(F32+INDIRECT("'数据-取费表'!S"&amp;$G$1))/10000,0)</f>
        <v>0</v>
      </c>
      <c r="D39" s="1937" t="s">
        <v>1755</v>
      </c>
      <c r="E39" s="1937" t="s">
        <v>1756</v>
      </c>
      <c r="F39" s="1988">
        <f>'数据-取费表'!B35</f>
        <v>200</v>
      </c>
      <c r="G39" s="826"/>
    </row>
    <row r="40" spans="1:37" ht="18" customHeight="1">
      <c r="A40" s="1941" t="s">
        <v>1651</v>
      </c>
      <c r="B40" s="1977" t="s">
        <v>762</v>
      </c>
      <c r="C40" s="2049">
        <f ca="1">ROUND(C36*F40,0)</f>
        <v>0</v>
      </c>
      <c r="D40" s="1937" t="s">
        <v>1749</v>
      </c>
      <c r="E40" s="1937" t="s">
        <v>1706</v>
      </c>
      <c r="F40" s="1979">
        <f>'数据-取费表'!B36</f>
        <v>1.4999999999999999E-2</v>
      </c>
      <c r="G40" s="826"/>
      <c r="H40" s="662"/>
      <c r="I40" s="662"/>
      <c r="J40" s="662"/>
      <c r="K40" s="2063"/>
      <c r="L40" s="662"/>
      <c r="M40" s="662"/>
    </row>
    <row r="41" spans="1:37" ht="18" customHeight="1">
      <c r="A41" s="1941" t="s">
        <v>1651</v>
      </c>
      <c r="B41" s="1977" t="s">
        <v>764</v>
      </c>
      <c r="C41" s="2049">
        <f ca="1">ROUND(C36*F41,0)</f>
        <v>0</v>
      </c>
      <c r="D41" s="1937" t="s">
        <v>1749</v>
      </c>
      <c r="E41" s="1937" t="s">
        <v>1706</v>
      </c>
      <c r="F41" s="1979">
        <f>'数据-取费表'!B37</f>
        <v>0.02</v>
      </c>
      <c r="G41" s="826"/>
      <c r="H41" s="662"/>
      <c r="I41" s="662"/>
      <c r="J41" s="662"/>
      <c r="K41" s="2063"/>
      <c r="L41" s="662"/>
      <c r="M41" s="662"/>
    </row>
    <row r="42" spans="1:37" ht="18" customHeight="1">
      <c r="A42" s="2028" t="s">
        <v>1757</v>
      </c>
      <c r="B42" s="2013" t="s">
        <v>1758</v>
      </c>
      <c r="C42" s="1901">
        <f ca="1">ROUND(C35*F42,0)</f>
        <v>0</v>
      </c>
      <c r="D42" s="2064" t="s">
        <v>1759</v>
      </c>
      <c r="E42" s="2013" t="s">
        <v>1760</v>
      </c>
      <c r="F42" s="1942">
        <f>'数据-取费表'!B38</f>
        <v>0.02</v>
      </c>
      <c r="G42" s="826"/>
      <c r="H42" s="662"/>
      <c r="I42" s="662"/>
      <c r="J42" s="662"/>
      <c r="K42" s="2063"/>
      <c r="L42" s="662"/>
      <c r="M42" s="662"/>
    </row>
    <row r="43" spans="1:37" ht="18" customHeight="1">
      <c r="A43" s="2028" t="s">
        <v>1594</v>
      </c>
      <c r="B43" s="2013" t="s">
        <v>1761</v>
      </c>
      <c r="C43" s="2065" t="str">
        <f>F43&amp;"V建"</f>
        <v>0.03V建</v>
      </c>
      <c r="D43" s="2064" t="s">
        <v>1762</v>
      </c>
      <c r="E43" s="2013" t="s">
        <v>1760</v>
      </c>
      <c r="F43" s="1942">
        <f>'数据-取费表'!B39</f>
        <v>0.03</v>
      </c>
      <c r="G43" s="826"/>
      <c r="H43" s="662"/>
      <c r="I43" s="662"/>
      <c r="J43" s="662"/>
      <c r="K43" s="2063"/>
      <c r="L43" s="662"/>
      <c r="M43" s="662"/>
    </row>
    <row r="44" spans="1:37" ht="18" customHeight="1">
      <c r="A44" s="2028" t="s">
        <v>1764</v>
      </c>
      <c r="B44" s="2066" t="s">
        <v>1461</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1765</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1766</v>
      </c>
      <c r="F45" s="1988">
        <f>'数据-取费表'!B20</f>
        <v>2.5</v>
      </c>
      <c r="G45" s="826"/>
      <c r="H45" s="662"/>
      <c r="I45" s="662"/>
      <c r="J45" s="662"/>
      <c r="K45" s="2063"/>
      <c r="L45" s="662"/>
      <c r="M45" s="662"/>
    </row>
    <row r="46" spans="1:37" ht="18" customHeight="1">
      <c r="A46" s="1941" t="s">
        <v>1044</v>
      </c>
      <c r="B46" s="1937" t="s">
        <v>1767</v>
      </c>
      <c r="C46" s="2070">
        <f ca="1">ROUND(IF('数据-取费表'!B22&lt;=1,F43*F46*F45/2,F43*(POWER((1+F46),F45/2)-1)),4)</f>
        <v>1.1999999999999999E-3</v>
      </c>
      <c r="D46" s="2051" t="str">
        <f>IF(F45&lt;=1,"销售费用×利率×(建设周期÷2)","销售费用×((1+利率)^(建设周期÷2)-1)")</f>
        <v>销售费用×((1+利率)^(建设周期÷2)-1)</v>
      </c>
      <c r="E46" s="1937" t="s">
        <v>1768</v>
      </c>
      <c r="F46" s="2071">
        <f ca="1">'数据-取费表'!B41</f>
        <v>3.1899999999999998E-2</v>
      </c>
      <c r="G46" s="826"/>
      <c r="H46" s="662"/>
      <c r="I46" s="662"/>
      <c r="J46" s="662"/>
      <c r="K46" s="2063"/>
      <c r="L46" s="662"/>
      <c r="M46" s="662"/>
    </row>
    <row r="47" spans="1:37" ht="18" customHeight="1">
      <c r="A47" s="2028" t="s">
        <v>1769</v>
      </c>
      <c r="B47" s="2066" t="s">
        <v>1469</v>
      </c>
      <c r="C47" s="2067" t="str">
        <f ca="1">C48&amp;"+"&amp;C49&amp;"V建"</f>
        <v>0+0.0015V建</v>
      </c>
      <c r="D47" s="2068" t="s">
        <v>1770</v>
      </c>
      <c r="E47" s="2069"/>
      <c r="F47" s="1988"/>
      <c r="G47" s="826"/>
      <c r="H47" s="662"/>
      <c r="I47" s="662"/>
      <c r="J47" s="662"/>
      <c r="K47" s="2063"/>
      <c r="L47" s="662"/>
      <c r="M47" s="662"/>
    </row>
    <row r="48" spans="1:37" ht="18" customHeight="1">
      <c r="A48" s="1941" t="s">
        <v>1040</v>
      </c>
      <c r="B48" s="1937" t="s">
        <v>1771</v>
      </c>
      <c r="C48" s="2049">
        <f ca="1">ROUND((C35+C42)*F48,0)</f>
        <v>0</v>
      </c>
      <c r="D48" s="2072" t="s">
        <v>1772</v>
      </c>
      <c r="E48" s="1937" t="s">
        <v>1773</v>
      </c>
      <c r="F48" s="1942">
        <f ca="1">INDIRECT("'数据-取费表'!q"&amp;$G$1)</f>
        <v>0.05</v>
      </c>
      <c r="G48" s="826"/>
      <c r="H48" s="662"/>
      <c r="I48" s="662"/>
      <c r="J48" s="662"/>
      <c r="K48" s="2063"/>
      <c r="L48" s="662"/>
      <c r="M48" s="662"/>
    </row>
    <row r="49" spans="1:18" ht="18" customHeight="1">
      <c r="A49" s="1941" t="s">
        <v>1044</v>
      </c>
      <c r="B49" s="1937" t="s">
        <v>1774</v>
      </c>
      <c r="C49" s="2073">
        <f ca="1">ROUND(F43*F48,4)</f>
        <v>1.5E-3</v>
      </c>
      <c r="D49" s="2072" t="s">
        <v>1775</v>
      </c>
      <c r="E49" s="1937"/>
      <c r="F49" s="1979"/>
      <c r="G49" s="826"/>
      <c r="H49" s="662"/>
      <c r="I49" s="662"/>
      <c r="J49" s="662"/>
      <c r="K49" s="2063"/>
      <c r="L49" s="662"/>
      <c r="M49" s="662"/>
    </row>
    <row r="50" spans="1:18" ht="18" customHeight="1">
      <c r="A50" s="2028" t="s">
        <v>1776</v>
      </c>
      <c r="B50" s="2013" t="s">
        <v>1777</v>
      </c>
      <c r="C50" s="1901">
        <f>ROUND(F50/(1+'数据-取费表'!C43),4)</f>
        <v>0</v>
      </c>
      <c r="D50" s="2074" t="s">
        <v>1778</v>
      </c>
      <c r="E50" s="2013"/>
      <c r="F50" s="1942"/>
      <c r="G50" s="826"/>
      <c r="H50" s="662"/>
      <c r="I50" s="662"/>
      <c r="J50" s="662"/>
      <c r="K50" s="2063"/>
      <c r="L50" s="662"/>
      <c r="M50" s="662"/>
    </row>
    <row r="51" spans="1:18" s="826" customFormat="1" ht="18" customHeight="1">
      <c r="A51" s="2028" t="s">
        <v>1779</v>
      </c>
      <c r="B51" s="2013" t="s">
        <v>1780</v>
      </c>
      <c r="C51" s="1901">
        <f ca="1">ROUND((C35+C42+C45+C48)/(1-F43-C46-C49-C50),0)</f>
        <v>0</v>
      </c>
      <c r="D51" s="2050" t="s">
        <v>1743</v>
      </c>
      <c r="E51" s="2013"/>
      <c r="F51" s="1942"/>
      <c r="K51" s="2075"/>
    </row>
    <row r="52" spans="1:18" s="826" customFormat="1" ht="18" customHeight="1">
      <c r="A52" s="2076" t="s">
        <v>1502</v>
      </c>
      <c r="B52" s="2066" t="s">
        <v>1476</v>
      </c>
      <c r="C52" s="1901">
        <f ca="1">ROUND(C51*(1-F52),0)</f>
        <v>0</v>
      </c>
      <c r="D52" s="2013" t="s">
        <v>1781</v>
      </c>
      <c r="E52" s="2013" t="s">
        <v>1782</v>
      </c>
      <c r="F52" s="1942">
        <f ca="1">INDIRECT("'数据-取费表'!y"&amp;$G$1)</f>
        <v>0</v>
      </c>
      <c r="K52" s="2075"/>
    </row>
    <row r="53" spans="1:18" s="826" customFormat="1" ht="18" customHeight="1">
      <c r="A53" s="2077" t="s">
        <v>2232</v>
      </c>
      <c r="B53" s="2078" t="s">
        <v>1784</v>
      </c>
      <c r="C53" s="1910">
        <f ca="1">C51-C52</f>
        <v>0</v>
      </c>
      <c r="D53" s="2060" t="s">
        <v>1751</v>
      </c>
      <c r="E53" s="2034"/>
      <c r="F53" s="2079"/>
      <c r="K53" s="2075"/>
    </row>
    <row r="54" spans="1:18" s="826" customFormat="1" ht="18" customHeight="1">
      <c r="A54" s="2080"/>
      <c r="B54" s="2080"/>
      <c r="C54" s="2081"/>
      <c r="D54" s="2080"/>
      <c r="E54" s="2080"/>
      <c r="F54" s="2080"/>
      <c r="I54" s="2082" t="s">
        <v>1785</v>
      </c>
      <c r="J54" s="2083"/>
      <c r="O54" s="2084" t="s">
        <v>1786</v>
      </c>
      <c r="P54" s="2085"/>
      <c r="Q54" s="2085"/>
      <c r="R54" s="2085"/>
    </row>
    <row r="55" spans="1:18" s="826" customFormat="1">
      <c r="A55" s="2086" t="s">
        <v>1932</v>
      </c>
      <c r="C55" s="2087">
        <f ca="1">IF(D2="含税",C83-C31,C80-C28)</f>
        <v>0</v>
      </c>
      <c r="D55" s="2088" t="str">
        <f>C2</f>
        <v>万元</v>
      </c>
      <c r="E55" s="2080"/>
      <c r="F55" s="2080"/>
      <c r="I55" s="2089" t="s">
        <v>1788</v>
      </c>
      <c r="J55" s="2090"/>
      <c r="K55" s="2091"/>
      <c r="L55" s="2092" t="str">
        <f ca="1">IF(M56="住宅",0,IF(L57&gt;J60,L69,J69))</f>
        <v>0</v>
      </c>
      <c r="O55" s="2093" t="s">
        <v>952</v>
      </c>
      <c r="P55" s="2094" t="s">
        <v>1789</v>
      </c>
      <c r="Q55" s="2095" t="s">
        <v>1790</v>
      </c>
      <c r="R55" s="2095" t="s">
        <v>1791</v>
      </c>
    </row>
    <row r="56" spans="1:18" s="826" customFormat="1">
      <c r="A56" s="2096" t="s">
        <v>1668</v>
      </c>
      <c r="B56" s="2097" t="s">
        <v>1669</v>
      </c>
      <c r="C56" s="2044" t="s">
        <v>2223</v>
      </c>
      <c r="D56" s="2097" t="s">
        <v>1671</v>
      </c>
      <c r="E56" s="2098" t="s">
        <v>1672</v>
      </c>
      <c r="F56" s="2099"/>
      <c r="G56" s="2100"/>
      <c r="I56" s="2101" t="s">
        <v>1792</v>
      </c>
      <c r="J56" s="2102" t="s">
        <v>2171</v>
      </c>
      <c r="K56" s="2103" t="s">
        <v>1793</v>
      </c>
      <c r="L56" s="2104">
        <f ca="1">INDIRECT("'数据-取费表'!d"&amp;$G$1)</f>
        <v>50</v>
      </c>
      <c r="M56" s="2105" t="str">
        <f>IF(ISNUMBER(FIND("住宅",C1)),"住宅","非住宅")</f>
        <v>非住宅</v>
      </c>
      <c r="O56" s="2106" t="s">
        <v>1438</v>
      </c>
      <c r="P56" s="2107" t="s">
        <v>1854</v>
      </c>
      <c r="Q56" s="2108">
        <f ca="1">C28+J31</f>
        <v>0</v>
      </c>
      <c r="R56" s="2109" t="s">
        <v>1795</v>
      </c>
    </row>
    <row r="57" spans="1:18" s="826" customFormat="1" ht="39.6">
      <c r="A57" s="2110" t="s">
        <v>1415</v>
      </c>
      <c r="B57" s="2010" t="s">
        <v>1675</v>
      </c>
      <c r="C57" s="2111">
        <f ca="1">ROUND(C58+C62+C64,0)</f>
        <v>0</v>
      </c>
      <c r="D57" s="1923" t="s">
        <v>1674</v>
      </c>
      <c r="E57" s="2112"/>
      <c r="F57" s="2113"/>
      <c r="G57" s="2100"/>
      <c r="H57" s="2114"/>
      <c r="I57" s="2115" t="s">
        <v>1796</v>
      </c>
      <c r="J57" s="2116" t="s">
        <v>2233</v>
      </c>
      <c r="K57" s="2117" t="s">
        <v>1797</v>
      </c>
      <c r="L57" s="2118">
        <f ca="1">INDIRECT("'数据-取费表'!f"&amp;$G$1)</f>
        <v>47.56</v>
      </c>
      <c r="O57" s="2106" t="s">
        <v>1442</v>
      </c>
      <c r="P57" s="2107" t="s">
        <v>1798</v>
      </c>
      <c r="Q57" s="2108" t="str">
        <f ca="1">J69</f>
        <v>0</v>
      </c>
      <c r="R57" s="2109" t="s">
        <v>1799</v>
      </c>
    </row>
    <row r="58" spans="1:18" s="826" customFormat="1" ht="15.6">
      <c r="A58" s="2119" t="s">
        <v>1010</v>
      </c>
      <c r="B58" s="1927" t="s">
        <v>1676</v>
      </c>
      <c r="C58" s="2120">
        <f ca="1">C59-C61</f>
        <v>0</v>
      </c>
      <c r="D58" s="1929" t="s">
        <v>1677</v>
      </c>
      <c r="E58" s="2121" t="s">
        <v>1800</v>
      </c>
      <c r="F58" s="2122"/>
      <c r="H58" s="2114"/>
      <c r="I58" s="2115" t="s">
        <v>1801</v>
      </c>
      <c r="J58" s="2123">
        <v>2026</v>
      </c>
      <c r="K58" s="2117" t="s">
        <v>1802</v>
      </c>
      <c r="L58" s="2124"/>
      <c r="O58" s="2125" t="s">
        <v>1803</v>
      </c>
      <c r="P58" s="2126" t="s">
        <v>1943</v>
      </c>
      <c r="Q58" s="2127">
        <f ca="1">C51</f>
        <v>0</v>
      </c>
      <c r="R58" s="2128" t="s">
        <v>1805</v>
      </c>
    </row>
    <row r="59" spans="1:18" s="826" customFormat="1">
      <c r="A59" s="2129" t="s">
        <v>1040</v>
      </c>
      <c r="B59" s="4625" t="s">
        <v>1679</v>
      </c>
      <c r="C59" s="4627">
        <f ca="1">ROUND(F58*F60*F59/10000,2)</f>
        <v>0</v>
      </c>
      <c r="D59" s="4585" t="s">
        <v>1680</v>
      </c>
      <c r="E59" s="2131" t="s">
        <v>1681</v>
      </c>
      <c r="F59" s="2132">
        <f ca="1">F7</f>
        <v>0</v>
      </c>
      <c r="H59" s="2114"/>
      <c r="I59" s="2115" t="s">
        <v>1806</v>
      </c>
      <c r="J59" s="2133">
        <f>SUMPRODUCT((I72:I74=J56)*(J71:L71=J57)*(J72:L74))</f>
        <v>60</v>
      </c>
      <c r="K59" s="2117" t="s">
        <v>1807</v>
      </c>
      <c r="L59" s="2124"/>
      <c r="M59" s="2134"/>
      <c r="O59" s="2125" t="s">
        <v>1808</v>
      </c>
      <c r="P59" s="2126" t="s">
        <v>1809</v>
      </c>
      <c r="Q59" s="2135" t="e">
        <f ca="1">J67</f>
        <v>#VALUE!</v>
      </c>
      <c r="R59" s="2128"/>
    </row>
    <row r="60" spans="1:18" s="826" customFormat="1">
      <c r="A60" s="2136"/>
      <c r="B60" s="4625"/>
      <c r="C60" s="4628"/>
      <c r="D60" s="4585"/>
      <c r="E60" s="2137" t="str">
        <f ca="1">IF(F60=1,"年",IF(F60=12,"月","天"))</f>
        <v>天</v>
      </c>
      <c r="F60" s="1940">
        <f ca="1">F8</f>
        <v>365</v>
      </c>
      <c r="I60" s="2138" t="s">
        <v>1810</v>
      </c>
      <c r="J60" s="2118">
        <f>IF(J58="",J59,J58+J59-YEAR('数据-取费表'!B2))</f>
        <v>60</v>
      </c>
      <c r="K60" s="2139" t="s">
        <v>1811</v>
      </c>
      <c r="L60" s="2140">
        <f ca="1">ROUND(-PV(INDIRECT("'数据-取费表'!h"&amp;$G$1),J60,(C27-C52*C88),0),0)</f>
        <v>0</v>
      </c>
      <c r="M60" s="2141"/>
      <c r="O60" s="2125" t="s">
        <v>1812</v>
      </c>
      <c r="P60" s="2126" t="s">
        <v>1813</v>
      </c>
      <c r="Q60" s="2135">
        <f>J61</f>
        <v>7.4999999999999997E-2</v>
      </c>
      <c r="R60" s="2128"/>
    </row>
    <row r="61" spans="1:18" s="826" customFormat="1">
      <c r="A61" s="2142" t="s">
        <v>1044</v>
      </c>
      <c r="B61" s="2130" t="s">
        <v>1682</v>
      </c>
      <c r="C61" s="2143">
        <f ca="1">ROUND(C59*F61,2)</f>
        <v>0</v>
      </c>
      <c r="D61" s="1929" t="s">
        <v>1683</v>
      </c>
      <c r="E61" s="2137" t="s">
        <v>1684</v>
      </c>
      <c r="F61" s="2144"/>
      <c r="I61" s="2145" t="s">
        <v>1814</v>
      </c>
      <c r="J61" s="2146">
        <v>7.4999999999999997E-2</v>
      </c>
      <c r="K61" s="2145" t="s">
        <v>1815</v>
      </c>
      <c r="L61" s="2146"/>
      <c r="O61" s="2125" t="s">
        <v>1816</v>
      </c>
      <c r="P61" s="2126" t="s">
        <v>1817</v>
      </c>
      <c r="Q61" s="2147">
        <f ca="1">J62</f>
        <v>47.54</v>
      </c>
      <c r="R61" s="2128" t="s">
        <v>1818</v>
      </c>
    </row>
    <row r="62" spans="1:18" s="826" customFormat="1" ht="36">
      <c r="A62" s="2148" t="s">
        <v>1016</v>
      </c>
      <c r="B62" s="2149" t="s">
        <v>1685</v>
      </c>
      <c r="C62" s="1932">
        <f ca="1">ROUND(IF(F62="押一",C58/12*F11,IF(F62="押二",C58/12*2*F11,IF(F62="押三",C58/12*3*F11,C63*F11))),2)</f>
        <v>0</v>
      </c>
      <c r="D62" s="1946" t="s">
        <v>1686</v>
      </c>
      <c r="E62" s="1943" t="s">
        <v>1687</v>
      </c>
      <c r="F62" s="2150"/>
      <c r="I62" s="2151" t="s">
        <v>1819</v>
      </c>
      <c r="J62" s="2152">
        <f ca="1">IF(M56="住宅",IF(D1="——",MAX(J60,L57),MAX(J60,L57-'数据-取费表'!B24)),IF(D1="——",MIN(J60,L57),MIN(J60,L57-'数据-取费表'!B24)))</f>
        <v>47.54</v>
      </c>
      <c r="K62" s="4578" t="s">
        <v>1820</v>
      </c>
      <c r="L62" s="4579"/>
      <c r="O62" s="2106" t="s">
        <v>1821</v>
      </c>
      <c r="P62" s="2153" t="s">
        <v>2234</v>
      </c>
      <c r="Q62" s="2108">
        <f ca="1">ROUND((Q56+Q57)*(1+F31),0)</f>
        <v>0</v>
      </c>
      <c r="R62" s="2109" t="s">
        <v>2235</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1824</v>
      </c>
      <c r="P63" s="1902"/>
      <c r="Q63" s="1902"/>
      <c r="R63" s="1902"/>
    </row>
    <row r="64" spans="1:18" s="826" customFormat="1">
      <c r="A64" s="2161" t="s">
        <v>1068</v>
      </c>
      <c r="B64" s="1957" t="s">
        <v>1689</v>
      </c>
      <c r="C64" s="2162"/>
      <c r="D64" s="1946"/>
      <c r="E64" s="2155"/>
      <c r="F64" s="2156"/>
      <c r="I64" s="2163" t="s">
        <v>1825</v>
      </c>
      <c r="J64" s="2164" t="e">
        <f ca="1">ROUND(IF(J56="钢混",J66/J59,1-(1-2%)*(J59-J66)/J59),3)</f>
        <v>#VALUE!</v>
      </c>
      <c r="K64" s="2165" t="s">
        <v>1826</v>
      </c>
      <c r="L64" s="2166"/>
      <c r="O64" s="2093" t="s">
        <v>952</v>
      </c>
      <c r="P64" s="2094" t="s">
        <v>1789</v>
      </c>
      <c r="Q64" s="2095" t="s">
        <v>1790</v>
      </c>
      <c r="R64" s="2095" t="s">
        <v>1791</v>
      </c>
    </row>
    <row r="65" spans="1:18" s="826" customFormat="1" ht="36">
      <c r="A65" s="2028" t="s">
        <v>1364</v>
      </c>
      <c r="B65" s="2167" t="s">
        <v>1690</v>
      </c>
      <c r="C65" s="1901">
        <f ca="1">ROUND(C66+C74+C76+C78,0)</f>
        <v>0</v>
      </c>
      <c r="D65" s="2167" t="s">
        <v>1827</v>
      </c>
      <c r="E65" s="2168"/>
      <c r="F65" s="2113"/>
      <c r="I65" s="2169" t="s">
        <v>1828</v>
      </c>
      <c r="J65" s="2170" t="s">
        <v>640</v>
      </c>
      <c r="K65" s="2115" t="s">
        <v>1829</v>
      </c>
      <c r="L65" s="2118" t="str">
        <f ca="1">IF(L57&lt;J60,"——",L57-J62)</f>
        <v>——</v>
      </c>
      <c r="O65" s="2106" t="s">
        <v>1438</v>
      </c>
      <c r="P65" s="2107" t="s">
        <v>1854</v>
      </c>
      <c r="Q65" s="2108">
        <f ca="1">C28+J31</f>
        <v>0</v>
      </c>
      <c r="R65" s="2109" t="s">
        <v>1795</v>
      </c>
    </row>
    <row r="66" spans="1:18" s="826" customFormat="1" ht="24">
      <c r="A66" s="2171" t="s">
        <v>1010</v>
      </c>
      <c r="B66" s="2172" t="s">
        <v>1693</v>
      </c>
      <c r="C66" s="1932">
        <f ca="1">ROUND(IF(AND(项目基本情况!B11="自然人",项目基本情况!B10="北京市",M56="住宅"),C58*F66,C67+C71+C72),2)</f>
        <v>0</v>
      </c>
      <c r="D66" s="2173" t="s">
        <v>1694</v>
      </c>
      <c r="E66" s="2173" t="str">
        <f>E14</f>
        <v/>
      </c>
      <c r="F66" s="1972" t="str">
        <f>IF(M56="非住宅","",IF(F58*F59*F60/12/(1+'数据-取费表'!F30)&gt;100000,4%,2.5%))</f>
        <v/>
      </c>
      <c r="I66" s="2174" t="s">
        <v>1830</v>
      </c>
      <c r="J66" s="2175" t="str">
        <f ca="1">IF(OR(M56="住宅",J60&lt;L57,J65="是"),"——",J60-L57)</f>
        <v>——</v>
      </c>
      <c r="K66" s="2115" t="s">
        <v>1831</v>
      </c>
      <c r="L66" s="2176" t="str">
        <f ca="1">IF(L57&lt;J60,"——",IF(L64="比较法",L58,IF(L64="基准地价",L59,L60)))</f>
        <v>——</v>
      </c>
      <c r="O66" s="2106" t="s">
        <v>1442</v>
      </c>
      <c r="P66" s="2107" t="s">
        <v>1832</v>
      </c>
      <c r="Q66" s="2177">
        <f ca="1">L69</f>
        <v>0</v>
      </c>
      <c r="R66" s="2109" t="s">
        <v>1833</v>
      </c>
    </row>
    <row r="67" spans="1:18" s="826" customFormat="1" ht="24">
      <c r="A67" s="1933" t="s">
        <v>1040</v>
      </c>
      <c r="B67" s="1930" t="s">
        <v>1696</v>
      </c>
      <c r="C67" s="1932">
        <f ca="1">C70</f>
        <v>0</v>
      </c>
      <c r="D67" s="1039" t="s">
        <v>1697</v>
      </c>
      <c r="E67" s="1974"/>
      <c r="F67" s="1975"/>
      <c r="I67" s="2174" t="s">
        <v>1834</v>
      </c>
      <c r="J67" s="2178" t="e">
        <f ca="1">IF(J64&lt;0.4,0.4,J64)</f>
        <v>#VALUE!</v>
      </c>
      <c r="K67" s="2139" t="s">
        <v>1835</v>
      </c>
      <c r="L67" s="2176" t="e">
        <f ca="1">ROUND(POWER(1+L61,L56-L57)*(POWER(1+L61,L57)-1)/(POWER(1+L61,L56)-1),4)</f>
        <v>#DIV/0!</v>
      </c>
      <c r="O67" s="2125" t="s">
        <v>1803</v>
      </c>
      <c r="P67" s="2126" t="s">
        <v>1836</v>
      </c>
      <c r="Q67" s="2147">
        <f>IF(L64="比较法",L58,IF(L64="基准地价",L59,0))</f>
        <v>0</v>
      </c>
      <c r="R67" s="2128" t="s">
        <v>1805</v>
      </c>
    </row>
    <row r="68" spans="1:18" s="826" customFormat="1" ht="24">
      <c r="A68" s="604" t="s">
        <v>1435</v>
      </c>
      <c r="B68" s="1977" t="s">
        <v>973</v>
      </c>
      <c r="C68" s="1932">
        <f ca="1">ROUND(C58*F68,2)</f>
        <v>0</v>
      </c>
      <c r="D68" s="575" t="s">
        <v>1698</v>
      </c>
      <c r="E68" s="1978" t="s">
        <v>1699</v>
      </c>
      <c r="F68" s="1979">
        <f>F16</f>
        <v>0.09</v>
      </c>
      <c r="I68" s="2174" t="s">
        <v>1837</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1808</v>
      </c>
      <c r="P68" s="2126" t="s">
        <v>1838</v>
      </c>
      <c r="Q68" s="2135">
        <f>L61</f>
        <v>0</v>
      </c>
      <c r="R68" s="2128"/>
    </row>
    <row r="69" spans="1:18" s="826" customFormat="1" ht="15.6">
      <c r="A69" s="604" t="s">
        <v>1444</v>
      </c>
      <c r="B69" s="1977" t="s">
        <v>977</v>
      </c>
      <c r="C69" s="1932">
        <f ca="1">ROUND(C74*F68+((C76+C78)*F69),2)</f>
        <v>0</v>
      </c>
      <c r="D69" s="1982" t="s">
        <v>1701</v>
      </c>
      <c r="E69" s="1983"/>
      <c r="F69" s="1979">
        <f t="shared" ref="F69:F70" si="0">F17</f>
        <v>0.06</v>
      </c>
      <c r="I69" s="2180" t="s">
        <v>1839</v>
      </c>
      <c r="J69" s="2181" t="str">
        <f ca="1">IF(OR(M56="住宅",J60&lt;L57,J65="是"),"0",ROUND(J68/(1+J61)^J62,0))</f>
        <v>0</v>
      </c>
      <c r="K69" s="2182" t="s">
        <v>1840</v>
      </c>
      <c r="L69" s="2181">
        <f ca="1">IF(OR(M56="住宅",L57&lt;J60),0,ROUND(L66*(L67/L68-1),0))</f>
        <v>0</v>
      </c>
      <c r="O69" s="2125" t="s">
        <v>1812</v>
      </c>
      <c r="P69" s="2126" t="s">
        <v>1841</v>
      </c>
      <c r="Q69" s="2183" t="e">
        <f ca="1">L67</f>
        <v>#DIV/0!</v>
      </c>
      <c r="R69" s="2128" t="s">
        <v>1842</v>
      </c>
    </row>
    <row r="70" spans="1:18" s="826" customFormat="1">
      <c r="A70" s="604" t="s">
        <v>1447</v>
      </c>
      <c r="B70" s="1977" t="s">
        <v>1702</v>
      </c>
      <c r="C70" s="1932">
        <f ca="1">ROUND((C68-C69)*F70,2)</f>
        <v>0</v>
      </c>
      <c r="D70" s="1973" t="s">
        <v>1703</v>
      </c>
      <c r="E70" s="1937" t="s">
        <v>1704</v>
      </c>
      <c r="F70" s="1979">
        <f t="shared" si="0"/>
        <v>0.1</v>
      </c>
      <c r="I70" s="2085"/>
      <c r="J70" s="2085"/>
      <c r="K70" s="2085"/>
      <c r="L70" s="2085"/>
      <c r="O70" s="2125" t="s">
        <v>1816</v>
      </c>
      <c r="P70" s="2126" t="str">
        <f>K68</f>
        <v>续建工期及建筑物耐用年限下的土地年期修正系数Kn</v>
      </c>
      <c r="Q70" s="2183" t="e">
        <f ca="1">L68</f>
        <v>#DIV/0!</v>
      </c>
      <c r="R70" s="2128" t="s">
        <v>1843</v>
      </c>
    </row>
    <row r="71" spans="1:18" s="826" customFormat="1" ht="25.2">
      <c r="A71" s="2184" t="s">
        <v>1044</v>
      </c>
      <c r="B71" s="2172" t="s">
        <v>1705</v>
      </c>
      <c r="C71" s="1932">
        <f ca="1">IF(项目基本情况!B11="自然人","——",IF(D71="按不含税租金收入（有效毛租金收入）计税",ROUND(C58*F71/(1+'数据-取费表'!C43),2),IF(D71="按房产原值计税",ROUND(F74*F71*0.7,2),INDIRECT("'数据-取费表'!Aj"&amp;$G$1))))</f>
        <v>0</v>
      </c>
      <c r="D71" s="1985"/>
      <c r="E71" s="2185" t="s">
        <v>1706</v>
      </c>
      <c r="F71" s="1979">
        <f t="shared" ref="F71:F73" si="1">F19</f>
        <v>0.12</v>
      </c>
      <c r="I71" s="2186" t="s">
        <v>1844</v>
      </c>
      <c r="J71" s="2187" t="s">
        <v>1845</v>
      </c>
      <c r="K71" s="2187" t="s">
        <v>1846</v>
      </c>
      <c r="L71" s="2187" t="s">
        <v>1847</v>
      </c>
      <c r="M71" s="748" t="s">
        <v>1848</v>
      </c>
      <c r="O71" s="2106" t="s">
        <v>1821</v>
      </c>
      <c r="P71" s="2153" t="s">
        <v>2234</v>
      </c>
      <c r="Q71" s="2177">
        <f ca="1">ROUND((Q65+Q66)*(1+F31),0)</f>
        <v>0</v>
      </c>
      <c r="R71" s="2109" t="s">
        <v>2235</v>
      </c>
    </row>
    <row r="72" spans="1:18" s="826" customFormat="1">
      <c r="A72" s="1933" t="s">
        <v>1047</v>
      </c>
      <c r="B72" s="2188" t="s">
        <v>1707</v>
      </c>
      <c r="C72" s="1948">
        <f ca="1">IF(项目基本情况!B11="自然人","——",ROUND(F72*F73/10000,2))</f>
        <v>0</v>
      </c>
      <c r="D72" s="2189" t="s">
        <v>1708</v>
      </c>
      <c r="E72" s="2185" t="s">
        <v>1709</v>
      </c>
      <c r="F72" s="2190">
        <f t="shared" si="1"/>
        <v>1.5</v>
      </c>
      <c r="I72" s="2186" t="s">
        <v>1849</v>
      </c>
      <c r="J72" s="2191">
        <v>70</v>
      </c>
      <c r="K72" s="2191">
        <v>50</v>
      </c>
      <c r="L72" s="2191">
        <v>80</v>
      </c>
      <c r="M72" s="2192">
        <v>0.02</v>
      </c>
      <c r="O72" s="2160" t="s">
        <v>1850</v>
      </c>
      <c r="P72" s="1902"/>
      <c r="Q72" s="1902"/>
      <c r="R72" s="1902"/>
    </row>
    <row r="73" spans="1:18" s="826" customFormat="1">
      <c r="A73" s="1989"/>
      <c r="B73" s="2193"/>
      <c r="C73" s="1991"/>
      <c r="D73" s="2194"/>
      <c r="E73" s="2185" t="s">
        <v>1710</v>
      </c>
      <c r="F73" s="1931">
        <f t="shared" ca="1" si="1"/>
        <v>0</v>
      </c>
      <c r="I73" s="2186" t="s">
        <v>1851</v>
      </c>
      <c r="J73" s="2191">
        <v>50</v>
      </c>
      <c r="K73" s="2191">
        <v>35</v>
      </c>
      <c r="L73" s="2191">
        <v>60</v>
      </c>
      <c r="M73" s="748">
        <v>0</v>
      </c>
      <c r="O73" s="2195" t="s">
        <v>1933</v>
      </c>
      <c r="P73" s="2196" t="s">
        <v>1934</v>
      </c>
      <c r="Q73" s="2197" t="s">
        <v>1935</v>
      </c>
      <c r="R73" s="2197" t="s">
        <v>1936</v>
      </c>
    </row>
    <row r="74" spans="1:18" s="826" customFormat="1">
      <c r="A74" s="2198" t="s">
        <v>1016</v>
      </c>
      <c r="B74" s="2199" t="s">
        <v>1711</v>
      </c>
      <c r="C74" s="1996">
        <f ca="1">ROUND(F74*F75,2)</f>
        <v>0</v>
      </c>
      <c r="D74" s="2200" t="s">
        <v>1712</v>
      </c>
      <c r="E74" s="2201" t="s">
        <v>1852</v>
      </c>
      <c r="F74" s="2140">
        <f ca="1">C51</f>
        <v>0</v>
      </c>
      <c r="I74" s="2186" t="s">
        <v>1853</v>
      </c>
      <c r="J74" s="2191">
        <v>40</v>
      </c>
      <c r="K74" s="2191">
        <v>30</v>
      </c>
      <c r="L74" s="2191">
        <v>50</v>
      </c>
      <c r="M74" s="2192">
        <v>0.02</v>
      </c>
      <c r="O74" s="2106" t="s">
        <v>1438</v>
      </c>
      <c r="P74" s="2107" t="s">
        <v>1854</v>
      </c>
      <c r="Q74" s="2108">
        <f ca="1">C28+J31</f>
        <v>0</v>
      </c>
      <c r="R74" s="2109" t="s">
        <v>1795</v>
      </c>
    </row>
    <row r="75" spans="1:18" s="826" customFormat="1" ht="15.6">
      <c r="A75" s="2202"/>
      <c r="B75" s="2203"/>
      <c r="C75" s="1998"/>
      <c r="D75" s="2204"/>
      <c r="E75" s="2185" t="s">
        <v>1706</v>
      </c>
      <c r="F75" s="1942">
        <f ca="1">F22</f>
        <v>3.0000000000000001E-3</v>
      </c>
      <c r="O75" s="2106" t="s">
        <v>1442</v>
      </c>
      <c r="P75" s="2107" t="s">
        <v>1832</v>
      </c>
      <c r="Q75" s="2177">
        <f ca="1">L69</f>
        <v>0</v>
      </c>
      <c r="R75" s="2109" t="s">
        <v>1833</v>
      </c>
    </row>
    <row r="76" spans="1:18" s="826" customFormat="1">
      <c r="A76" s="2198" t="s">
        <v>1068</v>
      </c>
      <c r="B76" s="2199" t="s">
        <v>1714</v>
      </c>
      <c r="C76" s="1996">
        <f ca="1">ROUND(F76*F77,2)</f>
        <v>0</v>
      </c>
      <c r="D76" s="2200" t="s">
        <v>1715</v>
      </c>
      <c r="E76" s="2201" t="s">
        <v>1784</v>
      </c>
      <c r="F76" s="2205">
        <f ca="1">C53</f>
        <v>0</v>
      </c>
      <c r="O76" s="2206"/>
      <c r="P76" s="2126"/>
      <c r="Q76" s="2147"/>
      <c r="R76" s="2128"/>
    </row>
    <row r="77" spans="1:18" s="826" customFormat="1" ht="16.8">
      <c r="A77" s="2207"/>
      <c r="B77" s="2203"/>
      <c r="C77" s="1998"/>
      <c r="D77" s="2204"/>
      <c r="E77" s="2185" t="s">
        <v>1706</v>
      </c>
      <c r="F77" s="1942">
        <f ca="1">F24</f>
        <v>1E-3</v>
      </c>
      <c r="O77" s="2125" t="s">
        <v>1803</v>
      </c>
      <c r="P77" s="2126" t="s">
        <v>1836</v>
      </c>
      <c r="Q77" s="2127">
        <f ca="1">L60</f>
        <v>0</v>
      </c>
      <c r="R77" s="2128" t="s">
        <v>1855</v>
      </c>
    </row>
    <row r="78" spans="1:18" s="826" customFormat="1">
      <c r="A78" s="2207" t="s">
        <v>1073</v>
      </c>
      <c r="B78" s="2185" t="s">
        <v>1718</v>
      </c>
      <c r="C78" s="1932">
        <f ca="1">ROUND(C57*F78,2)</f>
        <v>0</v>
      </c>
      <c r="D78" s="2208" t="s">
        <v>1719</v>
      </c>
      <c r="E78" s="2185" t="s">
        <v>1706</v>
      </c>
      <c r="F78" s="1942">
        <f ca="1">F26</f>
        <v>5.0000000000000001E-3</v>
      </c>
      <c r="O78" s="2125"/>
      <c r="P78" s="2126"/>
      <c r="Q78" s="2127"/>
      <c r="R78" s="2128"/>
    </row>
    <row r="79" spans="1:18" s="826" customFormat="1" ht="24">
      <c r="A79" s="2209" t="s">
        <v>1478</v>
      </c>
      <c r="B79" s="2210" t="s">
        <v>1720</v>
      </c>
      <c r="C79" s="1901">
        <f ca="1">C57-C65</f>
        <v>0</v>
      </c>
      <c r="D79" s="2210" t="s">
        <v>1721</v>
      </c>
      <c r="E79" s="2211"/>
      <c r="F79" s="2212"/>
      <c r="O79" s="2125" t="s">
        <v>1808</v>
      </c>
      <c r="P79" s="2213" t="s">
        <v>1856</v>
      </c>
      <c r="Q79" s="2127">
        <f ca="1">ROUND(Q80-Q81*Q82,0)</f>
        <v>0</v>
      </c>
      <c r="R79" s="2128" t="s">
        <v>1857</v>
      </c>
    </row>
    <row r="80" spans="1:18" s="826" customFormat="1">
      <c r="A80" s="2214" t="s">
        <v>1722</v>
      </c>
      <c r="B80" s="2215" t="s">
        <v>1723</v>
      </c>
      <c r="C80" s="2216">
        <f ca="1">ROUND(C79*(1-((1+F82)/(1+F80))^F81)/(F80-F82),0)</f>
        <v>0</v>
      </c>
      <c r="D80" s="2217" t="s">
        <v>1858</v>
      </c>
      <c r="E80" s="2167" t="s">
        <v>1725</v>
      </c>
      <c r="F80" s="1942">
        <f ca="1">F28</f>
        <v>0.05</v>
      </c>
      <c r="O80" s="2125" t="s">
        <v>1859</v>
      </c>
      <c r="P80" s="2213" t="s">
        <v>1860</v>
      </c>
      <c r="Q80" s="2127">
        <f ca="1">C27</f>
        <v>0</v>
      </c>
      <c r="R80" s="2128" t="s">
        <v>1805</v>
      </c>
    </row>
    <row r="81" spans="1:18" s="826" customFormat="1">
      <c r="A81" s="2218"/>
      <c r="B81" s="2219"/>
      <c r="C81" s="1922"/>
      <c r="D81" s="2220" t="s">
        <v>1861</v>
      </c>
      <c r="E81" s="2167" t="s">
        <v>1727</v>
      </c>
      <c r="F81" s="2019">
        <f ca="1">F29</f>
        <v>47.54</v>
      </c>
      <c r="O81" s="2125" t="s">
        <v>1862</v>
      </c>
      <c r="P81" s="2213" t="s">
        <v>1863</v>
      </c>
      <c r="Q81" s="2127">
        <f ca="1">C52</f>
        <v>0</v>
      </c>
      <c r="R81" s="2128" t="s">
        <v>1805</v>
      </c>
    </row>
    <row r="82" spans="1:18" s="826" customFormat="1">
      <c r="A82" s="2221"/>
      <c r="B82" s="2222"/>
      <c r="C82" s="2222"/>
      <c r="D82" s="2223"/>
      <c r="E82" s="2167" t="s">
        <v>1728</v>
      </c>
      <c r="F82" s="2144"/>
      <c r="O82" s="2125" t="s">
        <v>1864</v>
      </c>
      <c r="P82" s="2213" t="s">
        <v>1865</v>
      </c>
      <c r="Q82" s="2135">
        <f ca="1">C88</f>
        <v>7.0000000000000007E-2</v>
      </c>
      <c r="R82" s="2128"/>
    </row>
    <row r="83" spans="1:18" s="826" customFormat="1">
      <c r="A83" s="2224" t="s">
        <v>1729</v>
      </c>
      <c r="B83" s="2225" t="s">
        <v>1866</v>
      </c>
      <c r="C83" s="1966">
        <f ca="1">ROUND(C80*(1+F31),0)</f>
        <v>0</v>
      </c>
      <c r="D83" s="2226" t="str">
        <f>D31</f>
        <v>其他类型公式—收益价值×（1+9%）</v>
      </c>
      <c r="E83" s="2227"/>
      <c r="F83" s="2228"/>
      <c r="O83" s="2125" t="s">
        <v>1812</v>
      </c>
      <c r="P83" s="2126" t="s">
        <v>1838</v>
      </c>
      <c r="Q83" s="2135">
        <f>L61</f>
        <v>0</v>
      </c>
      <c r="R83" s="2128"/>
    </row>
    <row r="84" spans="1:18" ht="15.6">
      <c r="A84" s="2229" t="s">
        <v>1734</v>
      </c>
      <c r="B84" s="2230" t="s">
        <v>1735</v>
      </c>
      <c r="C84" s="1910" t="e">
        <f ca="1">ROUND(C83*10000/F84,0)</f>
        <v>#DIV/0!</v>
      </c>
      <c r="D84" s="2231" t="s">
        <v>1736</v>
      </c>
      <c r="E84" s="2230" t="s">
        <v>1737</v>
      </c>
      <c r="F84" s="2035">
        <f ca="1">F32</f>
        <v>0</v>
      </c>
      <c r="G84" s="826"/>
      <c r="H84" s="826"/>
      <c r="O84" s="2125" t="s">
        <v>1816</v>
      </c>
      <c r="P84" s="2126" t="s">
        <v>1841</v>
      </c>
      <c r="Q84" s="2232" t="e">
        <f ca="1">L67</f>
        <v>#DIV/0!</v>
      </c>
      <c r="R84" s="2128" t="s">
        <v>1842</v>
      </c>
    </row>
    <row r="85" spans="1:18">
      <c r="A85" s="826"/>
      <c r="B85" s="2083"/>
      <c r="C85" s="2083"/>
      <c r="D85" s="826"/>
      <c r="E85" s="826"/>
      <c r="F85" s="826"/>
      <c r="O85" s="2125" t="s">
        <v>1867</v>
      </c>
      <c r="P85" s="2126" t="str">
        <f>K68</f>
        <v>续建工期及建筑物耐用年限下的土地年期修正系数Kn</v>
      </c>
      <c r="Q85" s="2232" t="e">
        <f ca="1">L68</f>
        <v>#DIV/0!</v>
      </c>
      <c r="R85" s="2128" t="s">
        <v>1843</v>
      </c>
    </row>
    <row r="86" spans="1:18" ht="25.2">
      <c r="A86" s="826"/>
      <c r="B86" s="450" t="s">
        <v>1868</v>
      </c>
      <c r="C86" s="2233"/>
      <c r="D86" s="826"/>
      <c r="E86" s="826"/>
      <c r="F86" s="826"/>
      <c r="K86" s="2075"/>
      <c r="L86" s="826"/>
      <c r="O86" s="2106" t="s">
        <v>1821</v>
      </c>
      <c r="P86" s="2153" t="s">
        <v>2234</v>
      </c>
      <c r="Q86" s="2108">
        <f ca="1">ROUND((Q74+Q75)*(1+F31),0)</f>
        <v>0</v>
      </c>
      <c r="R86" s="2109" t="s">
        <v>2235</v>
      </c>
    </row>
    <row r="87" spans="1:18">
      <c r="A87" s="826"/>
      <c r="B87" s="2234" t="s">
        <v>1869</v>
      </c>
      <c r="C87" s="2235">
        <f ca="1">ROUND(C53*C88,0)</f>
        <v>0</v>
      </c>
      <c r="D87" s="826"/>
      <c r="E87" s="826"/>
      <c r="F87" s="826"/>
      <c r="I87" s="826"/>
      <c r="J87" s="826"/>
      <c r="K87" s="2075"/>
      <c r="L87" s="826"/>
    </row>
    <row r="88" spans="1:18">
      <c r="B88" s="780" t="s">
        <v>1870</v>
      </c>
      <c r="C88" s="2236">
        <f ca="1">INDIRECT("'数据-取费表'!j"&amp;$G$1)</f>
        <v>7.0000000000000007E-2</v>
      </c>
      <c r="I88" s="826"/>
      <c r="J88" s="826"/>
      <c r="K88" s="2075"/>
      <c r="L88" s="826"/>
    </row>
    <row r="89" spans="1:18">
      <c r="B89" s="2237" t="s">
        <v>1871</v>
      </c>
      <c r="C89" s="2238"/>
    </row>
    <row r="90" spans="1:18">
      <c r="B90" s="448" t="s">
        <v>1872</v>
      </c>
      <c r="C90" s="2239"/>
    </row>
    <row r="91" spans="1:18">
      <c r="B91" s="2234" t="s">
        <v>1873</v>
      </c>
      <c r="C91" s="2240" t="e">
        <f ca="1">1-C92</f>
        <v>#DIV/0!</v>
      </c>
    </row>
    <row r="92" spans="1:18">
      <c r="B92" s="2234" t="s">
        <v>1874</v>
      </c>
      <c r="C92" s="2240" t="e">
        <f ca="1">ROUND(C87/C27,3)</f>
        <v>#DIV/0!</v>
      </c>
    </row>
    <row r="93" spans="1:18">
      <c r="B93" s="448" t="s">
        <v>1875</v>
      </c>
      <c r="C93" s="418"/>
    </row>
    <row r="94" spans="1:18">
      <c r="B94" s="450" t="s">
        <v>1511</v>
      </c>
      <c r="C94" s="2241" t="e">
        <f ca="1">1-C95</f>
        <v>#DIV/0!</v>
      </c>
    </row>
    <row r="95" spans="1:18">
      <c r="B95" s="450" t="s">
        <v>1512</v>
      </c>
      <c r="C95" s="224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1661</v>
      </c>
      <c r="B1" s="1203"/>
      <c r="C1" s="1891" t="s">
        <v>631</v>
      </c>
      <c r="D1" s="1892" t="s">
        <v>2222</v>
      </c>
      <c r="E1" s="1893" t="s">
        <v>1662</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1663</v>
      </c>
      <c r="B2" s="1901">
        <f ca="1">IF(D2="含税",ROUND((C28+J31+L55)*(1+F31),0),C28+J31+L55)</f>
        <v>2019</v>
      </c>
      <c r="C2" s="1902" t="s">
        <v>1664</v>
      </c>
      <c r="D2" s="1903" t="s">
        <v>1408</v>
      </c>
      <c r="E2" s="1904"/>
      <c r="F2" s="1905"/>
      <c r="G2" s="1906"/>
      <c r="H2" s="1907"/>
      <c r="I2" s="1907"/>
      <c r="J2" s="1907"/>
      <c r="K2" s="1908"/>
      <c r="L2" s="1907"/>
      <c r="M2" s="1907"/>
    </row>
    <row r="3" spans="1:37" ht="18" customHeight="1">
      <c r="A3" s="1909" t="s">
        <v>1665</v>
      </c>
      <c r="B3" s="1910">
        <f ca="1">IF(ISERROR(B2*10000/F32),0,ROUND(B2*10000/F32,0))</f>
        <v>2102</v>
      </c>
      <c r="C3" s="1902" t="s">
        <v>1666</v>
      </c>
      <c r="D3" s="1902"/>
      <c r="E3" s="1904"/>
      <c r="F3" s="1905"/>
      <c r="G3" s="1906"/>
      <c r="H3" s="1911" t="s">
        <v>1667</v>
      </c>
      <c r="I3" s="1912"/>
      <c r="J3" s="1912"/>
      <c r="K3" s="1913"/>
      <c r="L3" s="1912"/>
      <c r="M3" s="1912"/>
    </row>
    <row r="4" spans="1:37" s="366" customFormat="1" ht="18" customHeight="1">
      <c r="A4" s="1914" t="s">
        <v>1668</v>
      </c>
      <c r="B4" s="1915" t="s">
        <v>1669</v>
      </c>
      <c r="C4" s="1916" t="s">
        <v>2223</v>
      </c>
      <c r="D4" s="1915" t="s">
        <v>1671</v>
      </c>
      <c r="E4" s="1917" t="s">
        <v>1672</v>
      </c>
      <c r="F4" s="1918"/>
      <c r="G4" s="1919"/>
      <c r="H4" s="1914" t="s">
        <v>1668</v>
      </c>
      <c r="I4" s="1915" t="s">
        <v>1669</v>
      </c>
      <c r="J4" s="1916" t="s">
        <v>2223</v>
      </c>
      <c r="K4" s="1915" t="s">
        <v>1671</v>
      </c>
      <c r="L4" s="1917" t="s">
        <v>1672</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1673</v>
      </c>
      <c r="C5" s="1922">
        <f ca="1">ROUND(C6+C10+C12,0)</f>
        <v>112</v>
      </c>
      <c r="D5" s="1923" t="s">
        <v>1674</v>
      </c>
      <c r="E5" s="1924"/>
      <c r="F5" s="1925"/>
      <c r="G5" s="1919"/>
      <c r="H5" s="1920">
        <v>1</v>
      </c>
      <c r="I5" s="1921" t="s">
        <v>1673</v>
      </c>
      <c r="J5" s="1922">
        <f ca="1">ROUND(J6+J10+J12,0)</f>
        <v>0</v>
      </c>
      <c r="K5" s="1923" t="s">
        <v>1674</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1010</v>
      </c>
      <c r="B6" s="1927" t="s">
        <v>1676</v>
      </c>
      <c r="C6" s="1928">
        <f ca="1">C7-C9</f>
        <v>111.49</v>
      </c>
      <c r="D6" s="1929" t="s">
        <v>1677</v>
      </c>
      <c r="E6" s="1930" t="s">
        <v>2224</v>
      </c>
      <c r="F6" s="1931">
        <f ca="1">INDIRECT("'数据-取费表'!u"&amp;$G$1)</f>
        <v>370</v>
      </c>
      <c r="G6" s="826"/>
      <c r="H6" s="1926" t="s">
        <v>1010</v>
      </c>
      <c r="I6" s="1927" t="s">
        <v>1676</v>
      </c>
      <c r="J6" s="1932">
        <f ca="1">J7-J9</f>
        <v>0</v>
      </c>
      <c r="K6" s="1929" t="s">
        <v>1677</v>
      </c>
      <c r="L6" s="1930" t="s">
        <v>2224</v>
      </c>
      <c r="M6" s="1931">
        <f ca="1">INDIRECT("'数据-取费表'!z"&amp;$G$1)</f>
        <v>0</v>
      </c>
    </row>
    <row r="7" spans="1:37" ht="18" customHeight="1">
      <c r="A7" s="4580" t="s">
        <v>1040</v>
      </c>
      <c r="B7" s="4582" t="s">
        <v>1679</v>
      </c>
      <c r="C7" s="4626">
        <f ca="1">ROUND(F6*F7*F8/10000,2)</f>
        <v>123.88</v>
      </c>
      <c r="D7" s="4585" t="s">
        <v>1680</v>
      </c>
      <c r="E7" s="1934" t="s">
        <v>1681</v>
      </c>
      <c r="F7" s="1935">
        <f ca="1">IF(INDIRECT("'数据-取费表'!ah"&amp;$G$1)="",INDIRECT("'数据-取费表'!k"&amp;$G$1),INDIRECT("'数据-取费表'!ah"&amp;$G$1))</f>
        <v>279</v>
      </c>
      <c r="G7" s="826"/>
      <c r="H7" s="4580" t="s">
        <v>1040</v>
      </c>
      <c r="I7" s="4582" t="s">
        <v>1679</v>
      </c>
      <c r="J7" s="4629">
        <f ca="1">ROUND(M6*M8*M7/10000,2)</f>
        <v>0</v>
      </c>
      <c r="K7" s="4585" t="s">
        <v>1680</v>
      </c>
      <c r="L7" s="1937" t="s">
        <v>1681</v>
      </c>
      <c r="M7" s="1935">
        <f ca="1">F7</f>
        <v>279</v>
      </c>
    </row>
    <row r="8" spans="1:37" ht="18" customHeight="1">
      <c r="A8" s="4581"/>
      <c r="B8" s="4583"/>
      <c r="C8" s="4626"/>
      <c r="D8" s="4585"/>
      <c r="E8" s="1937" t="str">
        <f ca="1">IF(F8=1,"年",IF(F8=12,"月","天"))</f>
        <v>月</v>
      </c>
      <c r="F8" s="1940">
        <f ca="1">INDIRECT("'数据-取费表'!ai"&amp;$G$1)</f>
        <v>12</v>
      </c>
      <c r="G8" s="826"/>
      <c r="H8" s="4581"/>
      <c r="I8" s="4583"/>
      <c r="J8" s="4629"/>
      <c r="K8" s="4585"/>
      <c r="L8" s="1937" t="str">
        <f ca="1">IF(M8=1,"年",IF(M8=12,"月","天"))</f>
        <v>月</v>
      </c>
      <c r="M8" s="1940">
        <f ca="1">INDIRECT("'数据-取费表'!ai"&amp;$G$1)</f>
        <v>12</v>
      </c>
    </row>
    <row r="9" spans="1:37" ht="18" customHeight="1">
      <c r="A9" s="1941" t="s">
        <v>1044</v>
      </c>
      <c r="B9" s="1939" t="s">
        <v>1682</v>
      </c>
      <c r="C9" s="1936">
        <f ca="1">ROUND(C7*F9,2)</f>
        <v>12.39</v>
      </c>
      <c r="D9" s="1929" t="s">
        <v>1683</v>
      </c>
      <c r="E9" s="1937" t="s">
        <v>1684</v>
      </c>
      <c r="F9" s="1942">
        <f ca="1">INDIRECT("'数据-取费表'!w"&amp;$G$1)</f>
        <v>0.1</v>
      </c>
      <c r="G9" s="826"/>
      <c r="H9" s="1941" t="s">
        <v>1044</v>
      </c>
      <c r="I9" s="1939" t="s">
        <v>1682</v>
      </c>
      <c r="J9" s="1932">
        <f ca="1">ROUND(J7*M9,2)</f>
        <v>0</v>
      </c>
      <c r="K9" s="1929" t="s">
        <v>1683</v>
      </c>
      <c r="L9" s="1943" t="s">
        <v>1684</v>
      </c>
      <c r="M9" s="1944">
        <f ca="1">INDIRECT("'数据-取费表'!ab"&amp;$G$1)</f>
        <v>0</v>
      </c>
    </row>
    <row r="10" spans="1:37" ht="18" customHeight="1">
      <c r="A10" s="1926" t="s">
        <v>1016</v>
      </c>
      <c r="B10" s="1945" t="s">
        <v>1685</v>
      </c>
      <c r="C10" s="1932">
        <f ca="1">ROUND(IF(F10="押一",C6/12*F11,IF(F10="押二",C6/12*2*F11,IF(F10="押三",C6/12*3*F11,C11*F11))),2)</f>
        <v>0.14000000000000001</v>
      </c>
      <c r="D10" s="1946" t="s">
        <v>1686</v>
      </c>
      <c r="E10" s="1943" t="s">
        <v>1687</v>
      </c>
      <c r="F10" s="1947" t="s">
        <v>2225</v>
      </c>
      <c r="G10" s="826"/>
      <c r="H10" s="1926" t="s">
        <v>1016</v>
      </c>
      <c r="I10" s="1945" t="s">
        <v>1685</v>
      </c>
      <c r="J10" s="1948">
        <f ca="1">ROUND(IF(M10="押一",J6/12*M11,IF(M10="押二",J6/12*2*M11,IF(M10="押三",J6/12*3*M11,J11*M11))),2)</f>
        <v>0</v>
      </c>
      <c r="K10" s="1946" t="s">
        <v>1686</v>
      </c>
      <c r="L10" s="1943" t="s">
        <v>1687</v>
      </c>
      <c r="M10" s="1947"/>
    </row>
    <row r="11" spans="1:37" ht="18" customHeight="1">
      <c r="A11" s="1949"/>
      <c r="B11" s="1950" t="str">
        <f>IF(OR(F10="自定义",F10=" "),"（自定义押金）","")</f>
        <v/>
      </c>
      <c r="C11" s="1951"/>
      <c r="D11" s="1952"/>
      <c r="E11" s="1943" t="s">
        <v>1688</v>
      </c>
      <c r="F11" s="1944">
        <f ca="1">'数据-取费表'!B40</f>
        <v>1.4999999999999999E-2</v>
      </c>
      <c r="G11" s="826"/>
      <c r="H11" s="1953"/>
      <c r="I11" s="1950" t="str">
        <f>IF(OR(M10="自定义",M10=" "),"（自定义押金）","")</f>
        <v/>
      </c>
      <c r="J11" s="1951"/>
      <c r="K11" s="1954"/>
      <c r="L11" s="1943" t="s">
        <v>1688</v>
      </c>
      <c r="M11" s="1955">
        <f ca="1">'数据-取费表'!B40</f>
        <v>1.4999999999999999E-2</v>
      </c>
    </row>
    <row r="12" spans="1:37" ht="18" customHeight="1">
      <c r="A12" s="1956" t="s">
        <v>1068</v>
      </c>
      <c r="B12" s="1957" t="s">
        <v>1689</v>
      </c>
      <c r="C12" s="1958"/>
      <c r="D12" s="1959"/>
      <c r="E12" s="1960"/>
      <c r="F12" s="1961"/>
      <c r="G12" s="826"/>
      <c r="H12" s="1956" t="s">
        <v>1068</v>
      </c>
      <c r="I12" s="1957" t="s">
        <v>1689</v>
      </c>
      <c r="J12" s="1958"/>
      <c r="K12" s="1962"/>
      <c r="L12" s="1960"/>
      <c r="M12" s="1963"/>
    </row>
    <row r="13" spans="1:37" s="366" customFormat="1" ht="18" customHeight="1">
      <c r="A13" s="1964" t="s">
        <v>1364</v>
      </c>
      <c r="B13" s="1965" t="s">
        <v>1690</v>
      </c>
      <c r="C13" s="1966">
        <f ca="1">ROUND(C14+C22+C24+C26,0)</f>
        <v>31</v>
      </c>
      <c r="D13" s="1967" t="s">
        <v>1691</v>
      </c>
      <c r="E13" s="1968"/>
      <c r="F13" s="1925"/>
      <c r="G13" s="1919"/>
      <c r="H13" s="1964" t="s">
        <v>1364</v>
      </c>
      <c r="I13" s="1965" t="s">
        <v>1690</v>
      </c>
      <c r="J13" s="1966">
        <f ca="1">ROUND(J14+J22+J24+J26,0)</f>
        <v>58</v>
      </c>
      <c r="K13" s="1969" t="s">
        <v>1692</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1010</v>
      </c>
      <c r="B14" s="1930" t="s">
        <v>1693</v>
      </c>
      <c r="C14" s="1932">
        <f ca="1">ROUND(IF(AND(项目基本情况!B11="自然人",项目基本情况!B10="北京市",M56="住宅"),C6*F14,C15+C19+C20),2)</f>
        <v>14.86</v>
      </c>
      <c r="D14" s="1971" t="s">
        <v>1694</v>
      </c>
      <c r="E14" s="1971" t="str">
        <f>IF(M56="非住宅","","综合税率")</f>
        <v/>
      </c>
      <c r="F14" s="1972" t="str">
        <f>IF(M56="非住宅","",IF(F6*F7*F8/12/(1+'数据-取费表'!F30)&gt;100000,4%,2.5%))</f>
        <v/>
      </c>
      <c r="G14" s="826"/>
      <c r="H14" s="678" t="s">
        <v>1010</v>
      </c>
      <c r="I14" s="1930" t="s">
        <v>1693</v>
      </c>
      <c r="J14" s="1932">
        <f ca="1">ROUND(IF(AND(项目基本情况!B11="自然人",项目基本情况!B10="北京市",M56="住宅"),J6*M14/(1+'数据-取费表'!C43),J15+J19+J20),2)</f>
        <v>42.83</v>
      </c>
      <c r="K14" s="1973" t="s">
        <v>1695</v>
      </c>
      <c r="L14" s="1971" t="str">
        <f>E14</f>
        <v/>
      </c>
      <c r="M14" s="1972" t="str">
        <f>IF(M56="非住宅","",IF(M6*M7*M8/12/(1+'数据-取费表'!F30)&gt;100000,4%,2.5%))</f>
        <v/>
      </c>
    </row>
    <row r="15" spans="1:37" s="1886" customFormat="1" ht="18" customHeight="1">
      <c r="A15" s="1941" t="s">
        <v>1040</v>
      </c>
      <c r="B15" s="1930" t="s">
        <v>1696</v>
      </c>
      <c r="C15" s="1932">
        <f ca="1">C18</f>
        <v>0.86</v>
      </c>
      <c r="D15" s="1039" t="s">
        <v>1697</v>
      </c>
      <c r="E15" s="1974"/>
      <c r="F15" s="1975"/>
      <c r="G15" s="1976"/>
      <c r="H15" s="1941" t="s">
        <v>1040</v>
      </c>
      <c r="I15" s="1930" t="s">
        <v>1696</v>
      </c>
      <c r="J15" s="1932">
        <f ca="1">J18</f>
        <v>-0.14000000000000001</v>
      </c>
      <c r="K15" s="1039" t="s">
        <v>1697</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1435</v>
      </c>
      <c r="B16" s="1977" t="s">
        <v>973</v>
      </c>
      <c r="C16" s="751">
        <f ca="1">ROUND(C6*F16,2)</f>
        <v>10.029999999999999</v>
      </c>
      <c r="D16" s="575" t="s">
        <v>1698</v>
      </c>
      <c r="E16" s="1978" t="s">
        <v>1699</v>
      </c>
      <c r="F16" s="1979">
        <v>0.09</v>
      </c>
      <c r="G16" s="826"/>
      <c r="H16" s="604" t="s">
        <v>1435</v>
      </c>
      <c r="I16" s="1977" t="s">
        <v>973</v>
      </c>
      <c r="J16" s="751">
        <f ca="1">ROUND(J6*M16,2)</f>
        <v>0</v>
      </c>
      <c r="K16" s="1980" t="s">
        <v>2226</v>
      </c>
      <c r="L16" s="1978" t="s">
        <v>1699</v>
      </c>
      <c r="M16" s="1979">
        <v>0.09</v>
      </c>
    </row>
    <row r="17" spans="1:37" s="1886" customFormat="1" ht="18" customHeight="1">
      <c r="A17" s="604" t="s">
        <v>1444</v>
      </c>
      <c r="B17" s="1977" t="s">
        <v>977</v>
      </c>
      <c r="C17" s="1981">
        <f ca="1">ROUND(C22*F16+((C24+C26)*F17),2)</f>
        <v>1.4</v>
      </c>
      <c r="D17" s="1982" t="s">
        <v>1701</v>
      </c>
      <c r="E17" s="1983"/>
      <c r="F17" s="1979">
        <v>0.06</v>
      </c>
      <c r="G17" s="1976"/>
      <c r="H17" s="604" t="s">
        <v>1444</v>
      </c>
      <c r="I17" s="1977" t="s">
        <v>977</v>
      </c>
      <c r="J17" s="1981">
        <f ca="1">ROUND(J22*M16+((J24+J26)*M17),2)</f>
        <v>1.36</v>
      </c>
      <c r="K17" s="1982" t="s">
        <v>1701</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1447</v>
      </c>
      <c r="B18" s="1977" t="s">
        <v>2227</v>
      </c>
      <c r="C18" s="1981">
        <f ca="1">ROUND((C16-C17)*F18,2)</f>
        <v>0.86</v>
      </c>
      <c r="D18" s="1973" t="s">
        <v>1703</v>
      </c>
      <c r="E18" s="1937" t="s">
        <v>1704</v>
      </c>
      <c r="F18" s="1979">
        <f>'数据-取费表'!B44</f>
        <v>0.1</v>
      </c>
      <c r="G18" s="1976"/>
      <c r="H18" s="604" t="s">
        <v>1447</v>
      </c>
      <c r="I18" s="1977" t="s">
        <v>1702</v>
      </c>
      <c r="J18" s="1981">
        <f ca="1">ROUND((J16-J17)*M18,2)</f>
        <v>-0.14000000000000001</v>
      </c>
      <c r="K18" s="1973" t="s">
        <v>1703</v>
      </c>
      <c r="L18" s="1937" t="s">
        <v>1704</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1044</v>
      </c>
      <c r="B19" s="1930" t="s">
        <v>1705</v>
      </c>
      <c r="C19" s="1932">
        <f ca="1">IF(AND(项目基本情况!B11="自然人",M56="住宅"),"——",IF(D19="按不含税租金收入（有效毛租金收入）计税",ROUND(C6*F19,2),IF(D19="按房产原值计税",ROUND(C51*F19*0.7,2),INDIRECT("'数据-取费表'!Aj"&amp;$G$1))))</f>
        <v>13.38</v>
      </c>
      <c r="D19" s="1984" t="s">
        <v>2228</v>
      </c>
      <c r="E19" s="1937" t="s">
        <v>1706</v>
      </c>
      <c r="F19" s="1979">
        <f>IF(D19="按票据","——",IF(D19="按不含税租金收入（有效毛租金收入）计税",'数据-取费表'!B52,'数据-取费表'!B51))</f>
        <v>0.12</v>
      </c>
      <c r="G19" s="1976"/>
      <c r="H19" s="1941" t="s">
        <v>1044</v>
      </c>
      <c r="I19" s="1930" t="s">
        <v>1705</v>
      </c>
      <c r="J19" s="1932">
        <f ca="1">IF(K19="按不含税租金收入（有效毛租金收入）计税",ROUND(J6*M19,2),ROUND(C51*M19*0.7,2))</f>
        <v>42.35</v>
      </c>
      <c r="K19" s="1985"/>
      <c r="L19" s="1937" t="s">
        <v>1706</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1047</v>
      </c>
      <c r="B20" s="1986" t="s">
        <v>1707</v>
      </c>
      <c r="C20" s="1948">
        <f ca="1">IF(AND(项目基本情况!B11="自然人",M56="住宅"),"——",ROUND(F20*F21/10000,2))</f>
        <v>0.62</v>
      </c>
      <c r="D20" s="1987" t="s">
        <v>1708</v>
      </c>
      <c r="E20" s="1937" t="s">
        <v>1709</v>
      </c>
      <c r="F20" s="1988">
        <f>'数据-取费表'!B53</f>
        <v>1.5</v>
      </c>
      <c r="G20" s="826"/>
      <c r="H20" s="1933" t="s">
        <v>1047</v>
      </c>
      <c r="I20" s="1986" t="s">
        <v>1707</v>
      </c>
      <c r="J20" s="1948">
        <f ca="1">ROUND(M20*M21/10000,2)</f>
        <v>0.62</v>
      </c>
      <c r="K20" s="1987" t="s">
        <v>1708</v>
      </c>
      <c r="L20" s="1937" t="s">
        <v>1709</v>
      </c>
      <c r="M20" s="1988">
        <f>'数据-取费表'!B53</f>
        <v>1.5</v>
      </c>
    </row>
    <row r="21" spans="1:37" s="1886" customFormat="1" ht="18" customHeight="1">
      <c r="A21" s="1989"/>
      <c r="B21" s="1990"/>
      <c r="C21" s="1991"/>
      <c r="D21" s="1992"/>
      <c r="E21" s="1937" t="s">
        <v>1710</v>
      </c>
      <c r="F21" s="1935">
        <f ca="1">INDIRECT("'数据-取费表'!r"&amp;$G$1)</f>
        <v>4124.03</v>
      </c>
      <c r="G21" s="1976"/>
      <c r="H21" s="1989"/>
      <c r="I21" s="1993"/>
      <c r="J21" s="1991"/>
      <c r="K21" s="1992"/>
      <c r="L21" s="1937" t="s">
        <v>1710</v>
      </c>
      <c r="M21" s="1935">
        <f ca="1">INDIRECT("'数据-取费表'!r"&amp;$G$1)</f>
        <v>4124.03</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1016</v>
      </c>
      <c r="B22" s="1995" t="s">
        <v>1711</v>
      </c>
      <c r="C22" s="1996">
        <f ca="1">ROUND(C51*F22,2)</f>
        <v>15.13</v>
      </c>
      <c r="D22" s="1997" t="s">
        <v>1712</v>
      </c>
      <c r="E22" s="1937" t="s">
        <v>1706</v>
      </c>
      <c r="F22" s="1942">
        <f ca="1">INDIRECT("'数据-取费表'!Ak"&amp;$G$1)</f>
        <v>3.0000000000000001E-3</v>
      </c>
      <c r="G22" s="1976"/>
      <c r="H22" s="1994" t="s">
        <v>1016</v>
      </c>
      <c r="I22" s="1995" t="s">
        <v>1711</v>
      </c>
      <c r="J22" s="1996">
        <f ca="1">ROUND(J35*M22,2)</f>
        <v>15.13</v>
      </c>
      <c r="K22" s="1997" t="s">
        <v>1712</v>
      </c>
      <c r="L22" s="1937" t="s">
        <v>1706</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1713</v>
      </c>
      <c r="F23" s="1940">
        <f ca="1">C51</f>
        <v>5042</v>
      </c>
      <c r="G23" s="1976"/>
      <c r="H23" s="1989"/>
      <c r="I23" s="1993"/>
      <c r="J23" s="1998"/>
      <c r="K23" s="1999"/>
      <c r="L23" s="1930" t="s">
        <v>1713</v>
      </c>
      <c r="M23" s="1940">
        <f ca="1">J35</f>
        <v>5042</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1068</v>
      </c>
      <c r="B24" s="1995" t="s">
        <v>1714</v>
      </c>
      <c r="C24" s="1996">
        <f ca="1">ROUND(C53*F24,2)</f>
        <v>0</v>
      </c>
      <c r="D24" s="1997" t="s">
        <v>1715</v>
      </c>
      <c r="E24" s="1937" t="s">
        <v>1706</v>
      </c>
      <c r="F24" s="1942">
        <f ca="1">INDIRECT("'数据-取费表'!Al"&amp;$G$1)</f>
        <v>1E-3</v>
      </c>
      <c r="G24" s="826"/>
      <c r="H24" s="1994" t="s">
        <v>1068</v>
      </c>
      <c r="I24" s="1995" t="s">
        <v>1714</v>
      </c>
      <c r="J24" s="1996">
        <f ca="1">ROUND(J37*M24,2)</f>
        <v>0</v>
      </c>
      <c r="K24" s="1997" t="s">
        <v>2229</v>
      </c>
      <c r="L24" s="1937" t="s">
        <v>1706</v>
      </c>
      <c r="M24" s="1942">
        <f ca="1">INDIRECT("'数据-取费表'!Al"&amp;$G$1)</f>
        <v>1E-3</v>
      </c>
    </row>
    <row r="25" spans="1:37" ht="18" customHeight="1">
      <c r="A25" s="1989"/>
      <c r="B25" s="1993"/>
      <c r="C25" s="1998"/>
      <c r="D25" s="1999"/>
      <c r="E25" s="2000" t="s">
        <v>1717</v>
      </c>
      <c r="F25" s="1940">
        <f ca="1">C53</f>
        <v>0</v>
      </c>
      <c r="G25" s="826"/>
      <c r="H25" s="1989"/>
      <c r="I25" s="1993"/>
      <c r="J25" s="1998"/>
      <c r="K25" s="1999"/>
      <c r="L25" s="2000" t="s">
        <v>1717</v>
      </c>
      <c r="M25" s="1940">
        <f ca="1">J37</f>
        <v>0</v>
      </c>
    </row>
    <row r="26" spans="1:37" s="1886" customFormat="1" ht="18" customHeight="1">
      <c r="A26" s="2001" t="s">
        <v>1073</v>
      </c>
      <c r="B26" s="1960" t="s">
        <v>1718</v>
      </c>
      <c r="C26" s="2002">
        <f ca="1">ROUND(C5*F26,2)</f>
        <v>0.56000000000000005</v>
      </c>
      <c r="D26" s="2003" t="s">
        <v>1719</v>
      </c>
      <c r="E26" s="1960" t="s">
        <v>1706</v>
      </c>
      <c r="F26" s="1963">
        <f ca="1">INDIRECT("'数据-取费表'!Am"&amp;$G$1)</f>
        <v>5.0000000000000001E-3</v>
      </c>
      <c r="G26" s="1976"/>
      <c r="H26" s="2001" t="s">
        <v>1073</v>
      </c>
      <c r="I26" s="1960" t="s">
        <v>1718</v>
      </c>
      <c r="J26" s="2002">
        <f ca="1">ROUND(J5*M26,2)</f>
        <v>0</v>
      </c>
      <c r="K26" s="2003" t="s">
        <v>1719</v>
      </c>
      <c r="L26" s="1960" t="s">
        <v>1706</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1478</v>
      </c>
      <c r="B27" s="2004" t="s">
        <v>1720</v>
      </c>
      <c r="C27" s="1966">
        <f ca="1">C5-C13</f>
        <v>81</v>
      </c>
      <c r="D27" s="2005" t="s">
        <v>1721</v>
      </c>
      <c r="E27" s="2006"/>
      <c r="F27" s="2007"/>
      <c r="G27" s="2008"/>
      <c r="H27" s="1964" t="s">
        <v>1478</v>
      </c>
      <c r="I27" s="2004" t="s">
        <v>1720</v>
      </c>
      <c r="J27" s="1966">
        <f ca="1">J5-J13</f>
        <v>-58</v>
      </c>
      <c r="K27" s="2005" t="s">
        <v>1721</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1722</v>
      </c>
      <c r="B28" s="2010" t="s">
        <v>1723</v>
      </c>
      <c r="C28" s="2011">
        <f ca="1">IF(C5&lt;&gt;0,ROUND(C27*(1-((1+F30)/(1+F28))^F29)/(F28-F30),0),0)</f>
        <v>1852</v>
      </c>
      <c r="D28" s="2012" t="s">
        <v>1858</v>
      </c>
      <c r="E28" s="2013" t="s">
        <v>1725</v>
      </c>
      <c r="F28" s="1942">
        <f ca="1">INDIRECT("'数据-取费表'!I"&amp;$G$1)</f>
        <v>0.05</v>
      </c>
      <c r="G28" s="1919"/>
      <c r="H28" s="1920" t="s">
        <v>1722</v>
      </c>
      <c r="I28" s="2010" t="s">
        <v>1916</v>
      </c>
      <c r="J28" s="2011">
        <f ca="1">IF(J5&lt;&gt;0,ROUND(J27*(1-((1+M30)/(1+M28))^M29)/(M28-M30),0),0)</f>
        <v>0</v>
      </c>
      <c r="K28" s="2012" t="s">
        <v>1858</v>
      </c>
      <c r="L28" s="2014" t="s">
        <v>1725</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1861</v>
      </c>
      <c r="E29" s="2013" t="s">
        <v>1727</v>
      </c>
      <c r="F29" s="2019">
        <f ca="1">IF(INDIRECT("'数据-取费表'!af"&amp;$G$1)=0,INDIRECT("'数据-取费表'!ae"&amp;$G$1),INDIRECT("'数据-取费表'!af"&amp;$G$1))</f>
        <v>47.54</v>
      </c>
      <c r="G29" s="1919"/>
      <c r="H29" s="2015"/>
      <c r="I29" s="2016"/>
      <c r="J29" s="2017"/>
      <c r="K29" s="2020" t="s">
        <v>1861</v>
      </c>
      <c r="L29" s="2013" t="s">
        <v>1727</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1728</v>
      </c>
      <c r="F30" s="1942">
        <f ca="1">INDIRECT("'数据-取费表'!v"&amp;$G$1)</f>
        <v>1.4999999999999999E-2</v>
      </c>
      <c r="G30" s="1919"/>
      <c r="H30" s="1949"/>
      <c r="I30" s="2021"/>
      <c r="J30" s="2022"/>
      <c r="K30" s="2020"/>
      <c r="L30" s="2013" t="s">
        <v>1728</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1729</v>
      </c>
      <c r="B31" s="2024" t="s">
        <v>1730</v>
      </c>
      <c r="C31" s="2025">
        <f ca="1">ROUND(C28*(1+F31),0)</f>
        <v>2019</v>
      </c>
      <c r="D31" s="2026" t="s">
        <v>1731</v>
      </c>
      <c r="E31" s="2027" t="str">
        <f>IF(D31="其他类型公式—收益价值×（1+9%）","销项税率","征收率")</f>
        <v>销项税率</v>
      </c>
      <c r="F31" s="1942">
        <f>IF(D31="其他类型公式—收益价值×（1+9%）",9%,3%)</f>
        <v>0.09</v>
      </c>
      <c r="G31" s="2008"/>
      <c r="H31" s="2028" t="s">
        <v>1729</v>
      </c>
      <c r="I31" s="2013" t="s">
        <v>1732</v>
      </c>
      <c r="J31" s="1901">
        <f ca="1">ROUND(J28/(1+F28)^F29,0)</f>
        <v>0</v>
      </c>
      <c r="K31" s="2029" t="s">
        <v>2230</v>
      </c>
      <c r="L31" s="2013"/>
      <c r="M31" s="2019">
        <f ca="1">INDIRECT("'数据-取费表'!k"&amp;$G$1)</f>
        <v>9602.89</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1734</v>
      </c>
      <c r="B32" s="2031" t="s">
        <v>1735</v>
      </c>
      <c r="C32" s="2032">
        <f ca="1">ROUND(C31*10000/F32,0)</f>
        <v>2102</v>
      </c>
      <c r="D32" s="2033" t="s">
        <v>1736</v>
      </c>
      <c r="E32" s="2034" t="s">
        <v>1737</v>
      </c>
      <c r="F32" s="2035">
        <f ca="1">INDIRECT("'数据-取费表'!k"&amp;$G$1)</f>
        <v>9602.89</v>
      </c>
      <c r="G32" s="2008"/>
      <c r="H32" s="2030" t="s">
        <v>1734</v>
      </c>
      <c r="I32" s="2036" t="s">
        <v>1738</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0.2767857142857143</v>
      </c>
      <c r="G33" s="826"/>
    </row>
    <row r="34" spans="1:37" s="366" customFormat="1" ht="18" customHeight="1">
      <c r="A34" s="2042" t="s">
        <v>1668</v>
      </c>
      <c r="B34" s="2043" t="s">
        <v>1669</v>
      </c>
      <c r="C34" s="2044" t="s">
        <v>2223</v>
      </c>
      <c r="D34" s="2043" t="s">
        <v>1671</v>
      </c>
      <c r="E34" s="2045" t="s">
        <v>1672</v>
      </c>
      <c r="F34" s="2046"/>
      <c r="G34" s="1919"/>
      <c r="H34" s="2042" t="s">
        <v>1668</v>
      </c>
      <c r="I34" s="2043" t="s">
        <v>1669</v>
      </c>
      <c r="J34" s="2044" t="s">
        <v>2223</v>
      </c>
      <c r="K34" s="2043" t="s">
        <v>1671</v>
      </c>
      <c r="L34" s="2045" t="s">
        <v>1672</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1739</v>
      </c>
      <c r="B35" s="2013" t="s">
        <v>1740</v>
      </c>
      <c r="C35" s="1901">
        <f ca="1">SUM(C36:C41)</f>
        <v>4385</v>
      </c>
      <c r="D35" s="2029" t="s">
        <v>1741</v>
      </c>
      <c r="E35" s="575"/>
      <c r="F35" s="576"/>
      <c r="G35" s="826"/>
      <c r="H35" s="2047" t="s">
        <v>1739</v>
      </c>
      <c r="I35" s="2048" t="s">
        <v>1742</v>
      </c>
      <c r="J35" s="2049">
        <f ca="1">C51</f>
        <v>5042</v>
      </c>
      <c r="K35" s="2050" t="s">
        <v>1743</v>
      </c>
      <c r="L35" s="2051"/>
      <c r="M35" s="2052"/>
    </row>
    <row r="36" spans="1:37" ht="18" customHeight="1">
      <c r="A36" s="1941" t="s">
        <v>1040</v>
      </c>
      <c r="B36" s="2053" t="s">
        <v>1744</v>
      </c>
      <c r="C36" s="1038">
        <f ca="1">INDIRECT("'数据-取费表'!m"&amp;$G$1)+INDIRECT("'数据-取费表'!t"&amp;$G$1)</f>
        <v>3937</v>
      </c>
      <c r="D36" s="2054" t="s">
        <v>1745</v>
      </c>
      <c r="E36" s="2054"/>
      <c r="F36" s="2055"/>
      <c r="G36" s="826"/>
      <c r="H36" s="2056" t="s">
        <v>1016</v>
      </c>
      <c r="I36" s="2057" t="s">
        <v>1476</v>
      </c>
      <c r="J36" s="747">
        <f ca="1">ROUND(J35*(1-M36),0)</f>
        <v>5042</v>
      </c>
      <c r="K36" s="1937" t="s">
        <v>1746</v>
      </c>
      <c r="L36" s="1929" t="s">
        <v>1747</v>
      </c>
      <c r="M36" s="1942">
        <f ca="1">INDIRECT("'数据-取费表'!ad"&amp;$G$1)</f>
        <v>0</v>
      </c>
    </row>
    <row r="37" spans="1:37" ht="18" customHeight="1">
      <c r="A37" s="1941" t="s">
        <v>1044</v>
      </c>
      <c r="B37" s="1977" t="s">
        <v>756</v>
      </c>
      <c r="C37" s="2049">
        <f ca="1">ROUND(C36*F37,0)</f>
        <v>118</v>
      </c>
      <c r="D37" s="1937" t="s">
        <v>1749</v>
      </c>
      <c r="E37" s="1937" t="s">
        <v>1706</v>
      </c>
      <c r="F37" s="1979">
        <f>'数据-取费表'!B33</f>
        <v>0.03</v>
      </c>
      <c r="G37" s="826"/>
      <c r="H37" s="2058" t="s">
        <v>1594</v>
      </c>
      <c r="I37" s="2059" t="s">
        <v>2231</v>
      </c>
      <c r="J37" s="1910">
        <f ca="1">J35-J36</f>
        <v>0</v>
      </c>
      <c r="K37" s="2060" t="s">
        <v>1751</v>
      </c>
      <c r="L37" s="2061"/>
      <c r="M37" s="2062"/>
    </row>
    <row r="38" spans="1:37" ht="18" customHeight="1">
      <c r="A38" s="1941" t="s">
        <v>1047</v>
      </c>
      <c r="B38" s="2053" t="s">
        <v>1752</v>
      </c>
      <c r="C38" s="2049">
        <f ca="1">ROUND(INDIRECT("'数据-取费表'!m"&amp;$G$1)*F38,0)</f>
        <v>0</v>
      </c>
      <c r="D38" s="1937" t="s">
        <v>1749</v>
      </c>
      <c r="E38" s="1937" t="s">
        <v>1706</v>
      </c>
      <c r="F38" s="1979">
        <f ca="1">IF(INDIRECT("'数据-取费表'!c"&amp;$G$1)="住宅",'数据-取费表'!B34,0)</f>
        <v>0</v>
      </c>
      <c r="G38" s="826"/>
    </row>
    <row r="39" spans="1:37" ht="18" customHeight="1">
      <c r="A39" s="1941" t="s">
        <v>1753</v>
      </c>
      <c r="B39" s="2053" t="s">
        <v>1754</v>
      </c>
      <c r="C39" s="2049">
        <f ca="1">ROUND(F39*(F32+INDIRECT("'数据-取费表'!S"&amp;$G$1))/10000,0)</f>
        <v>192</v>
      </c>
      <c r="D39" s="1937" t="s">
        <v>1755</v>
      </c>
      <c r="E39" s="1937" t="s">
        <v>1756</v>
      </c>
      <c r="F39" s="1988">
        <f>'数据-取费表'!B35</f>
        <v>200</v>
      </c>
      <c r="G39" s="826"/>
    </row>
    <row r="40" spans="1:37" ht="18" customHeight="1">
      <c r="A40" s="1941" t="s">
        <v>1651</v>
      </c>
      <c r="B40" s="1977" t="s">
        <v>762</v>
      </c>
      <c r="C40" s="2049">
        <f ca="1">ROUND(C36*F40,0)</f>
        <v>59</v>
      </c>
      <c r="D40" s="1937" t="s">
        <v>1749</v>
      </c>
      <c r="E40" s="1937" t="s">
        <v>1706</v>
      </c>
      <c r="F40" s="1979">
        <f>'数据-取费表'!B36</f>
        <v>1.4999999999999999E-2</v>
      </c>
      <c r="G40" s="826"/>
      <c r="H40" s="662"/>
      <c r="I40" s="662"/>
      <c r="J40" s="662"/>
      <c r="K40" s="2063"/>
      <c r="L40" s="662"/>
      <c r="M40" s="662"/>
    </row>
    <row r="41" spans="1:37" ht="18" customHeight="1">
      <c r="A41" s="1941" t="s">
        <v>1651</v>
      </c>
      <c r="B41" s="1977" t="s">
        <v>764</v>
      </c>
      <c r="C41" s="2049">
        <f ca="1">ROUND(C36*F41,0)</f>
        <v>79</v>
      </c>
      <c r="D41" s="1937" t="s">
        <v>1749</v>
      </c>
      <c r="E41" s="1937" t="s">
        <v>1706</v>
      </c>
      <c r="F41" s="1979">
        <f>'数据-取费表'!B37</f>
        <v>0.02</v>
      </c>
      <c r="G41" s="826"/>
      <c r="H41" s="662"/>
      <c r="I41" s="662"/>
      <c r="J41" s="662"/>
      <c r="K41" s="2063"/>
      <c r="L41" s="662"/>
      <c r="M41" s="662"/>
    </row>
    <row r="42" spans="1:37" ht="18" customHeight="1">
      <c r="A42" s="2028" t="s">
        <v>1757</v>
      </c>
      <c r="B42" s="2013" t="s">
        <v>1758</v>
      </c>
      <c r="C42" s="1901">
        <f ca="1">ROUND(C35*F42,0)</f>
        <v>88</v>
      </c>
      <c r="D42" s="2064" t="s">
        <v>1759</v>
      </c>
      <c r="E42" s="2013" t="s">
        <v>1760</v>
      </c>
      <c r="F42" s="1942">
        <f>'数据-取费表'!B38</f>
        <v>0.02</v>
      </c>
      <c r="G42" s="826"/>
      <c r="H42" s="662"/>
      <c r="I42" s="662"/>
      <c r="J42" s="662"/>
      <c r="K42" s="2063"/>
      <c r="L42" s="662"/>
      <c r="M42" s="662"/>
    </row>
    <row r="43" spans="1:37" ht="18" customHeight="1">
      <c r="A43" s="2028" t="s">
        <v>1594</v>
      </c>
      <c r="B43" s="2013" t="s">
        <v>1761</v>
      </c>
      <c r="C43" s="2065" t="str">
        <f>F43&amp;"V建"</f>
        <v>0.03V建</v>
      </c>
      <c r="D43" s="2064" t="s">
        <v>1762</v>
      </c>
      <c r="E43" s="2013" t="s">
        <v>1760</v>
      </c>
      <c r="F43" s="1942">
        <f>'数据-取费表'!B39</f>
        <v>0.03</v>
      </c>
      <c r="G43" s="826"/>
      <c r="H43" s="662"/>
      <c r="I43" s="662"/>
      <c r="J43" s="662"/>
      <c r="K43" s="2063"/>
      <c r="L43" s="662"/>
      <c r="M43" s="662"/>
    </row>
    <row r="44" spans="1:37" ht="18" customHeight="1">
      <c r="A44" s="2028" t="s">
        <v>1764</v>
      </c>
      <c r="B44" s="2066" t="s">
        <v>1461</v>
      </c>
      <c r="C44" s="2067" t="str">
        <f ca="1">C45&amp;"+"&amp;C46&amp;"V建"</f>
        <v>180+0.0012V建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1040</v>
      </c>
      <c r="B45" s="1937" t="s">
        <v>1765</v>
      </c>
      <c r="C45" s="2049">
        <f ca="1">IF('数据-取费表'!B22&lt;=1,ROUND(C35*F46*F45/2,0)+ROUND(C42*F46*F45/2,0),ROUND(C35*(POWER((1+F46),F45/2)-1),0)+ROUND(C42*(POWER((1+F46),F45/2)-1),0))</f>
        <v>180</v>
      </c>
      <c r="D45" s="2051" t="str">
        <f>IF(F45&lt;=1,"(建造成本+管理费用)×利率×(建设周期÷2)","(建造成本+管理费用)×((1+利率)^(建设周期÷2)-1)")</f>
        <v>(建造成本+管理费用)×((1+利率)^(建设周期÷2)-1)</v>
      </c>
      <c r="E45" s="1937" t="s">
        <v>1766</v>
      </c>
      <c r="F45" s="1988">
        <f>'数据-取费表'!B20</f>
        <v>2.5</v>
      </c>
      <c r="G45" s="826"/>
      <c r="H45" s="662"/>
      <c r="I45" s="662"/>
      <c r="J45" s="662"/>
      <c r="K45" s="2063"/>
      <c r="L45" s="662"/>
      <c r="M45" s="662"/>
    </row>
    <row r="46" spans="1:37" ht="18" customHeight="1">
      <c r="A46" s="1941" t="s">
        <v>1044</v>
      </c>
      <c r="B46" s="1937" t="s">
        <v>1767</v>
      </c>
      <c r="C46" s="2070">
        <f ca="1">ROUND(IF('数据-取费表'!B22&lt;=1,F43*F46*F45/2,F43*(POWER((1+F46),F45/2)-1)),4)</f>
        <v>1.1999999999999999E-3</v>
      </c>
      <c r="D46" s="2051" t="str">
        <f>IF(F45&lt;=1,"销售费用×利率×(建设周期÷2)","销售费用×((1+利率)^(建设周期÷2)-1)")</f>
        <v>销售费用×((1+利率)^(建设周期÷2)-1)</v>
      </c>
      <c r="E46" s="1937" t="s">
        <v>1768</v>
      </c>
      <c r="F46" s="2071">
        <f ca="1">'数据-取费表'!B41</f>
        <v>3.1899999999999998E-2</v>
      </c>
      <c r="G46" s="826"/>
      <c r="H46" s="662"/>
      <c r="I46" s="662"/>
      <c r="J46" s="662"/>
      <c r="K46" s="2063"/>
      <c r="L46" s="662"/>
      <c r="M46" s="662"/>
    </row>
    <row r="47" spans="1:37" ht="18" customHeight="1">
      <c r="A47" s="2028" t="s">
        <v>1769</v>
      </c>
      <c r="B47" s="2066" t="s">
        <v>1469</v>
      </c>
      <c r="C47" s="2067" t="str">
        <f ca="1">C48&amp;"+"&amp;C49&amp;"V建"</f>
        <v>224+0.0015V建</v>
      </c>
      <c r="D47" s="2068" t="s">
        <v>1770</v>
      </c>
      <c r="E47" s="2069"/>
      <c r="F47" s="1988"/>
      <c r="G47" s="826"/>
      <c r="H47" s="662"/>
      <c r="I47" s="662"/>
      <c r="J47" s="662"/>
      <c r="K47" s="2063"/>
      <c r="L47" s="662"/>
      <c r="M47" s="662"/>
    </row>
    <row r="48" spans="1:37" ht="18" customHeight="1">
      <c r="A48" s="1941" t="s">
        <v>1040</v>
      </c>
      <c r="B48" s="1937" t="s">
        <v>1771</v>
      </c>
      <c r="C48" s="2049">
        <f ca="1">ROUND((C35+C42)*F48,0)</f>
        <v>224</v>
      </c>
      <c r="D48" s="2072" t="s">
        <v>1772</v>
      </c>
      <c r="E48" s="1937" t="s">
        <v>1773</v>
      </c>
      <c r="F48" s="1942">
        <f ca="1">INDIRECT("'数据-取费表'!q"&amp;$G$1)</f>
        <v>0.05</v>
      </c>
      <c r="G48" s="826"/>
      <c r="H48" s="662"/>
      <c r="I48" s="662"/>
      <c r="J48" s="662"/>
      <c r="K48" s="2063"/>
      <c r="L48" s="662"/>
      <c r="M48" s="662"/>
    </row>
    <row r="49" spans="1:18" ht="18" customHeight="1">
      <c r="A49" s="1941" t="s">
        <v>1044</v>
      </c>
      <c r="B49" s="1937" t="s">
        <v>1774</v>
      </c>
      <c r="C49" s="2073">
        <f ca="1">ROUND(F43*F48,4)</f>
        <v>1.5E-3</v>
      </c>
      <c r="D49" s="2072" t="s">
        <v>1775</v>
      </c>
      <c r="E49" s="1937"/>
      <c r="F49" s="1979"/>
      <c r="G49" s="826"/>
      <c r="H49" s="662"/>
      <c r="I49" s="662"/>
      <c r="J49" s="662"/>
      <c r="K49" s="2063"/>
      <c r="L49" s="662"/>
      <c r="M49" s="662"/>
    </row>
    <row r="50" spans="1:18" ht="18" customHeight="1">
      <c r="A50" s="2028" t="s">
        <v>1776</v>
      </c>
      <c r="B50" s="2013" t="s">
        <v>1777</v>
      </c>
      <c r="C50" s="1901">
        <f>ROUND(F50/(1+'数据-取费表'!C43),4)</f>
        <v>0</v>
      </c>
      <c r="D50" s="2074" t="s">
        <v>1778</v>
      </c>
      <c r="E50" s="2013"/>
      <c r="F50" s="1942"/>
      <c r="G50" s="826"/>
      <c r="H50" s="662"/>
      <c r="I50" s="662"/>
      <c r="J50" s="662"/>
      <c r="K50" s="2063"/>
      <c r="L50" s="662"/>
      <c r="M50" s="662"/>
    </row>
    <row r="51" spans="1:18" s="826" customFormat="1" ht="18" customHeight="1">
      <c r="A51" s="2028" t="s">
        <v>1779</v>
      </c>
      <c r="B51" s="2013" t="s">
        <v>1780</v>
      </c>
      <c r="C51" s="1901">
        <f ca="1">ROUND((C35+C42+C45+C48)/(1-F43-C46-C49-C50),0)</f>
        <v>5042</v>
      </c>
      <c r="D51" s="2050" t="s">
        <v>1743</v>
      </c>
      <c r="E51" s="2013"/>
      <c r="F51" s="1942"/>
      <c r="K51" s="2075"/>
    </row>
    <row r="52" spans="1:18" s="826" customFormat="1" ht="18" customHeight="1">
      <c r="A52" s="2076" t="s">
        <v>1502</v>
      </c>
      <c r="B52" s="2066" t="s">
        <v>1476</v>
      </c>
      <c r="C52" s="1901">
        <f ca="1">ROUND(C51*(1-F52),0)</f>
        <v>5042</v>
      </c>
      <c r="D52" s="2013" t="s">
        <v>1781</v>
      </c>
      <c r="E52" s="2013" t="s">
        <v>1782</v>
      </c>
      <c r="F52" s="1942">
        <f ca="1">INDIRECT("'数据-取费表'!y"&amp;$G$1)</f>
        <v>0</v>
      </c>
      <c r="K52" s="2075"/>
    </row>
    <row r="53" spans="1:18" s="826" customFormat="1" ht="18" customHeight="1">
      <c r="A53" s="2077" t="s">
        <v>2232</v>
      </c>
      <c r="B53" s="2078" t="s">
        <v>1784</v>
      </c>
      <c r="C53" s="1910">
        <f ca="1">C51-C52</f>
        <v>0</v>
      </c>
      <c r="D53" s="2060" t="s">
        <v>1751</v>
      </c>
      <c r="E53" s="2034"/>
      <c r="F53" s="2079"/>
      <c r="K53" s="2075"/>
    </row>
    <row r="54" spans="1:18" s="826" customFormat="1" ht="18" customHeight="1">
      <c r="A54" s="2080"/>
      <c r="B54" s="2080"/>
      <c r="C54" s="2081"/>
      <c r="D54" s="2080"/>
      <c r="E54" s="2080"/>
      <c r="F54" s="2080"/>
      <c r="I54" s="2082" t="s">
        <v>1785</v>
      </c>
      <c r="J54" s="2083"/>
      <c r="O54" s="2084" t="s">
        <v>1786</v>
      </c>
      <c r="P54" s="2085"/>
      <c r="Q54" s="2085"/>
      <c r="R54" s="2085"/>
    </row>
    <row r="55" spans="1:18" s="826" customFormat="1">
      <c r="A55" s="2086" t="s">
        <v>1932</v>
      </c>
      <c r="C55" s="2087">
        <f ca="1">IF(D2="含税",C83-C31,C80-C28)</f>
        <v>-2334</v>
      </c>
      <c r="D55" s="2088" t="str">
        <f>C2</f>
        <v>万元</v>
      </c>
      <c r="E55" s="2080"/>
      <c r="F55" s="2080"/>
      <c r="I55" s="2089" t="s">
        <v>1788</v>
      </c>
      <c r="J55" s="2090"/>
      <c r="K55" s="2091"/>
      <c r="L55" s="2092" t="str">
        <f ca="1">IF(M56="住宅",0,IF(L57&gt;J60,L69,J69))</f>
        <v>0</v>
      </c>
      <c r="O55" s="2093" t="s">
        <v>952</v>
      </c>
      <c r="P55" s="2094" t="s">
        <v>1789</v>
      </c>
      <c r="Q55" s="2095" t="s">
        <v>1790</v>
      </c>
      <c r="R55" s="2095" t="s">
        <v>1791</v>
      </c>
    </row>
    <row r="56" spans="1:18" s="826" customFormat="1">
      <c r="A56" s="2096" t="s">
        <v>1668</v>
      </c>
      <c r="B56" s="2097" t="s">
        <v>1669</v>
      </c>
      <c r="C56" s="2044" t="s">
        <v>2223</v>
      </c>
      <c r="D56" s="2097" t="s">
        <v>1671</v>
      </c>
      <c r="E56" s="2098" t="s">
        <v>1672</v>
      </c>
      <c r="F56" s="2099"/>
      <c r="G56" s="2100"/>
      <c r="I56" s="2101" t="s">
        <v>1792</v>
      </c>
      <c r="J56" s="2102" t="s">
        <v>2171</v>
      </c>
      <c r="K56" s="2103" t="s">
        <v>1793</v>
      </c>
      <c r="L56" s="2104">
        <f ca="1">INDIRECT("'数据-取费表'!d"&amp;$G$1)</f>
        <v>50</v>
      </c>
      <c r="M56" s="2105" t="str">
        <f>IF(ISNUMBER(FIND("住宅",C1)),"住宅","非住宅")</f>
        <v>非住宅</v>
      </c>
      <c r="O56" s="2106" t="s">
        <v>1438</v>
      </c>
      <c r="P56" s="2107" t="s">
        <v>1854</v>
      </c>
      <c r="Q56" s="2108">
        <f ca="1">C28+J31</f>
        <v>1852</v>
      </c>
      <c r="R56" s="2109" t="s">
        <v>1795</v>
      </c>
    </row>
    <row r="57" spans="1:18" s="826" customFormat="1" ht="39.6">
      <c r="A57" s="2110" t="s">
        <v>1415</v>
      </c>
      <c r="B57" s="2010" t="s">
        <v>1675</v>
      </c>
      <c r="C57" s="2111">
        <f ca="1">ROUND(C58+C62+C64,0)</f>
        <v>0</v>
      </c>
      <c r="D57" s="1923" t="s">
        <v>1674</v>
      </c>
      <c r="E57" s="2112"/>
      <c r="F57" s="2113"/>
      <c r="G57" s="2100"/>
      <c r="H57" s="2114"/>
      <c r="I57" s="2115" t="s">
        <v>1796</v>
      </c>
      <c r="J57" s="2116" t="s">
        <v>2233</v>
      </c>
      <c r="K57" s="2117" t="s">
        <v>1797</v>
      </c>
      <c r="L57" s="2118">
        <f ca="1">INDIRECT("'数据-取费表'!f"&amp;$G$1)</f>
        <v>47.56</v>
      </c>
      <c r="O57" s="2106" t="s">
        <v>1442</v>
      </c>
      <c r="P57" s="2107" t="s">
        <v>1798</v>
      </c>
      <c r="Q57" s="2108" t="str">
        <f ca="1">J69</f>
        <v>0</v>
      </c>
      <c r="R57" s="2109" t="s">
        <v>1799</v>
      </c>
    </row>
    <row r="58" spans="1:18" s="826" customFormat="1" ht="15.6">
      <c r="A58" s="2119" t="s">
        <v>1010</v>
      </c>
      <c r="B58" s="1927" t="s">
        <v>1676</v>
      </c>
      <c r="C58" s="2120">
        <f ca="1">C59-C61</f>
        <v>0</v>
      </c>
      <c r="D58" s="1929" t="s">
        <v>1677</v>
      </c>
      <c r="E58" s="2121" t="s">
        <v>1800</v>
      </c>
      <c r="F58" s="2122"/>
      <c r="H58" s="2114"/>
      <c r="I58" s="2115" t="s">
        <v>1801</v>
      </c>
      <c r="J58" s="2123">
        <v>2026</v>
      </c>
      <c r="K58" s="2117" t="s">
        <v>1802</v>
      </c>
      <c r="L58" s="2124"/>
      <c r="O58" s="2125" t="s">
        <v>1803</v>
      </c>
      <c r="P58" s="2126" t="s">
        <v>1943</v>
      </c>
      <c r="Q58" s="2127">
        <f ca="1">C51</f>
        <v>5042</v>
      </c>
      <c r="R58" s="2128" t="s">
        <v>1805</v>
      </c>
    </row>
    <row r="59" spans="1:18" s="826" customFormat="1">
      <c r="A59" s="2129" t="s">
        <v>1040</v>
      </c>
      <c r="B59" s="4625" t="s">
        <v>1679</v>
      </c>
      <c r="C59" s="4627">
        <f ca="1">ROUND(F58*F60*F59/10000,2)</f>
        <v>0</v>
      </c>
      <c r="D59" s="4585" t="s">
        <v>1680</v>
      </c>
      <c r="E59" s="2131" t="s">
        <v>1681</v>
      </c>
      <c r="F59" s="2132">
        <f ca="1">F7</f>
        <v>279</v>
      </c>
      <c r="H59" s="2114"/>
      <c r="I59" s="2115" t="s">
        <v>1806</v>
      </c>
      <c r="J59" s="2133">
        <f>SUMPRODUCT((I72:I74=J56)*(J71:L71=J57)*(J72:L74))</f>
        <v>60</v>
      </c>
      <c r="K59" s="2117" t="s">
        <v>1807</v>
      </c>
      <c r="L59" s="2124"/>
      <c r="M59" s="2134"/>
      <c r="O59" s="2125" t="s">
        <v>1808</v>
      </c>
      <c r="P59" s="2126" t="s">
        <v>1809</v>
      </c>
      <c r="Q59" s="2135" t="e">
        <f ca="1">J67</f>
        <v>#VALUE!</v>
      </c>
      <c r="R59" s="2128"/>
    </row>
    <row r="60" spans="1:18" s="826" customFormat="1">
      <c r="A60" s="2136"/>
      <c r="B60" s="4625"/>
      <c r="C60" s="4628"/>
      <c r="D60" s="4585"/>
      <c r="E60" s="2137" t="str">
        <f ca="1">IF(F60=1,"年",IF(F60=12,"月","天"))</f>
        <v>月</v>
      </c>
      <c r="F60" s="1940">
        <f ca="1">F8</f>
        <v>12</v>
      </c>
      <c r="I60" s="2138" t="s">
        <v>1810</v>
      </c>
      <c r="J60" s="2118">
        <f>IF(J58="",J59,J58+J59-YEAR('数据-取费表'!B2))</f>
        <v>60</v>
      </c>
      <c r="K60" s="2139" t="s">
        <v>1811</v>
      </c>
      <c r="L60" s="2140">
        <f ca="1">ROUND(-PV(INDIRECT("'数据-取费表'!h"&amp;$G$1),J60,(C27-C52*C88),0),0)</f>
        <v>-5612</v>
      </c>
      <c r="M60" s="2141"/>
      <c r="O60" s="2125" t="s">
        <v>1812</v>
      </c>
      <c r="P60" s="2126" t="s">
        <v>1813</v>
      </c>
      <c r="Q60" s="2135">
        <f>J61</f>
        <v>7.4999999999999997E-2</v>
      </c>
      <c r="R60" s="2128"/>
    </row>
    <row r="61" spans="1:18" s="826" customFormat="1">
      <c r="A61" s="2142" t="s">
        <v>1044</v>
      </c>
      <c r="B61" s="2130" t="s">
        <v>1682</v>
      </c>
      <c r="C61" s="2143">
        <f ca="1">ROUND(C59*F61,2)</f>
        <v>0</v>
      </c>
      <c r="D61" s="1929" t="s">
        <v>1683</v>
      </c>
      <c r="E61" s="2137" t="s">
        <v>1684</v>
      </c>
      <c r="F61" s="2144"/>
      <c r="I61" s="2145" t="s">
        <v>1814</v>
      </c>
      <c r="J61" s="2146">
        <v>7.4999999999999997E-2</v>
      </c>
      <c r="K61" s="2145" t="s">
        <v>1815</v>
      </c>
      <c r="L61" s="2146"/>
      <c r="O61" s="2125" t="s">
        <v>1816</v>
      </c>
      <c r="P61" s="2126" t="s">
        <v>1817</v>
      </c>
      <c r="Q61" s="2147">
        <f ca="1">J62</f>
        <v>47.54</v>
      </c>
      <c r="R61" s="2128" t="s">
        <v>1818</v>
      </c>
    </row>
    <row r="62" spans="1:18" s="826" customFormat="1" ht="36">
      <c r="A62" s="2148" t="s">
        <v>1016</v>
      </c>
      <c r="B62" s="2149" t="s">
        <v>1685</v>
      </c>
      <c r="C62" s="1932">
        <f ca="1">ROUND(IF(F62="押一",C58/12*F11,IF(F62="押二",C58/12*2*F11,IF(F62="押三",C58/12*3*F11,C63*F11))),2)</f>
        <v>0</v>
      </c>
      <c r="D62" s="1946" t="s">
        <v>1686</v>
      </c>
      <c r="E62" s="1943" t="s">
        <v>1687</v>
      </c>
      <c r="F62" s="2150"/>
      <c r="I62" s="2151" t="s">
        <v>1819</v>
      </c>
      <c r="J62" s="2152">
        <f ca="1">IF(M56="住宅",IF(D1="——",MAX(J60,L57),MAX(J60,L57-'数据-取费表'!B24)),IF(D1="——",MIN(J60,L57),MIN(J60,L57-'数据-取费表'!B24)))</f>
        <v>47.54</v>
      </c>
      <c r="K62" s="4578" t="s">
        <v>1820</v>
      </c>
      <c r="L62" s="4579"/>
      <c r="O62" s="2106" t="s">
        <v>1821</v>
      </c>
      <c r="P62" s="2153" t="s">
        <v>2234</v>
      </c>
      <c r="Q62" s="2108">
        <f ca="1">ROUND((Q56+Q57)*(1+F31),0)</f>
        <v>2019</v>
      </c>
      <c r="R62" s="2109" t="s">
        <v>2235</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1824</v>
      </c>
      <c r="P63" s="1902"/>
      <c r="Q63" s="1902"/>
      <c r="R63" s="1902"/>
    </row>
    <row r="64" spans="1:18" s="826" customFormat="1">
      <c r="A64" s="2161" t="s">
        <v>1068</v>
      </c>
      <c r="B64" s="1957" t="s">
        <v>1689</v>
      </c>
      <c r="C64" s="2162"/>
      <c r="D64" s="1946"/>
      <c r="E64" s="2155"/>
      <c r="F64" s="2156"/>
      <c r="I64" s="2163" t="s">
        <v>1825</v>
      </c>
      <c r="J64" s="2164" t="e">
        <f ca="1">ROUND(IF(J56="钢混",J66/J59,1-(1-2%)*(J59-J66)/J59),3)</f>
        <v>#VALUE!</v>
      </c>
      <c r="K64" s="2165" t="s">
        <v>1826</v>
      </c>
      <c r="L64" s="2166"/>
      <c r="O64" s="2093" t="s">
        <v>952</v>
      </c>
      <c r="P64" s="2094" t="s">
        <v>1789</v>
      </c>
      <c r="Q64" s="2095" t="s">
        <v>1790</v>
      </c>
      <c r="R64" s="2095" t="s">
        <v>1791</v>
      </c>
    </row>
    <row r="65" spans="1:18" s="826" customFormat="1" ht="36">
      <c r="A65" s="2028" t="s">
        <v>1364</v>
      </c>
      <c r="B65" s="2167" t="s">
        <v>1690</v>
      </c>
      <c r="C65" s="1901">
        <f ca="1">ROUND(C66+C74+C76+C78,0)</f>
        <v>16</v>
      </c>
      <c r="D65" s="2167" t="s">
        <v>1827</v>
      </c>
      <c r="E65" s="2168"/>
      <c r="F65" s="2113"/>
      <c r="I65" s="2169" t="s">
        <v>1828</v>
      </c>
      <c r="J65" s="2170" t="s">
        <v>640</v>
      </c>
      <c r="K65" s="2115" t="s">
        <v>1829</v>
      </c>
      <c r="L65" s="2118" t="str">
        <f ca="1">IF(L57&lt;J60,"——",L57-J62)</f>
        <v>——</v>
      </c>
      <c r="O65" s="2106" t="s">
        <v>1438</v>
      </c>
      <c r="P65" s="2107" t="s">
        <v>1854</v>
      </c>
      <c r="Q65" s="2108">
        <f ca="1">C28+J31</f>
        <v>1852</v>
      </c>
      <c r="R65" s="2109" t="s">
        <v>1795</v>
      </c>
    </row>
    <row r="66" spans="1:18" s="826" customFormat="1" ht="24">
      <c r="A66" s="2171" t="s">
        <v>1010</v>
      </c>
      <c r="B66" s="2172" t="s">
        <v>1693</v>
      </c>
      <c r="C66" s="1932">
        <f ca="1">ROUND(IF(AND(项目基本情况!B11="自然人",项目基本情况!B10="北京市",M56="住宅"),C58*F66,C67+C71+C72),2)</f>
        <v>0.48</v>
      </c>
      <c r="D66" s="2173" t="s">
        <v>1694</v>
      </c>
      <c r="E66" s="2173" t="str">
        <f>E14</f>
        <v/>
      </c>
      <c r="F66" s="1972" t="str">
        <f>IF(M56="非住宅","",IF(F58*F59*F60/12/(1+'数据-取费表'!F30)&gt;100000,4%,2.5%))</f>
        <v/>
      </c>
      <c r="I66" s="2174" t="s">
        <v>1830</v>
      </c>
      <c r="J66" s="2175" t="str">
        <f ca="1">IF(OR(M56="住宅",J60&lt;L57,J65="是"),"——",J60-L57)</f>
        <v>——</v>
      </c>
      <c r="K66" s="2115" t="s">
        <v>1831</v>
      </c>
      <c r="L66" s="2176" t="str">
        <f ca="1">IF(L57&lt;J60,"——",IF(L64="比较法",L58,IF(L64="基准地价",L59,L60)))</f>
        <v>——</v>
      </c>
      <c r="O66" s="2106" t="s">
        <v>1442</v>
      </c>
      <c r="P66" s="2107" t="s">
        <v>1832</v>
      </c>
      <c r="Q66" s="2177">
        <f ca="1">L69</f>
        <v>0</v>
      </c>
      <c r="R66" s="2109" t="s">
        <v>1833</v>
      </c>
    </row>
    <row r="67" spans="1:18" s="826" customFormat="1" ht="24">
      <c r="A67" s="1933" t="s">
        <v>1040</v>
      </c>
      <c r="B67" s="1930" t="s">
        <v>1696</v>
      </c>
      <c r="C67" s="1932">
        <f ca="1">C70</f>
        <v>-0.14000000000000001</v>
      </c>
      <c r="D67" s="1039" t="s">
        <v>1697</v>
      </c>
      <c r="E67" s="1974"/>
      <c r="F67" s="1975"/>
      <c r="I67" s="2174" t="s">
        <v>1834</v>
      </c>
      <c r="J67" s="2178" t="e">
        <f ca="1">IF(J64&lt;0.4,0.4,J64)</f>
        <v>#VALUE!</v>
      </c>
      <c r="K67" s="2139" t="s">
        <v>1835</v>
      </c>
      <c r="L67" s="2176" t="e">
        <f ca="1">ROUND(POWER(1+L61,L56-L57)*(POWER(1+L61,L57)-1)/(POWER(1+L61,L56)-1),4)</f>
        <v>#DIV/0!</v>
      </c>
      <c r="O67" s="2125" t="s">
        <v>1803</v>
      </c>
      <c r="P67" s="2126" t="s">
        <v>1836</v>
      </c>
      <c r="Q67" s="2147">
        <f>IF(L64="比较法",L58,IF(L64="基准地价",L59,0))</f>
        <v>0</v>
      </c>
      <c r="R67" s="2128" t="s">
        <v>1805</v>
      </c>
    </row>
    <row r="68" spans="1:18" s="826" customFormat="1" ht="24">
      <c r="A68" s="604" t="s">
        <v>1435</v>
      </c>
      <c r="B68" s="1977" t="s">
        <v>973</v>
      </c>
      <c r="C68" s="1932">
        <f ca="1">ROUND(C58*F68,2)</f>
        <v>0</v>
      </c>
      <c r="D68" s="575" t="s">
        <v>1698</v>
      </c>
      <c r="E68" s="1978" t="s">
        <v>1699</v>
      </c>
      <c r="F68" s="1979">
        <f>F16</f>
        <v>0.09</v>
      </c>
      <c r="I68" s="2174" t="s">
        <v>1837</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1808</v>
      </c>
      <c r="P68" s="2126" t="s">
        <v>1838</v>
      </c>
      <c r="Q68" s="2135">
        <f>L61</f>
        <v>0</v>
      </c>
      <c r="R68" s="2128"/>
    </row>
    <row r="69" spans="1:18" s="826" customFormat="1" ht="15.6">
      <c r="A69" s="604" t="s">
        <v>1444</v>
      </c>
      <c r="B69" s="1977" t="s">
        <v>977</v>
      </c>
      <c r="C69" s="1932">
        <f ca="1">ROUND(C74*F68+((C76+C78)*F69),2)</f>
        <v>1.36</v>
      </c>
      <c r="D69" s="1982" t="s">
        <v>1701</v>
      </c>
      <c r="E69" s="1983"/>
      <c r="F69" s="1979">
        <f t="shared" ref="F69:F70" si="0">F17</f>
        <v>0.06</v>
      </c>
      <c r="I69" s="2180" t="s">
        <v>1839</v>
      </c>
      <c r="J69" s="2181" t="str">
        <f ca="1">IF(OR(M56="住宅",J60&lt;L57,J65="是"),"0",ROUND(J68/(1+J61)^J62,0))</f>
        <v>0</v>
      </c>
      <c r="K69" s="2182" t="s">
        <v>1840</v>
      </c>
      <c r="L69" s="2181">
        <f ca="1">IF(OR(M56="住宅",L57&lt;J60),0,ROUND(L66*(L67/L68-1),0))</f>
        <v>0</v>
      </c>
      <c r="O69" s="2125" t="s">
        <v>1812</v>
      </c>
      <c r="P69" s="2126" t="s">
        <v>1841</v>
      </c>
      <c r="Q69" s="2183" t="e">
        <f ca="1">L67</f>
        <v>#DIV/0!</v>
      </c>
      <c r="R69" s="2128" t="s">
        <v>1842</v>
      </c>
    </row>
    <row r="70" spans="1:18" s="826" customFormat="1">
      <c r="A70" s="604" t="s">
        <v>1447</v>
      </c>
      <c r="B70" s="1977" t="s">
        <v>1702</v>
      </c>
      <c r="C70" s="1932">
        <f ca="1">ROUND((C68-C69)*F70,2)</f>
        <v>-0.14000000000000001</v>
      </c>
      <c r="D70" s="1973" t="s">
        <v>1703</v>
      </c>
      <c r="E70" s="1937" t="s">
        <v>1704</v>
      </c>
      <c r="F70" s="1979">
        <f t="shared" si="0"/>
        <v>0.1</v>
      </c>
      <c r="I70" s="2085"/>
      <c r="J70" s="2085"/>
      <c r="K70" s="2085"/>
      <c r="L70" s="2085"/>
      <c r="O70" s="2125" t="s">
        <v>1816</v>
      </c>
      <c r="P70" s="2126" t="str">
        <f>K68</f>
        <v>续建工期及建筑物耐用年限下的土地年期修正系数Kn</v>
      </c>
      <c r="Q70" s="2183" t="e">
        <f ca="1">L68</f>
        <v>#DIV/0!</v>
      </c>
      <c r="R70" s="2128" t="s">
        <v>1843</v>
      </c>
    </row>
    <row r="71" spans="1:18" s="826" customFormat="1" ht="25.2">
      <c r="A71" s="2184" t="s">
        <v>1044</v>
      </c>
      <c r="B71" s="2172" t="s">
        <v>1705</v>
      </c>
      <c r="C71" s="1932">
        <f ca="1">IF(项目基本情况!B11="自然人","——",IF(D71="按不含税租金收入（有效毛租金收入）计税",ROUND(C58*F71/(1+'数据-取费表'!C43),2),IF(D71="按房产原值计税",ROUND(F74*F71*0.7,2),INDIRECT("'数据-取费表'!Aj"&amp;$G$1))))</f>
        <v>0</v>
      </c>
      <c r="D71" s="1985"/>
      <c r="E71" s="2185" t="s">
        <v>1706</v>
      </c>
      <c r="F71" s="1979">
        <f t="shared" ref="F71:F73" si="1">F19</f>
        <v>0.12</v>
      </c>
      <c r="I71" s="2186" t="s">
        <v>1844</v>
      </c>
      <c r="J71" s="2187" t="s">
        <v>1845</v>
      </c>
      <c r="K71" s="2187" t="s">
        <v>1846</v>
      </c>
      <c r="L71" s="2187" t="s">
        <v>1847</v>
      </c>
      <c r="M71" s="748" t="s">
        <v>1848</v>
      </c>
      <c r="O71" s="2106" t="s">
        <v>1821</v>
      </c>
      <c r="P71" s="2153" t="s">
        <v>2234</v>
      </c>
      <c r="Q71" s="2177">
        <f ca="1">ROUND((Q65+Q66)*(1+F31),0)</f>
        <v>2019</v>
      </c>
      <c r="R71" s="2109" t="s">
        <v>2235</v>
      </c>
    </row>
    <row r="72" spans="1:18" s="826" customFormat="1">
      <c r="A72" s="1933" t="s">
        <v>1047</v>
      </c>
      <c r="B72" s="2188" t="s">
        <v>1707</v>
      </c>
      <c r="C72" s="1948">
        <f ca="1">IF(项目基本情况!B11="自然人","——",ROUND(F72*F73/10000,2))</f>
        <v>0.62</v>
      </c>
      <c r="D72" s="2189" t="s">
        <v>1708</v>
      </c>
      <c r="E72" s="2185" t="s">
        <v>1709</v>
      </c>
      <c r="F72" s="2190">
        <f t="shared" si="1"/>
        <v>1.5</v>
      </c>
      <c r="I72" s="2186" t="s">
        <v>1849</v>
      </c>
      <c r="J72" s="2191">
        <v>70</v>
      </c>
      <c r="K72" s="2191">
        <v>50</v>
      </c>
      <c r="L72" s="2191">
        <v>80</v>
      </c>
      <c r="M72" s="2192">
        <v>0.02</v>
      </c>
      <c r="O72" s="2160" t="s">
        <v>1850</v>
      </c>
      <c r="P72" s="1902"/>
      <c r="Q72" s="1902"/>
      <c r="R72" s="1902"/>
    </row>
    <row r="73" spans="1:18" s="826" customFormat="1">
      <c r="A73" s="1989"/>
      <c r="B73" s="2193"/>
      <c r="C73" s="1991"/>
      <c r="D73" s="2194"/>
      <c r="E73" s="2185" t="s">
        <v>1710</v>
      </c>
      <c r="F73" s="1931">
        <f t="shared" ca="1" si="1"/>
        <v>4124.03</v>
      </c>
      <c r="I73" s="2186" t="s">
        <v>1851</v>
      </c>
      <c r="J73" s="2191">
        <v>50</v>
      </c>
      <c r="K73" s="2191">
        <v>35</v>
      </c>
      <c r="L73" s="2191">
        <v>60</v>
      </c>
      <c r="M73" s="748">
        <v>0</v>
      </c>
      <c r="O73" s="2195" t="s">
        <v>1933</v>
      </c>
      <c r="P73" s="2196" t="s">
        <v>1934</v>
      </c>
      <c r="Q73" s="2197" t="s">
        <v>1935</v>
      </c>
      <c r="R73" s="2197" t="s">
        <v>1936</v>
      </c>
    </row>
    <row r="74" spans="1:18" s="826" customFormat="1">
      <c r="A74" s="2198" t="s">
        <v>1016</v>
      </c>
      <c r="B74" s="2199" t="s">
        <v>1711</v>
      </c>
      <c r="C74" s="1996">
        <f ca="1">ROUND(F74*F75,2)</f>
        <v>15.13</v>
      </c>
      <c r="D74" s="2200" t="s">
        <v>1712</v>
      </c>
      <c r="E74" s="2201" t="s">
        <v>1852</v>
      </c>
      <c r="F74" s="2140">
        <f ca="1">C51</f>
        <v>5042</v>
      </c>
      <c r="I74" s="2186" t="s">
        <v>1853</v>
      </c>
      <c r="J74" s="2191">
        <v>40</v>
      </c>
      <c r="K74" s="2191">
        <v>30</v>
      </c>
      <c r="L74" s="2191">
        <v>50</v>
      </c>
      <c r="M74" s="2192">
        <v>0.02</v>
      </c>
      <c r="O74" s="2106" t="s">
        <v>1438</v>
      </c>
      <c r="P74" s="2107" t="s">
        <v>1854</v>
      </c>
      <c r="Q74" s="2108">
        <f ca="1">C28+J31</f>
        <v>1852</v>
      </c>
      <c r="R74" s="2109" t="s">
        <v>1795</v>
      </c>
    </row>
    <row r="75" spans="1:18" s="826" customFormat="1" ht="15.6">
      <c r="A75" s="2202"/>
      <c r="B75" s="2203"/>
      <c r="C75" s="1998"/>
      <c r="D75" s="2204"/>
      <c r="E75" s="2185" t="s">
        <v>1706</v>
      </c>
      <c r="F75" s="1942">
        <f ca="1">F22</f>
        <v>3.0000000000000001E-3</v>
      </c>
      <c r="O75" s="2106" t="s">
        <v>1442</v>
      </c>
      <c r="P75" s="2107" t="s">
        <v>1832</v>
      </c>
      <c r="Q75" s="2177">
        <f ca="1">L69</f>
        <v>0</v>
      </c>
      <c r="R75" s="2109" t="s">
        <v>1833</v>
      </c>
    </row>
    <row r="76" spans="1:18" s="826" customFormat="1">
      <c r="A76" s="2198" t="s">
        <v>1068</v>
      </c>
      <c r="B76" s="2199" t="s">
        <v>1714</v>
      </c>
      <c r="C76" s="1996">
        <f ca="1">ROUND(F76*F77,2)</f>
        <v>0</v>
      </c>
      <c r="D76" s="2200" t="s">
        <v>1715</v>
      </c>
      <c r="E76" s="2201" t="s">
        <v>1784</v>
      </c>
      <c r="F76" s="2205">
        <f ca="1">C53</f>
        <v>0</v>
      </c>
      <c r="O76" s="2206"/>
      <c r="P76" s="2126"/>
      <c r="Q76" s="2147"/>
      <c r="R76" s="2128"/>
    </row>
    <row r="77" spans="1:18" s="826" customFormat="1" ht="16.8">
      <c r="A77" s="2207"/>
      <c r="B77" s="2203"/>
      <c r="C77" s="1998"/>
      <c r="D77" s="2204"/>
      <c r="E77" s="2185" t="s">
        <v>1706</v>
      </c>
      <c r="F77" s="1942">
        <f ca="1">F24</f>
        <v>1E-3</v>
      </c>
      <c r="O77" s="2125" t="s">
        <v>1803</v>
      </c>
      <c r="P77" s="2126" t="s">
        <v>1836</v>
      </c>
      <c r="Q77" s="2127">
        <f ca="1">L60</f>
        <v>-5612</v>
      </c>
      <c r="R77" s="2128" t="s">
        <v>1855</v>
      </c>
    </row>
    <row r="78" spans="1:18" s="826" customFormat="1">
      <c r="A78" s="2207" t="s">
        <v>1073</v>
      </c>
      <c r="B78" s="2185" t="s">
        <v>1718</v>
      </c>
      <c r="C78" s="1932">
        <f ca="1">ROUND(C57*F78,2)</f>
        <v>0</v>
      </c>
      <c r="D78" s="2208" t="s">
        <v>1719</v>
      </c>
      <c r="E78" s="2185" t="s">
        <v>1706</v>
      </c>
      <c r="F78" s="1942">
        <f ca="1">F26</f>
        <v>5.0000000000000001E-3</v>
      </c>
      <c r="O78" s="2125"/>
      <c r="P78" s="2126"/>
      <c r="Q78" s="2127"/>
      <c r="R78" s="2128"/>
    </row>
    <row r="79" spans="1:18" s="826" customFormat="1" ht="24">
      <c r="A79" s="2209" t="s">
        <v>1478</v>
      </c>
      <c r="B79" s="2210" t="s">
        <v>1720</v>
      </c>
      <c r="C79" s="1901">
        <f ca="1">C57-C65</f>
        <v>-16</v>
      </c>
      <c r="D79" s="2210" t="s">
        <v>1721</v>
      </c>
      <c r="E79" s="2211"/>
      <c r="F79" s="2212"/>
      <c r="O79" s="2125" t="s">
        <v>1808</v>
      </c>
      <c r="P79" s="2213" t="s">
        <v>1856</v>
      </c>
      <c r="Q79" s="2127">
        <f ca="1">ROUND(Q80-Q81*Q82,0)</f>
        <v>-272</v>
      </c>
      <c r="R79" s="2128" t="s">
        <v>1857</v>
      </c>
    </row>
    <row r="80" spans="1:18" s="826" customFormat="1">
      <c r="A80" s="2214" t="s">
        <v>1722</v>
      </c>
      <c r="B80" s="2215" t="s">
        <v>1723</v>
      </c>
      <c r="C80" s="2216">
        <f ca="1">ROUND(C79*(1-((1+F82)/(1+F80))^F81)/(F80-F82),0)</f>
        <v>-289</v>
      </c>
      <c r="D80" s="2217" t="s">
        <v>1858</v>
      </c>
      <c r="E80" s="2167" t="s">
        <v>1725</v>
      </c>
      <c r="F80" s="1942">
        <f ca="1">F28</f>
        <v>0.05</v>
      </c>
      <c r="O80" s="2125" t="s">
        <v>1859</v>
      </c>
      <c r="P80" s="2213" t="s">
        <v>1860</v>
      </c>
      <c r="Q80" s="2127">
        <f ca="1">C27</f>
        <v>81</v>
      </c>
      <c r="R80" s="2128" t="s">
        <v>1805</v>
      </c>
    </row>
    <row r="81" spans="1:18" s="826" customFormat="1">
      <c r="A81" s="2218"/>
      <c r="B81" s="2219"/>
      <c r="C81" s="1922"/>
      <c r="D81" s="2220" t="s">
        <v>1861</v>
      </c>
      <c r="E81" s="2167" t="s">
        <v>1727</v>
      </c>
      <c r="F81" s="2019">
        <f ca="1">F29</f>
        <v>47.54</v>
      </c>
      <c r="O81" s="2125" t="s">
        <v>1862</v>
      </c>
      <c r="P81" s="2213" t="s">
        <v>1863</v>
      </c>
      <c r="Q81" s="2127">
        <f ca="1">C52</f>
        <v>5042</v>
      </c>
      <c r="R81" s="2128" t="s">
        <v>1805</v>
      </c>
    </row>
    <row r="82" spans="1:18" s="826" customFormat="1">
      <c r="A82" s="2221"/>
      <c r="B82" s="2222"/>
      <c r="C82" s="2222"/>
      <c r="D82" s="2223"/>
      <c r="E82" s="2167" t="s">
        <v>1728</v>
      </c>
      <c r="F82" s="2144"/>
      <c r="O82" s="2125" t="s">
        <v>1864</v>
      </c>
      <c r="P82" s="2213" t="s">
        <v>1865</v>
      </c>
      <c r="Q82" s="2135">
        <f ca="1">C88</f>
        <v>7.0000000000000007E-2</v>
      </c>
      <c r="R82" s="2128"/>
    </row>
    <row r="83" spans="1:18" s="826" customFormat="1">
      <c r="A83" s="2224" t="s">
        <v>1729</v>
      </c>
      <c r="B83" s="2225" t="s">
        <v>1866</v>
      </c>
      <c r="C83" s="1966">
        <f ca="1">ROUND(C80*(1+F31),0)</f>
        <v>-315</v>
      </c>
      <c r="D83" s="2226" t="str">
        <f>D31</f>
        <v>其他类型公式—收益价值×（1+9%）</v>
      </c>
      <c r="E83" s="2227"/>
      <c r="F83" s="2228"/>
      <c r="O83" s="2125" t="s">
        <v>1812</v>
      </c>
      <c r="P83" s="2126" t="s">
        <v>1838</v>
      </c>
      <c r="Q83" s="2135">
        <f>L61</f>
        <v>0</v>
      </c>
      <c r="R83" s="2128"/>
    </row>
    <row r="84" spans="1:18" ht="15.6">
      <c r="A84" s="2229" t="s">
        <v>1734</v>
      </c>
      <c r="B84" s="2230" t="s">
        <v>1735</v>
      </c>
      <c r="C84" s="1910">
        <f ca="1">ROUND(C83*10000/F84,0)</f>
        <v>-328</v>
      </c>
      <c r="D84" s="2231" t="s">
        <v>1736</v>
      </c>
      <c r="E84" s="2230" t="s">
        <v>1737</v>
      </c>
      <c r="F84" s="2035">
        <f ca="1">F32</f>
        <v>9602.89</v>
      </c>
      <c r="G84" s="826"/>
      <c r="H84" s="826"/>
      <c r="O84" s="2125" t="s">
        <v>1816</v>
      </c>
      <c r="P84" s="2126" t="s">
        <v>1841</v>
      </c>
      <c r="Q84" s="2232" t="e">
        <f ca="1">L67</f>
        <v>#DIV/0!</v>
      </c>
      <c r="R84" s="2128" t="s">
        <v>1842</v>
      </c>
    </row>
    <row r="85" spans="1:18">
      <c r="A85" s="826"/>
      <c r="B85" s="2083"/>
      <c r="C85" s="2083"/>
      <c r="D85" s="826"/>
      <c r="E85" s="826"/>
      <c r="F85" s="826"/>
      <c r="O85" s="2125" t="s">
        <v>1867</v>
      </c>
      <c r="P85" s="2126" t="str">
        <f>K68</f>
        <v>续建工期及建筑物耐用年限下的土地年期修正系数Kn</v>
      </c>
      <c r="Q85" s="2232" t="e">
        <f ca="1">L68</f>
        <v>#DIV/0!</v>
      </c>
      <c r="R85" s="2128" t="s">
        <v>1843</v>
      </c>
    </row>
    <row r="86" spans="1:18" ht="25.2">
      <c r="A86" s="826"/>
      <c r="B86" s="450" t="s">
        <v>1868</v>
      </c>
      <c r="C86" s="2233"/>
      <c r="D86" s="826"/>
      <c r="E86" s="826"/>
      <c r="F86" s="826"/>
      <c r="K86" s="2075"/>
      <c r="L86" s="826"/>
      <c r="O86" s="2106" t="s">
        <v>1821</v>
      </c>
      <c r="P86" s="2153" t="s">
        <v>2234</v>
      </c>
      <c r="Q86" s="2108">
        <f ca="1">ROUND((Q74+Q75)*(1+F31),0)</f>
        <v>2019</v>
      </c>
      <c r="R86" s="2109" t="s">
        <v>2235</v>
      </c>
    </row>
    <row r="87" spans="1:18">
      <c r="A87" s="826"/>
      <c r="B87" s="2234" t="s">
        <v>1869</v>
      </c>
      <c r="C87" s="2235">
        <f ca="1">ROUND(C53*C88,0)</f>
        <v>0</v>
      </c>
      <c r="D87" s="826"/>
      <c r="E87" s="826"/>
      <c r="F87" s="826"/>
      <c r="I87" s="826"/>
      <c r="J87" s="826"/>
      <c r="K87" s="2075"/>
      <c r="L87" s="826"/>
    </row>
    <row r="88" spans="1:18">
      <c r="B88" s="780" t="s">
        <v>1870</v>
      </c>
      <c r="C88" s="2236">
        <f ca="1">INDIRECT("'数据-取费表'!j"&amp;$G$1)</f>
        <v>7.0000000000000007E-2</v>
      </c>
      <c r="I88" s="826"/>
      <c r="J88" s="826"/>
      <c r="K88" s="2075"/>
      <c r="L88" s="826"/>
    </row>
    <row r="89" spans="1:18">
      <c r="B89" s="2237" t="s">
        <v>1871</v>
      </c>
      <c r="C89" s="2238"/>
    </row>
    <row r="90" spans="1:18">
      <c r="B90" s="448" t="s">
        <v>1872</v>
      </c>
      <c r="C90" s="2239"/>
    </row>
    <row r="91" spans="1:18">
      <c r="B91" s="2234" t="s">
        <v>1873</v>
      </c>
      <c r="C91" s="2240">
        <f ca="1">1-C92</f>
        <v>1</v>
      </c>
    </row>
    <row r="92" spans="1:18">
      <c r="B92" s="2234" t="s">
        <v>1874</v>
      </c>
      <c r="C92" s="2240">
        <f ca="1">ROUND(C87/C27,3)</f>
        <v>0</v>
      </c>
    </row>
    <row r="93" spans="1:18">
      <c r="B93" s="448" t="s">
        <v>1875</v>
      </c>
      <c r="C93" s="418"/>
    </row>
    <row r="94" spans="1:18">
      <c r="B94" s="450" t="s">
        <v>1511</v>
      </c>
      <c r="C94" s="2241">
        <f ca="1">1-C95</f>
        <v>1</v>
      </c>
    </row>
    <row r="95" spans="1:18">
      <c r="B95" s="450" t="s">
        <v>1512</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K39" sqref="K39"/>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2236</v>
      </c>
      <c r="B1" s="1541" t="s">
        <v>631</v>
      </c>
      <c r="C1" s="1542" t="s">
        <v>2150</v>
      </c>
      <c r="D1" s="1543" t="s">
        <v>631</v>
      </c>
      <c r="E1" s="1544" t="s">
        <v>2151</v>
      </c>
      <c r="F1" s="1545" t="s">
        <v>2152</v>
      </c>
      <c r="G1" s="1845" t="s">
        <v>1116</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1117</v>
      </c>
      <c r="B2" s="1553">
        <f>IF(C2="含税",D2,ROUND(D2/(1+H3),0))</f>
        <v>2947</v>
      </c>
      <c r="C2" s="1554" t="s">
        <v>1743</v>
      </c>
      <c r="D2" s="1555">
        <f>IF(E1="项目模式",IF(E2="——",IF(B37="元/平方米",ROUND(C39*D3/10000,0),ROUND(F3*C39/10000,0)),IF(B37="元/平方米",ROUND(C39*D3/10000,0),ROUND(F3*C39/10000,0))-F2),IF(E1="单套模式",IF(E2="——",IF(B37="元/平方米",ROUND(C39*D3/10000,0),ROUND(F3*C39/10000,0)),IF(B37="元/平方米",ROUND(C39*D3/10000,0),ROUND(F3*C39/10000,0))-F2)))</f>
        <v>3212</v>
      </c>
      <c r="E2" s="1556" t="s">
        <v>124</v>
      </c>
      <c r="F2" s="1557" t="e">
        <f ca="1">IF(E1="项目模式",SUMIF(INDIRECT("'"&amp;H2&amp;"'"&amp;"!A:A"),"承租人权益价值",INDIRECT("'"&amp;H2&amp;"'"&amp;"!c:c")),SUMIF(INDIRECT("'"&amp;H2&amp;"'"&amp;"!A:A"),"承租人权益价值（单套）",INDIRECT("'"&amp;H2&amp;"'"&amp;"!c:c")))</f>
        <v>#REF!</v>
      </c>
      <c r="G2" s="1558" t="s">
        <v>1409</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1118</v>
      </c>
      <c r="B3" s="1560">
        <f>IF(AND(E2="——",B37="元/平方米"),C39,ROUND(B2*10000/D3,0))</f>
        <v>3069</v>
      </c>
      <c r="C3" s="1561" t="s">
        <v>1119</v>
      </c>
      <c r="D3" s="1560">
        <f>SUMIF('数据-汇总表'!$C19:$C33,D1,'数据-汇总表'!$E19:$E33)</f>
        <v>9602.89</v>
      </c>
      <c r="E3" s="1561" t="s">
        <v>2237</v>
      </c>
      <c r="F3" s="1210">
        <f>SUMIF('数据-取费表'!A5:A15,D1,'数据-取费表'!AH5:AH15)</f>
        <v>279</v>
      </c>
      <c r="G3" s="1562" t="s">
        <v>1699</v>
      </c>
      <c r="H3" s="1563">
        <v>0.09</v>
      </c>
      <c r="I3" s="1205"/>
      <c r="J3" s="1205"/>
      <c r="K3" s="1207"/>
      <c r="L3" s="1208"/>
      <c r="M3" s="1209">
        <f>IF(E2="——",IF(B37="元/平方米",ROUND(C39*D3/10000,0),ROUND(F3*C39/10000,0)),IF(B37="元/平方米",ROUND(C39*D3/10000,0),ROUND(F3*C39/10000,0))-F2)</f>
        <v>3212</v>
      </c>
      <c r="N3" s="1209"/>
      <c r="O3" s="1209"/>
      <c r="P3" s="1851"/>
      <c r="Q3" s="1197"/>
      <c r="R3" s="1197"/>
      <c r="S3" s="1197"/>
      <c r="T3" s="1197"/>
      <c r="U3" s="1197"/>
      <c r="V3" s="1197"/>
      <c r="W3" s="1197"/>
      <c r="X3" s="1197"/>
      <c r="Y3" s="1197"/>
      <c r="Z3" s="1197"/>
      <c r="AA3" s="1197"/>
      <c r="AB3" s="1212"/>
      <c r="AC3" s="1203"/>
    </row>
    <row r="4" spans="1:29" ht="14.4">
      <c r="A4" s="1564" t="s">
        <v>1123</v>
      </c>
      <c r="B4" s="1565"/>
      <c r="C4" s="4514" t="s">
        <v>1124</v>
      </c>
      <c r="D4" s="4646"/>
      <c r="E4" s="4647" t="s">
        <v>1125</v>
      </c>
      <c r="F4" s="4648"/>
      <c r="G4" s="4514" t="s">
        <v>1126</v>
      </c>
      <c r="H4" s="4646"/>
      <c r="I4" s="4514" t="s">
        <v>1127</v>
      </c>
      <c r="J4" s="4646"/>
      <c r="K4" s="1217" t="s">
        <v>1128</v>
      </c>
      <c r="L4" s="1218"/>
      <c r="M4" s="1219"/>
      <c r="N4" s="1219"/>
      <c r="O4" s="1219"/>
      <c r="P4" s="4630" t="s">
        <v>1129</v>
      </c>
      <c r="Q4" s="4631"/>
      <c r="R4" s="4531" t="s">
        <v>1125</v>
      </c>
      <c r="S4" s="4532"/>
      <c r="T4" s="4531" t="s">
        <v>1126</v>
      </c>
      <c r="U4" s="4532"/>
      <c r="V4" s="4636" t="s">
        <v>1127</v>
      </c>
      <c r="W4" s="4636"/>
      <c r="X4" s="1220"/>
      <c r="Y4" s="4531" t="s">
        <v>1129</v>
      </c>
      <c r="Z4" s="4532"/>
      <c r="AA4" s="4511" t="s">
        <v>1125</v>
      </c>
      <c r="AB4" s="4512" t="s">
        <v>1126</v>
      </c>
      <c r="AC4" s="4511" t="s">
        <v>1127</v>
      </c>
    </row>
    <row r="5" spans="1:29">
      <c r="A5" s="1570"/>
      <c r="B5" s="1571"/>
      <c r="C5" s="4649" t="s">
        <v>1130</v>
      </c>
      <c r="D5" s="4650"/>
      <c r="E5" s="4651" t="s">
        <v>3444</v>
      </c>
      <c r="F5" s="4652"/>
      <c r="G5" s="4653" t="s">
        <v>3445</v>
      </c>
      <c r="H5" s="4650"/>
      <c r="I5" s="4654" t="s">
        <v>2238</v>
      </c>
      <c r="J5" s="4650"/>
      <c r="K5" s="1217"/>
      <c r="L5" s="1218"/>
      <c r="M5" s="1219"/>
      <c r="N5" s="1219"/>
      <c r="O5" s="1219"/>
      <c r="P5" s="4632"/>
      <c r="Q5" s="4633"/>
      <c r="R5" s="4533"/>
      <c r="S5" s="4534"/>
      <c r="T5" s="4533"/>
      <c r="U5" s="4534"/>
      <c r="V5" s="4636"/>
      <c r="W5" s="4636"/>
      <c r="X5" s="1220"/>
      <c r="Y5" s="4533"/>
      <c r="Z5" s="4534"/>
      <c r="AA5" s="4512"/>
      <c r="AB5" s="4512"/>
      <c r="AC5" s="4512"/>
    </row>
    <row r="6" spans="1:29" ht="14.4">
      <c r="A6" s="1573"/>
      <c r="B6" s="1574"/>
      <c r="C6" s="4641" t="s">
        <v>1134</v>
      </c>
      <c r="D6" s="4642"/>
      <c r="E6" s="4643" t="s">
        <v>2157</v>
      </c>
      <c r="F6" s="4644"/>
      <c r="G6" s="4641" t="s">
        <v>2157</v>
      </c>
      <c r="H6" s="4642"/>
      <c r="I6" s="4641" t="s">
        <v>1134</v>
      </c>
      <c r="J6" s="4642"/>
      <c r="K6" s="1217" t="s">
        <v>1135</v>
      </c>
      <c r="L6" s="1218"/>
      <c r="M6" s="1219"/>
      <c r="N6" s="1219"/>
      <c r="O6" s="1219"/>
      <c r="P6" s="4634"/>
      <c r="Q6" s="4635"/>
      <c r="R6" s="4533"/>
      <c r="S6" s="4534"/>
      <c r="T6" s="4535"/>
      <c r="U6" s="4536"/>
      <c r="V6" s="4636"/>
      <c r="W6" s="4636"/>
      <c r="X6" s="1220"/>
      <c r="Y6" s="4535"/>
      <c r="Z6" s="4536"/>
      <c r="AA6" s="4513"/>
      <c r="AB6" s="4513"/>
      <c r="AC6" s="4513"/>
    </row>
    <row r="7" spans="1:29" s="1186" customFormat="1" ht="14.4">
      <c r="A7" s="1576" t="s">
        <v>1136</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42" t="s">
        <v>1138</v>
      </c>
      <c r="Q7" s="4645"/>
      <c r="R7" s="1584" t="s">
        <v>1139</v>
      </c>
      <c r="S7" s="1240">
        <f t="shared" ref="S7:S14" si="0">F7</f>
        <v>100</v>
      </c>
      <c r="T7" s="1584" t="s">
        <v>1139</v>
      </c>
      <c r="U7" s="1240">
        <f t="shared" ref="U7:U14" si="1">H7</f>
        <v>100</v>
      </c>
      <c r="V7" s="1584" t="s">
        <v>1139</v>
      </c>
      <c r="W7" s="1240">
        <f t="shared" ref="W7:W14" si="2">J7</f>
        <v>100</v>
      </c>
      <c r="X7" s="1239"/>
      <c r="Y7" s="4542" t="s">
        <v>1138</v>
      </c>
      <c r="Z7" s="4543"/>
      <c r="AA7" s="1241">
        <f>D7/F7</f>
        <v>1</v>
      </c>
      <c r="AB7" s="1241">
        <f>D7/H7</f>
        <v>1</v>
      </c>
      <c r="AC7" s="1241">
        <f>D7/J7</f>
        <v>1</v>
      </c>
    </row>
    <row r="8" spans="1:29" s="1186" customFormat="1" ht="14.4">
      <c r="A8" s="1576" t="s">
        <v>1140</v>
      </c>
      <c r="B8" s="1577"/>
      <c r="C8" s="1585" t="s">
        <v>1141</v>
      </c>
      <c r="D8" s="1579">
        <v>100</v>
      </c>
      <c r="E8" s="1585" t="s">
        <v>1141</v>
      </c>
      <c r="F8" s="1581">
        <f>SUMIF(51:51,E8,52:52)-SUMIF(51:51,C8,52:52)+100</f>
        <v>100</v>
      </c>
      <c r="G8" s="1585" t="s">
        <v>1141</v>
      </c>
      <c r="H8" s="1583">
        <f>SUMIF(51:51,G8,52:52)-SUMIF(51:51,C8,52:52)+100</f>
        <v>100</v>
      </c>
      <c r="I8" s="1585" t="s">
        <v>1141</v>
      </c>
      <c r="J8" s="1583">
        <f>SUMIF(51:51,I8,52:52)-SUMIF(51:51,C8,52:52)+100</f>
        <v>100</v>
      </c>
      <c r="K8" s="1233"/>
      <c r="L8" s="1234"/>
      <c r="M8" s="1235"/>
      <c r="N8" s="1235"/>
      <c r="O8" s="1235"/>
      <c r="P8" s="4542" t="s">
        <v>1142</v>
      </c>
      <c r="Q8" s="4543"/>
      <c r="R8" s="1584" t="s">
        <v>1139</v>
      </c>
      <c r="S8" s="1240">
        <f t="shared" si="0"/>
        <v>100</v>
      </c>
      <c r="T8" s="1584" t="s">
        <v>1139</v>
      </c>
      <c r="U8" s="1240">
        <f t="shared" si="1"/>
        <v>100</v>
      </c>
      <c r="V8" s="1584" t="s">
        <v>1139</v>
      </c>
      <c r="W8" s="1240">
        <f t="shared" si="2"/>
        <v>100</v>
      </c>
      <c r="X8" s="1239"/>
      <c r="Y8" s="4542" t="s">
        <v>1142</v>
      </c>
      <c r="Z8" s="4543"/>
      <c r="AA8" s="1241">
        <f t="shared" ref="AA8:AA36" si="3">D8/F8</f>
        <v>1</v>
      </c>
      <c r="AB8" s="1241">
        <f t="shared" ref="AB8:AB36" si="4">D8/H8</f>
        <v>1</v>
      </c>
      <c r="AC8" s="1241">
        <f t="shared" ref="AC8:AC36" si="5">D8/J8</f>
        <v>1</v>
      </c>
    </row>
    <row r="9" spans="1:29" s="1186" customFormat="1" ht="14.4">
      <c r="A9" s="1852" t="s">
        <v>1143</v>
      </c>
      <c r="B9" s="1853" t="s">
        <v>1144</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17" t="s">
        <v>1145</v>
      </c>
      <c r="Q9" s="1101" t="str">
        <f t="shared" ref="Q9:Q14" si="6">B9</f>
        <v>用途</v>
      </c>
      <c r="R9" s="1584" t="s">
        <v>1139</v>
      </c>
      <c r="S9" s="1240">
        <f t="shared" si="0"/>
        <v>100</v>
      </c>
      <c r="T9" s="1584" t="s">
        <v>1139</v>
      </c>
      <c r="U9" s="1240">
        <f t="shared" si="1"/>
        <v>100</v>
      </c>
      <c r="V9" s="1584" t="s">
        <v>1139</v>
      </c>
      <c r="W9" s="1240">
        <f t="shared" si="2"/>
        <v>100</v>
      </c>
      <c r="X9" s="1239"/>
      <c r="Y9" s="4550" t="s">
        <v>1146</v>
      </c>
      <c r="Z9" s="1241" t="str">
        <f t="shared" ref="Z9:Z14" si="7">Q9</f>
        <v>用途</v>
      </c>
      <c r="AA9" s="1241">
        <f t="shared" si="3"/>
        <v>1</v>
      </c>
      <c r="AB9" s="1241">
        <f t="shared" si="4"/>
        <v>1</v>
      </c>
      <c r="AC9" s="1241">
        <f t="shared" si="5"/>
        <v>1</v>
      </c>
    </row>
    <row r="10" spans="1:29" s="1187" customFormat="1" ht="28.8">
      <c r="A10" s="1855"/>
      <c r="B10" s="1856" t="s">
        <v>1147</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17"/>
      <c r="Q10" s="1101" t="str">
        <f t="shared" si="6"/>
        <v>土地使用年限（年）</v>
      </c>
      <c r="R10" s="1584" t="s">
        <v>1139</v>
      </c>
      <c r="S10" s="1240">
        <f t="shared" si="0"/>
        <v>100</v>
      </c>
      <c r="T10" s="1584" t="s">
        <v>1139</v>
      </c>
      <c r="U10" s="1240">
        <f t="shared" si="1"/>
        <v>100</v>
      </c>
      <c r="V10" s="1584" t="s">
        <v>1139</v>
      </c>
      <c r="W10" s="1240">
        <f t="shared" si="2"/>
        <v>100</v>
      </c>
      <c r="X10" s="1239"/>
      <c r="Y10" s="4550"/>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17"/>
      <c r="Q11" s="1101">
        <f t="shared" si="6"/>
        <v>111</v>
      </c>
      <c r="R11" s="1584" t="s">
        <v>1139</v>
      </c>
      <c r="S11" s="1240">
        <f t="shared" si="0"/>
        <v>100</v>
      </c>
      <c r="T11" s="1584" t="s">
        <v>1139</v>
      </c>
      <c r="U11" s="1240">
        <f t="shared" si="1"/>
        <v>100</v>
      </c>
      <c r="V11" s="1584" t="s">
        <v>1139</v>
      </c>
      <c r="W11" s="1240">
        <f t="shared" si="2"/>
        <v>100</v>
      </c>
      <c r="X11" s="1239"/>
      <c r="Y11" s="4550"/>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17"/>
      <c r="Q12" s="1101">
        <f t="shared" si="6"/>
        <v>111</v>
      </c>
      <c r="R12" s="1584" t="s">
        <v>1139</v>
      </c>
      <c r="S12" s="1240">
        <f t="shared" si="0"/>
        <v>100</v>
      </c>
      <c r="T12" s="1584" t="s">
        <v>1139</v>
      </c>
      <c r="U12" s="1240">
        <f t="shared" si="1"/>
        <v>100</v>
      </c>
      <c r="V12" s="1584" t="s">
        <v>1139</v>
      </c>
      <c r="W12" s="1240">
        <f t="shared" si="2"/>
        <v>100</v>
      </c>
      <c r="X12" s="1239"/>
      <c r="Y12" s="4550"/>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17"/>
      <c r="Q13" s="1101">
        <f t="shared" si="6"/>
        <v>111</v>
      </c>
      <c r="R13" s="1584" t="s">
        <v>1139</v>
      </c>
      <c r="S13" s="1240">
        <f t="shared" si="0"/>
        <v>100</v>
      </c>
      <c r="T13" s="1584" t="s">
        <v>1139</v>
      </c>
      <c r="U13" s="1240">
        <f t="shared" si="1"/>
        <v>100</v>
      </c>
      <c r="V13" s="1584" t="s">
        <v>1139</v>
      </c>
      <c r="W13" s="1240">
        <f t="shared" si="2"/>
        <v>100</v>
      </c>
      <c r="X13" s="1239"/>
      <c r="Y13" s="4550"/>
      <c r="Z13" s="1241">
        <f t="shared" si="7"/>
        <v>111</v>
      </c>
      <c r="AA13" s="1241">
        <f t="shared" si="3"/>
        <v>1</v>
      </c>
      <c r="AB13" s="1241">
        <f t="shared" si="4"/>
        <v>1</v>
      </c>
      <c r="AC13" s="1241">
        <f t="shared" si="5"/>
        <v>1</v>
      </c>
    </row>
    <row r="14" spans="1:29" ht="43.2">
      <c r="A14" s="1564" t="s">
        <v>1151</v>
      </c>
      <c r="B14" s="1743" t="s">
        <v>1158</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2239</v>
      </c>
      <c r="J14" s="1612">
        <f>SUMIF(63:63,I15,64:64)-SUMIF(63:63,C15,64:64)+100</f>
        <v>110</v>
      </c>
      <c r="K14" s="1613">
        <f>'比较法-住宅'!K17</f>
        <v>5</v>
      </c>
      <c r="L14" s="1273"/>
      <c r="M14" s="1219"/>
      <c r="N14" s="1219"/>
      <c r="O14" s="1219"/>
      <c r="P14" s="4551" t="s">
        <v>1154</v>
      </c>
      <c r="Q14" s="1394" t="str">
        <f t="shared" si="6"/>
        <v>交通便捷度</v>
      </c>
      <c r="R14" s="1614" t="s">
        <v>1139</v>
      </c>
      <c r="S14" s="1615">
        <f t="shared" si="0"/>
        <v>100</v>
      </c>
      <c r="T14" s="1614" t="s">
        <v>1139</v>
      </c>
      <c r="U14" s="1615">
        <f t="shared" si="1"/>
        <v>100</v>
      </c>
      <c r="V14" s="1614" t="s">
        <v>1139</v>
      </c>
      <c r="W14" s="1615">
        <f t="shared" si="2"/>
        <v>110</v>
      </c>
      <c r="X14" s="1220"/>
      <c r="Y14" s="4551" t="s">
        <v>1154</v>
      </c>
      <c r="Z14" s="1288" t="str">
        <f t="shared" si="7"/>
        <v>交通便捷度</v>
      </c>
      <c r="AA14" s="1288">
        <f t="shared" si="3"/>
        <v>1</v>
      </c>
      <c r="AB14" s="1288">
        <f t="shared" si="4"/>
        <v>1</v>
      </c>
      <c r="AC14" s="1288">
        <f t="shared" si="5"/>
        <v>0.90909090909090895</v>
      </c>
    </row>
    <row r="15" spans="1:29" ht="15">
      <c r="A15" s="1570"/>
      <c r="B15" s="1737"/>
      <c r="C15" s="1616" t="s">
        <v>1160</v>
      </c>
      <c r="D15" s="1617"/>
      <c r="E15" s="1616" t="s">
        <v>1160</v>
      </c>
      <c r="F15" s="1575"/>
      <c r="G15" s="1616" t="s">
        <v>1160</v>
      </c>
      <c r="H15" s="1618"/>
      <c r="I15" s="1616" t="s">
        <v>1162</v>
      </c>
      <c r="J15" s="1475"/>
      <c r="K15" s="1619"/>
      <c r="L15" s="1273"/>
      <c r="M15" s="1219"/>
      <c r="N15" s="1219"/>
      <c r="O15" s="1219"/>
      <c r="P15" s="4552"/>
      <c r="Q15" s="1394"/>
      <c r="R15" s="1614"/>
      <c r="S15" s="1615"/>
      <c r="T15" s="1614"/>
      <c r="U15" s="1615"/>
      <c r="V15" s="1614"/>
      <c r="W15" s="1615"/>
      <c r="X15" s="1220"/>
      <c r="Y15" s="4552"/>
      <c r="Z15" s="1288"/>
      <c r="AA15" s="1288">
        <v>1</v>
      </c>
      <c r="AB15" s="1288">
        <v>1</v>
      </c>
      <c r="AC15" s="1288">
        <v>1</v>
      </c>
    </row>
    <row r="16" spans="1:29" ht="158.4">
      <c r="A16" s="1570"/>
      <c r="B16" s="1750" t="s">
        <v>1165</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2240</v>
      </c>
      <c r="J16" s="1625">
        <f>SUMIF(65:65,I17,66:66)-SUMIF(65:65,C17,66:66)+100</f>
        <v>103</v>
      </c>
      <c r="K16" s="1613">
        <v>3</v>
      </c>
      <c r="L16" s="1273"/>
      <c r="M16" s="1219"/>
      <c r="N16" s="1219"/>
      <c r="O16" s="1219"/>
      <c r="P16" s="4552"/>
      <c r="Q16" s="1394" t="str">
        <f>B16</f>
        <v>公共配套设施</v>
      </c>
      <c r="R16" s="1614" t="s">
        <v>1139</v>
      </c>
      <c r="S16" s="1615">
        <f>F16</f>
        <v>100</v>
      </c>
      <c r="T16" s="1614" t="s">
        <v>1139</v>
      </c>
      <c r="U16" s="1615">
        <f>H16</f>
        <v>100</v>
      </c>
      <c r="V16" s="1614" t="s">
        <v>1139</v>
      </c>
      <c r="W16" s="1615">
        <f>J16</f>
        <v>103</v>
      </c>
      <c r="X16" s="1220"/>
      <c r="Y16" s="4552"/>
      <c r="Z16" s="1288" t="str">
        <f>Q16</f>
        <v>公共配套设施</v>
      </c>
      <c r="AA16" s="1288">
        <f t="shared" si="3"/>
        <v>1</v>
      </c>
      <c r="AB16" s="1288">
        <f t="shared" si="4"/>
        <v>1</v>
      </c>
      <c r="AC16" s="1288">
        <f t="shared" si="5"/>
        <v>0.970873786407767</v>
      </c>
    </row>
    <row r="17" spans="1:29" ht="15">
      <c r="A17" s="1570"/>
      <c r="B17" s="1704"/>
      <c r="C17" s="1627" t="s">
        <v>1160</v>
      </c>
      <c r="D17" s="1617"/>
      <c r="E17" s="1627" t="s">
        <v>1160</v>
      </c>
      <c r="F17" s="1575"/>
      <c r="G17" s="1627" t="s">
        <v>1160</v>
      </c>
      <c r="H17" s="1475"/>
      <c r="I17" s="1616" t="s">
        <v>1155</v>
      </c>
      <c r="J17" s="1475"/>
      <c r="K17" s="1619"/>
      <c r="L17" s="1273"/>
      <c r="M17" s="1219"/>
      <c r="N17" s="1219"/>
      <c r="O17" s="1219"/>
      <c r="P17" s="4552"/>
      <c r="Q17" s="1394"/>
      <c r="R17" s="1614"/>
      <c r="S17" s="1615"/>
      <c r="T17" s="1614"/>
      <c r="U17" s="1615"/>
      <c r="V17" s="1614"/>
      <c r="W17" s="1615"/>
      <c r="X17" s="1220"/>
      <c r="Y17" s="4552"/>
      <c r="Z17" s="1288"/>
      <c r="AA17" s="1288">
        <v>1</v>
      </c>
      <c r="AB17" s="1288">
        <v>1</v>
      </c>
      <c r="AC17" s="1288">
        <v>1</v>
      </c>
    </row>
    <row r="18" spans="1:29" ht="15">
      <c r="A18" s="1570"/>
      <c r="B18" s="1637" t="s">
        <v>1167</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52"/>
      <c r="Q18" s="1394" t="str">
        <f>B18</f>
        <v>基础设施水平</v>
      </c>
      <c r="R18" s="1614" t="s">
        <v>1139</v>
      </c>
      <c r="S18" s="1615">
        <f>F18</f>
        <v>100</v>
      </c>
      <c r="T18" s="1614" t="s">
        <v>1139</v>
      </c>
      <c r="U18" s="1615">
        <f>H18</f>
        <v>100</v>
      </c>
      <c r="V18" s="1614" t="s">
        <v>1139</v>
      </c>
      <c r="W18" s="1615">
        <f>J18</f>
        <v>100</v>
      </c>
      <c r="X18" s="1220"/>
      <c r="Y18" s="4552"/>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52"/>
      <c r="Q19" s="1394"/>
      <c r="R19" s="1614"/>
      <c r="S19" s="1615"/>
      <c r="T19" s="1614"/>
      <c r="U19" s="1615"/>
      <c r="V19" s="1614"/>
      <c r="W19" s="1615"/>
      <c r="X19" s="1220"/>
      <c r="Y19" s="4552"/>
      <c r="Z19" s="1288"/>
      <c r="AA19" s="1288">
        <v>1</v>
      </c>
      <c r="AB19" s="1288">
        <v>1</v>
      </c>
      <c r="AC19" s="1288">
        <v>1</v>
      </c>
    </row>
    <row r="20" spans="1:29" ht="100.8">
      <c r="A20" s="1570"/>
      <c r="B20" s="1750" t="s">
        <v>2161</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2241</v>
      </c>
      <c r="J20" s="1618">
        <f>SUMIF(69:69,I21,70:70)-SUMIF(69:69,C21,70:70)+100</f>
        <v>103</v>
      </c>
      <c r="K20" s="1613">
        <v>3</v>
      </c>
      <c r="L20" s="1273"/>
      <c r="M20" s="1219"/>
      <c r="N20" s="1219"/>
      <c r="O20" s="1219"/>
      <c r="P20" s="4552"/>
      <c r="Q20" s="1394" t="str">
        <f>B20</f>
        <v>自然及人文环境</v>
      </c>
      <c r="R20" s="1614" t="s">
        <v>1139</v>
      </c>
      <c r="S20" s="1615">
        <f>F20</f>
        <v>100</v>
      </c>
      <c r="T20" s="1614" t="s">
        <v>1139</v>
      </c>
      <c r="U20" s="1615">
        <f>H20</f>
        <v>100</v>
      </c>
      <c r="V20" s="1614" t="s">
        <v>1139</v>
      </c>
      <c r="W20" s="1615">
        <f>J20</f>
        <v>103</v>
      </c>
      <c r="X20" s="1220"/>
      <c r="Y20" s="4552"/>
      <c r="Z20" s="1288" t="str">
        <f>Q20</f>
        <v>自然及人文环境</v>
      </c>
      <c r="AA20" s="1288">
        <f t="shared" si="3"/>
        <v>1</v>
      </c>
      <c r="AB20" s="1288">
        <f t="shared" si="4"/>
        <v>1</v>
      </c>
      <c r="AC20" s="1288">
        <f t="shared" si="5"/>
        <v>0.970873786407767</v>
      </c>
    </row>
    <row r="21" spans="1:29" ht="15">
      <c r="A21" s="1570"/>
      <c r="B21" s="1704"/>
      <c r="C21" s="1616" t="s">
        <v>1155</v>
      </c>
      <c r="D21" s="1617"/>
      <c r="E21" s="1616" t="s">
        <v>1155</v>
      </c>
      <c r="F21" s="1575"/>
      <c r="G21" s="1616" t="s">
        <v>1155</v>
      </c>
      <c r="H21" s="1475"/>
      <c r="I21" s="1616" t="s">
        <v>1162</v>
      </c>
      <c r="J21" s="1475"/>
      <c r="K21" s="1619"/>
      <c r="L21" s="1273"/>
      <c r="M21" s="1219"/>
      <c r="N21" s="1219"/>
      <c r="O21" s="1219"/>
      <c r="P21" s="4552"/>
      <c r="Q21" s="1394"/>
      <c r="R21" s="1614"/>
      <c r="S21" s="1615"/>
      <c r="T21" s="1614"/>
      <c r="U21" s="1615"/>
      <c r="V21" s="1614"/>
      <c r="W21" s="1615"/>
      <c r="X21" s="1220"/>
      <c r="Y21" s="4552"/>
      <c r="Z21" s="1288"/>
      <c r="AA21" s="1288">
        <v>1</v>
      </c>
      <c r="AB21" s="1288">
        <v>1</v>
      </c>
      <c r="AC21" s="1288">
        <v>1</v>
      </c>
    </row>
    <row r="22" spans="1:29" ht="15">
      <c r="A22" s="1570"/>
      <c r="B22" s="1750" t="s">
        <v>2242</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52"/>
      <c r="Q22" s="1394" t="str">
        <f>B22</f>
        <v>楼层</v>
      </c>
      <c r="R22" s="1614" t="s">
        <v>1139</v>
      </c>
      <c r="S22" s="1615">
        <f>F22</f>
        <v>100</v>
      </c>
      <c r="T22" s="1614" t="s">
        <v>1139</v>
      </c>
      <c r="U22" s="1615">
        <f>H22</f>
        <v>100</v>
      </c>
      <c r="V22" s="1614" t="s">
        <v>1139</v>
      </c>
      <c r="W22" s="1615">
        <f>J22</f>
        <v>100</v>
      </c>
      <c r="X22" s="1220"/>
      <c r="Y22" s="4552"/>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52"/>
      <c r="Q23" s="1394">
        <f>B23</f>
        <v>111</v>
      </c>
      <c r="R23" s="1614" t="s">
        <v>1139</v>
      </c>
      <c r="S23" s="1615">
        <f>F23</f>
        <v>100</v>
      </c>
      <c r="T23" s="1614" t="s">
        <v>1139</v>
      </c>
      <c r="U23" s="1615">
        <f>H23</f>
        <v>100</v>
      </c>
      <c r="V23" s="1614" t="s">
        <v>1139</v>
      </c>
      <c r="W23" s="1615">
        <f>J23</f>
        <v>100</v>
      </c>
      <c r="X23" s="1220"/>
      <c r="Y23" s="4552"/>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52"/>
      <c r="Q24" s="1394">
        <f t="shared" ref="Q24:Q36" si="11">B24</f>
        <v>111</v>
      </c>
      <c r="R24" s="1614" t="s">
        <v>1139</v>
      </c>
      <c r="S24" s="1615">
        <f>F24</f>
        <v>100</v>
      </c>
      <c r="T24" s="1614" t="s">
        <v>1139</v>
      </c>
      <c r="U24" s="1615">
        <f>H24</f>
        <v>100</v>
      </c>
      <c r="V24" s="1614" t="s">
        <v>1139</v>
      </c>
      <c r="W24" s="1615">
        <f>J24</f>
        <v>100</v>
      </c>
      <c r="X24" s="1220"/>
      <c r="Y24" s="4552"/>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52"/>
      <c r="Q25" s="1101">
        <f t="shared" si="11"/>
        <v>111</v>
      </c>
      <c r="R25" s="1584" t="s">
        <v>1139</v>
      </c>
      <c r="S25" s="1240">
        <f>F25</f>
        <v>100</v>
      </c>
      <c r="T25" s="1584" t="s">
        <v>1139</v>
      </c>
      <c r="U25" s="1240">
        <f>H25</f>
        <v>100</v>
      </c>
      <c r="V25" s="1584" t="s">
        <v>1139</v>
      </c>
      <c r="W25" s="1240">
        <f>J25</f>
        <v>100</v>
      </c>
      <c r="X25" s="1239"/>
      <c r="Y25" s="4552"/>
      <c r="Z25" s="1241">
        <f>Q25</f>
        <v>111</v>
      </c>
      <c r="AA25" s="1288">
        <f t="shared" si="3"/>
        <v>1</v>
      </c>
      <c r="AB25" s="1288">
        <f t="shared" si="4"/>
        <v>1</v>
      </c>
      <c r="AC25" s="1288">
        <f t="shared" si="5"/>
        <v>1</v>
      </c>
    </row>
    <row r="26" spans="1:29" ht="30">
      <c r="A26" s="1867" t="s">
        <v>1174</v>
      </c>
      <c r="B26" s="1591" t="s">
        <v>2243</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40" t="s">
        <v>1173</v>
      </c>
      <c r="Q26" s="1394" t="str">
        <f t="shared" si="11"/>
        <v>配套类型</v>
      </c>
      <c r="R26" s="1614" t="s">
        <v>1139</v>
      </c>
      <c r="S26" s="1615">
        <f t="shared" ref="S26:S36" si="12">F26</f>
        <v>100</v>
      </c>
      <c r="T26" s="1614" t="s">
        <v>1139</v>
      </c>
      <c r="U26" s="1615">
        <f t="shared" ref="U26:U36" si="13">H26</f>
        <v>100</v>
      </c>
      <c r="V26" s="1614" t="s">
        <v>1139</v>
      </c>
      <c r="W26" s="1615">
        <f t="shared" ref="W26:W36" si="14">J26</f>
        <v>100</v>
      </c>
      <c r="X26" s="1220"/>
      <c r="Y26" s="4553" t="s">
        <v>1173</v>
      </c>
      <c r="Z26" s="1288" t="str">
        <f t="shared" ref="Z26:Z36" si="15">Q26</f>
        <v>配套类型</v>
      </c>
      <c r="AA26" s="1288">
        <f t="shared" si="3"/>
        <v>1</v>
      </c>
      <c r="AB26" s="1288">
        <f t="shared" si="4"/>
        <v>1</v>
      </c>
      <c r="AC26" s="1288">
        <f t="shared" si="5"/>
        <v>1</v>
      </c>
    </row>
    <row r="27" spans="1:29" s="1188" customFormat="1" ht="15">
      <c r="A27" s="1869"/>
      <c r="B27" s="1596" t="s">
        <v>2244</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53"/>
      <c r="Q27" s="1644" t="str">
        <f t="shared" si="11"/>
        <v>项目停车位配比</v>
      </c>
      <c r="R27" s="1645" t="s">
        <v>1139</v>
      </c>
      <c r="S27" s="1646">
        <f t="shared" si="12"/>
        <v>100</v>
      </c>
      <c r="T27" s="1645" t="s">
        <v>1139</v>
      </c>
      <c r="U27" s="1646">
        <f t="shared" si="13"/>
        <v>100</v>
      </c>
      <c r="V27" s="1645" t="s">
        <v>1139</v>
      </c>
      <c r="W27" s="1646">
        <f t="shared" si="14"/>
        <v>100</v>
      </c>
      <c r="X27" s="1330"/>
      <c r="Y27" s="4553"/>
      <c r="Z27" s="1331" t="str">
        <f t="shared" si="15"/>
        <v>项目停车位配比</v>
      </c>
      <c r="AA27" s="1288">
        <f t="shared" si="3"/>
        <v>1</v>
      </c>
      <c r="AB27" s="1288">
        <f t="shared" si="4"/>
        <v>1</v>
      </c>
      <c r="AC27" s="1288">
        <f t="shared" si="5"/>
        <v>1</v>
      </c>
    </row>
    <row r="28" spans="1:29" ht="15">
      <c r="A28" s="1871"/>
      <c r="B28" s="1596" t="s">
        <v>2174</v>
      </c>
      <c r="C28" s="1647" t="s">
        <v>2198</v>
      </c>
      <c r="D28" s="1602">
        <v>100</v>
      </c>
      <c r="E28" s="1647" t="s">
        <v>2198</v>
      </c>
      <c r="F28" s="1634">
        <f>SUMIF(83:83,E28,84:84)-SUMIF(83:83,C28,84:84)+100</f>
        <v>100</v>
      </c>
      <c r="G28" s="1647" t="s">
        <v>2198</v>
      </c>
      <c r="H28" s="1605">
        <f>SUMIF(83:83,G28,84:84)-SUMIF(83:83,C28,84:84)+100</f>
        <v>100</v>
      </c>
      <c r="I28" s="1647" t="s">
        <v>2198</v>
      </c>
      <c r="J28" s="1605">
        <f>SUMIF(83:83,I28,84:84)-SUMIF(83:83,C28,84:84)+100</f>
        <v>100</v>
      </c>
      <c r="K28" s="1316">
        <v>2</v>
      </c>
      <c r="L28" s="1273"/>
      <c r="M28" s="1219"/>
      <c r="N28" s="1219"/>
      <c r="O28" s="1219"/>
      <c r="P28" s="4553"/>
      <c r="Q28" s="1394" t="str">
        <f t="shared" si="11"/>
        <v>公共部分装修</v>
      </c>
      <c r="R28" s="1614" t="s">
        <v>1139</v>
      </c>
      <c r="S28" s="1615">
        <f t="shared" si="12"/>
        <v>100</v>
      </c>
      <c r="T28" s="1614" t="s">
        <v>1139</v>
      </c>
      <c r="U28" s="1615">
        <f t="shared" si="13"/>
        <v>100</v>
      </c>
      <c r="V28" s="1614" t="s">
        <v>1139</v>
      </c>
      <c r="W28" s="1615">
        <f t="shared" si="14"/>
        <v>100</v>
      </c>
      <c r="X28" s="1220"/>
      <c r="Y28" s="4553"/>
      <c r="Z28" s="1288" t="str">
        <f t="shared" si="15"/>
        <v>公共部分装修</v>
      </c>
      <c r="AA28" s="1288">
        <f t="shared" si="3"/>
        <v>1</v>
      </c>
      <c r="AB28" s="1288">
        <f t="shared" si="4"/>
        <v>1</v>
      </c>
      <c r="AC28" s="1288">
        <f t="shared" si="5"/>
        <v>1</v>
      </c>
    </row>
    <row r="29" spans="1:29" ht="15">
      <c r="A29" s="1871"/>
      <c r="B29" s="1596" t="s">
        <v>2245</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53"/>
      <c r="Q29" s="1394" t="str">
        <f t="shared" si="11"/>
        <v>成新率</v>
      </c>
      <c r="R29" s="1614" t="s">
        <v>1139</v>
      </c>
      <c r="S29" s="1615">
        <f t="shared" si="12"/>
        <v>100</v>
      </c>
      <c r="T29" s="1614" t="s">
        <v>1139</v>
      </c>
      <c r="U29" s="1615">
        <f t="shared" si="13"/>
        <v>100</v>
      </c>
      <c r="V29" s="1614" t="s">
        <v>1139</v>
      </c>
      <c r="W29" s="1615">
        <f t="shared" si="14"/>
        <v>100</v>
      </c>
      <c r="X29" s="1220"/>
      <c r="Y29" s="4553"/>
      <c r="Z29" s="1288" t="str">
        <f t="shared" si="15"/>
        <v>成新率</v>
      </c>
      <c r="AA29" s="1288">
        <f t="shared" si="3"/>
        <v>1</v>
      </c>
      <c r="AB29" s="1288">
        <f t="shared" si="4"/>
        <v>1</v>
      </c>
      <c r="AC29" s="1288">
        <f t="shared" si="5"/>
        <v>1</v>
      </c>
    </row>
    <row r="30" spans="1:29" ht="15">
      <c r="A30" s="1871"/>
      <c r="B30" s="1596" t="s">
        <v>2246</v>
      </c>
      <c r="C30" s="1648" t="s">
        <v>2177</v>
      </c>
      <c r="D30" s="1602">
        <v>100</v>
      </c>
      <c r="E30" s="1648" t="s">
        <v>2177</v>
      </c>
      <c r="F30" s="1634">
        <f>SUMIF(88:88,E30,89:89)-SUMIF(88:88,C30,89:89)+100</f>
        <v>100</v>
      </c>
      <c r="G30" s="1648" t="s">
        <v>2177</v>
      </c>
      <c r="H30" s="1605">
        <f>SUMIF(88:88,E30,89:89)-SUMIF(88:88,C30,89:89)+100</f>
        <v>100</v>
      </c>
      <c r="I30" s="1648" t="s">
        <v>2177</v>
      </c>
      <c r="J30" s="1605">
        <f>SUMIF(88:88,E30,89:89)-SUMIF(88:88,C30,89:89)+100</f>
        <v>100</v>
      </c>
      <c r="K30" s="1316">
        <v>2</v>
      </c>
      <c r="L30" s="1273"/>
      <c r="M30" s="1219"/>
      <c r="N30" s="1219"/>
      <c r="O30" s="1219"/>
      <c r="P30" s="4553"/>
      <c r="Q30" s="1394" t="str">
        <f t="shared" si="11"/>
        <v>物业等级</v>
      </c>
      <c r="R30" s="1614" t="s">
        <v>1139</v>
      </c>
      <c r="S30" s="1615">
        <f t="shared" si="12"/>
        <v>100</v>
      </c>
      <c r="T30" s="1614" t="s">
        <v>1139</v>
      </c>
      <c r="U30" s="1615">
        <f t="shared" si="13"/>
        <v>100</v>
      </c>
      <c r="V30" s="1614" t="s">
        <v>1139</v>
      </c>
      <c r="W30" s="1615">
        <f t="shared" si="14"/>
        <v>100</v>
      </c>
      <c r="X30" s="1220"/>
      <c r="Y30" s="4553"/>
      <c r="Z30" s="1288" t="str">
        <f t="shared" si="15"/>
        <v>物业等级</v>
      </c>
      <c r="AA30" s="1288">
        <f t="shared" si="3"/>
        <v>1</v>
      </c>
      <c r="AB30" s="1288">
        <f t="shared" si="4"/>
        <v>1</v>
      </c>
      <c r="AC30" s="1288">
        <f t="shared" si="5"/>
        <v>1</v>
      </c>
    </row>
    <row r="31" spans="1:29" s="1186" customFormat="1" ht="15">
      <c r="A31" s="1872"/>
      <c r="B31" s="1596" t="s">
        <v>2247</v>
      </c>
      <c r="C31" s="1873">
        <v>13.25</v>
      </c>
      <c r="D31" s="1595">
        <v>100</v>
      </c>
      <c r="E31" s="1873">
        <v>12.74</v>
      </c>
      <c r="F31" s="1634">
        <f>LOOKUP(E31,91:91,92:92)-LOOKUP(C31,91:91,92:92)+100</f>
        <v>99</v>
      </c>
      <c r="G31" s="1873">
        <v>12.72</v>
      </c>
      <c r="H31" s="1605">
        <f>LOOKUP(G31,91:91,92:92)-LOOKUP(C31,91:91,92:92)+100</f>
        <v>99</v>
      </c>
      <c r="I31" s="1873">
        <v>13.25</v>
      </c>
      <c r="J31" s="1605">
        <f>LOOKUP(I31,91:91,92:92)-LOOKUP(C31,91:91,92:92)+100</f>
        <v>100</v>
      </c>
      <c r="K31" s="1316">
        <v>1</v>
      </c>
      <c r="L31" s="1234"/>
      <c r="M31" s="1235"/>
      <c r="N31" s="1235"/>
      <c r="O31" s="1235"/>
      <c r="P31" s="4553"/>
      <c r="Q31" s="1101" t="str">
        <f t="shared" si="11"/>
        <v>停车位面积</v>
      </c>
      <c r="R31" s="1584" t="s">
        <v>1139</v>
      </c>
      <c r="S31" s="1240">
        <f t="shared" si="12"/>
        <v>99</v>
      </c>
      <c r="T31" s="1584" t="s">
        <v>1139</v>
      </c>
      <c r="U31" s="1240">
        <f t="shared" si="13"/>
        <v>99</v>
      </c>
      <c r="V31" s="1584" t="s">
        <v>1139</v>
      </c>
      <c r="W31" s="1240">
        <f t="shared" si="14"/>
        <v>100</v>
      </c>
      <c r="X31" s="1239"/>
      <c r="Y31" s="4553"/>
      <c r="Z31" s="1241" t="str">
        <f t="shared" si="15"/>
        <v>停车位面积</v>
      </c>
      <c r="AA31" s="1241">
        <f t="shared" si="3"/>
        <v>1.0101010101010102</v>
      </c>
      <c r="AB31" s="1241">
        <f t="shared" si="4"/>
        <v>1.0101010101010102</v>
      </c>
      <c r="AC31" s="1241">
        <f t="shared" si="5"/>
        <v>1</v>
      </c>
    </row>
    <row r="32" spans="1:29" ht="15">
      <c r="A32" s="1871"/>
      <c r="B32" s="1596" t="s">
        <v>2248</v>
      </c>
      <c r="C32" s="1647" t="s">
        <v>2249</v>
      </c>
      <c r="D32" s="1602">
        <v>100</v>
      </c>
      <c r="E32" s="1647" t="s">
        <v>2249</v>
      </c>
      <c r="F32" s="1634">
        <f>SUMIF(93:93,E32,94:94)-SUMIF(93:93,C32,94:94)+100</f>
        <v>100</v>
      </c>
      <c r="G32" s="1647" t="s">
        <v>2249</v>
      </c>
      <c r="H32" s="1605">
        <f>SUMIF(93:93,G32,94:94)-SUMIF(93:93,C32,94:94)+100</f>
        <v>100</v>
      </c>
      <c r="I32" s="1647" t="s">
        <v>2249</v>
      </c>
      <c r="J32" s="1605">
        <f>SUMIF(93:93,I32,94:94)-SUMIF(93:93,C32,94:94)+100</f>
        <v>100</v>
      </c>
      <c r="K32" s="1316">
        <v>2</v>
      </c>
      <c r="L32" s="1273"/>
      <c r="M32" s="1219"/>
      <c r="N32" s="1219"/>
      <c r="O32" s="1219"/>
      <c r="P32" s="4553" t="s">
        <v>1173</v>
      </c>
      <c r="Q32" s="1394" t="str">
        <f t="shared" si="11"/>
        <v>车位类型</v>
      </c>
      <c r="R32" s="1614" t="s">
        <v>1139</v>
      </c>
      <c r="S32" s="1615">
        <f t="shared" si="12"/>
        <v>100</v>
      </c>
      <c r="T32" s="1614" t="s">
        <v>1139</v>
      </c>
      <c r="U32" s="1615">
        <f t="shared" si="13"/>
        <v>100</v>
      </c>
      <c r="V32" s="1614" t="s">
        <v>1139</v>
      </c>
      <c r="W32" s="1615">
        <f t="shared" si="14"/>
        <v>100</v>
      </c>
      <c r="X32" s="1220"/>
      <c r="Y32" s="4553" t="s">
        <v>1173</v>
      </c>
      <c r="Z32" s="1288" t="str">
        <f t="shared" si="15"/>
        <v>车位类型</v>
      </c>
      <c r="AA32" s="1288">
        <f t="shared" si="3"/>
        <v>1</v>
      </c>
      <c r="AB32" s="1288">
        <f t="shared" si="4"/>
        <v>1</v>
      </c>
      <c r="AC32" s="1288">
        <f t="shared" si="5"/>
        <v>1</v>
      </c>
    </row>
    <row r="33" spans="1:29" ht="15">
      <c r="A33" s="1871"/>
      <c r="B33" s="1596" t="s">
        <v>2250</v>
      </c>
      <c r="C33" s="1647" t="s">
        <v>1247</v>
      </c>
      <c r="D33" s="1602">
        <v>100</v>
      </c>
      <c r="E33" s="1647" t="s">
        <v>1247</v>
      </c>
      <c r="F33" s="1634">
        <f>SUMIF(95:95,E33,96:96)-SUMIF(95:95,C33,96:96)+100</f>
        <v>100</v>
      </c>
      <c r="G33" s="1647" t="s">
        <v>1247</v>
      </c>
      <c r="H33" s="1605">
        <f>SUMIF(95:95,G33,96:96)-SUMIF(95:95,C33,96:96)+100</f>
        <v>100</v>
      </c>
      <c r="I33" s="1647" t="s">
        <v>1247</v>
      </c>
      <c r="J33" s="1605">
        <f>SUMIF(95:95,I33,96:96)-SUMIF(95:95,C33,96:96)+100</f>
        <v>100</v>
      </c>
      <c r="K33" s="1316">
        <v>2</v>
      </c>
      <c r="L33" s="1273"/>
      <c r="M33" s="1219"/>
      <c r="N33" s="1219"/>
      <c r="O33" s="1219"/>
      <c r="P33" s="4553"/>
      <c r="Q33" s="1394" t="str">
        <f t="shared" si="11"/>
        <v>是否直接入户</v>
      </c>
      <c r="R33" s="1614" t="s">
        <v>1139</v>
      </c>
      <c r="S33" s="1615">
        <f t="shared" si="12"/>
        <v>100</v>
      </c>
      <c r="T33" s="1614" t="s">
        <v>1139</v>
      </c>
      <c r="U33" s="1615">
        <f t="shared" si="13"/>
        <v>100</v>
      </c>
      <c r="V33" s="1614" t="s">
        <v>1139</v>
      </c>
      <c r="W33" s="1615">
        <f t="shared" si="14"/>
        <v>100</v>
      </c>
      <c r="X33" s="1220"/>
      <c r="Y33" s="4553"/>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53"/>
      <c r="Q34" s="1394">
        <f t="shared" si="11"/>
        <v>111</v>
      </c>
      <c r="R34" s="1614" t="s">
        <v>1139</v>
      </c>
      <c r="S34" s="1615">
        <f t="shared" si="12"/>
        <v>100</v>
      </c>
      <c r="T34" s="1614" t="s">
        <v>1139</v>
      </c>
      <c r="U34" s="1615">
        <f t="shared" si="13"/>
        <v>100</v>
      </c>
      <c r="V34" s="1614" t="s">
        <v>1139</v>
      </c>
      <c r="W34" s="1615">
        <f t="shared" si="14"/>
        <v>100</v>
      </c>
      <c r="X34" s="1220"/>
      <c r="Y34" s="4553"/>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53"/>
      <c r="Q35" s="1644">
        <f t="shared" si="11"/>
        <v>111</v>
      </c>
      <c r="R35" s="1645" t="s">
        <v>1139</v>
      </c>
      <c r="S35" s="1646">
        <f t="shared" si="12"/>
        <v>100</v>
      </c>
      <c r="T35" s="1645" t="s">
        <v>1139</v>
      </c>
      <c r="U35" s="1646">
        <f t="shared" si="13"/>
        <v>100</v>
      </c>
      <c r="V35" s="1645" t="s">
        <v>1139</v>
      </c>
      <c r="W35" s="1646">
        <f t="shared" si="14"/>
        <v>100</v>
      </c>
      <c r="X35" s="1330"/>
      <c r="Y35" s="4553"/>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53"/>
      <c r="Q36" s="1394">
        <f t="shared" si="11"/>
        <v>111</v>
      </c>
      <c r="R36" s="1614" t="s">
        <v>1139</v>
      </c>
      <c r="S36" s="1615">
        <f t="shared" si="12"/>
        <v>100</v>
      </c>
      <c r="T36" s="1614" t="s">
        <v>1139</v>
      </c>
      <c r="U36" s="1615">
        <f t="shared" si="13"/>
        <v>100</v>
      </c>
      <c r="V36" s="1614" t="s">
        <v>1139</v>
      </c>
      <c r="W36" s="1615">
        <f t="shared" si="14"/>
        <v>100</v>
      </c>
      <c r="X36" s="1220"/>
      <c r="Y36" s="4553"/>
      <c r="Z36" s="1288">
        <f t="shared" si="15"/>
        <v>111</v>
      </c>
      <c r="AA36" s="1288">
        <f t="shared" si="3"/>
        <v>1</v>
      </c>
      <c r="AB36" s="1288">
        <f t="shared" si="4"/>
        <v>1</v>
      </c>
      <c r="AC36" s="1288">
        <f t="shared" si="5"/>
        <v>1</v>
      </c>
    </row>
    <row r="37" spans="1:29" ht="14.4">
      <c r="A37" s="1345" t="s">
        <v>1181</v>
      </c>
      <c r="B37" s="1875" t="s">
        <v>2251</v>
      </c>
      <c r="C37" s="1656" t="s">
        <v>124</v>
      </c>
      <c r="D37" s="1657"/>
      <c r="E37" s="1349">
        <v>118366</v>
      </c>
      <c r="F37" s="1350"/>
      <c r="G37" s="1351">
        <v>111978</v>
      </c>
      <c r="H37" s="1352"/>
      <c r="I37" s="1349">
        <v>131564</v>
      </c>
      <c r="J37" s="1352"/>
      <c r="K37" s="1876"/>
      <c r="L37" s="1354"/>
      <c r="M37" s="1219"/>
      <c r="N37" s="1219"/>
      <c r="O37" s="1219"/>
      <c r="P37" s="4517" t="str">
        <f>A37</f>
        <v>成交单价</v>
      </c>
      <c r="Q37" s="4517"/>
      <c r="R37" s="4636">
        <f>E37</f>
        <v>118366</v>
      </c>
      <c r="S37" s="4636"/>
      <c r="T37" s="4636">
        <f>G37</f>
        <v>111978</v>
      </c>
      <c r="U37" s="4636"/>
      <c r="V37" s="4636">
        <f>I37</f>
        <v>131564</v>
      </c>
      <c r="W37" s="4636"/>
      <c r="X37" s="1355"/>
      <c r="Y37" s="1356"/>
      <c r="Z37" s="1355"/>
      <c r="AA37" s="1355"/>
      <c r="AB37" s="1355"/>
      <c r="AC37" s="1355"/>
    </row>
    <row r="38" spans="1:29" ht="14.4">
      <c r="A38" s="1357" t="s">
        <v>1183</v>
      </c>
      <c r="B38" s="1658" t="str">
        <f>B37</f>
        <v>元/车位</v>
      </c>
      <c r="C38" s="1362">
        <f>R39</f>
        <v>115136</v>
      </c>
      <c r="D38" s="1659" t="s">
        <v>2185</v>
      </c>
      <c r="E38" s="1359">
        <f>R38</f>
        <v>119562</v>
      </c>
      <c r="F38" s="1361"/>
      <c r="G38" s="1362">
        <f>T38</f>
        <v>113109</v>
      </c>
      <c r="H38" s="1361"/>
      <c r="I38" s="1359">
        <f>V38</f>
        <v>112738</v>
      </c>
      <c r="J38" s="1361"/>
      <c r="K38" s="1363">
        <f>F38+H38+J38</f>
        <v>0</v>
      </c>
      <c r="L38" s="1354"/>
      <c r="M38" s="1219"/>
      <c r="N38" s="1219"/>
      <c r="O38" s="1219"/>
      <c r="P38" s="4517" t="str">
        <f>A38</f>
        <v>比较价值（元/平方米）</v>
      </c>
      <c r="Q38" s="4517"/>
      <c r="R38" s="4636">
        <f>IF(F1="售价",ROUND(PRODUCT(R37,AA7:AA36),0),ROUND(PRODUCT(R37,AA7:AA36),1))</f>
        <v>119562</v>
      </c>
      <c r="S38" s="4636"/>
      <c r="T38" s="4636">
        <f>IF(F1="售价",ROUND(PRODUCT(T37,AB7:AB36),0),ROUND(PRODUCT(T37,AB7:AB36),1))</f>
        <v>113109</v>
      </c>
      <c r="U38" s="4636"/>
      <c r="V38" s="4636">
        <f>IF(F1="售价",ROUND(PRODUCT(V37,AC7:AC36),0),ROUND(PRODUCT(V37,AC7:AC36),1))</f>
        <v>112738</v>
      </c>
      <c r="W38" s="4636"/>
      <c r="X38" s="1355"/>
      <c r="Y38" s="1355"/>
      <c r="Z38" s="1355"/>
      <c r="AA38" s="1355"/>
      <c r="AB38" s="1355"/>
      <c r="AC38" s="1355"/>
    </row>
    <row r="39" spans="1:29" ht="14.4">
      <c r="A39" s="1364" t="s">
        <v>2252</v>
      </c>
      <c r="B39" s="1365"/>
      <c r="C39" s="1366">
        <f>R39</f>
        <v>115136</v>
      </c>
      <c r="D39" s="1574"/>
      <c r="E39" s="1574"/>
      <c r="F39" s="1574"/>
      <c r="G39" s="1574"/>
      <c r="H39" s="1574"/>
      <c r="I39" s="1574"/>
      <c r="J39" s="1574"/>
      <c r="K39" s="1877"/>
      <c r="L39" s="1354"/>
      <c r="M39" s="1219"/>
      <c r="N39" s="1219"/>
      <c r="O39" s="1219"/>
      <c r="P39" s="4637" t="str">
        <f>A39</f>
        <v>估价对象XX用房的比较价值（楼面单价，元/平方米）</v>
      </c>
      <c r="Q39" s="4638"/>
      <c r="R39" s="4639">
        <f>IF(F1="售价",ROUND(IF(D38="简单平均",AVERAGE(R38:W38),R38*F38+T38*H38+V38*J38),0),ROUND(IF(D38="简单平均",AVERAGE(R38:V38),R38*F38+T38*H38+V38*J38),1))</f>
        <v>115136</v>
      </c>
      <c r="S39" s="4639"/>
      <c r="T39" s="4639"/>
      <c r="U39" s="4639"/>
      <c r="V39" s="4639"/>
      <c r="W39" s="4639"/>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1186</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0.16698894782593299</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1187</v>
      </c>
      <c r="D43" s="1057"/>
      <c r="E43" s="1373">
        <f>IF(E38&lt;G38,G38/E38-1,E38/G38-1)</f>
        <v>5.7051163037423969E-2</v>
      </c>
      <c r="F43" s="1374" t="str">
        <f>IF(OR(E43&gt;=0.2,E43&lt;=-0.2),"超过20%","")</f>
        <v/>
      </c>
      <c r="G43" s="1373">
        <f>IF(G38&lt;I38,I38/G38-1,G38/I38-1)</f>
        <v>3.2908158739732851E-3</v>
      </c>
      <c r="H43" s="1374" t="str">
        <f>IF(OR(G43&gt;=0.2,G43&lt;=-0.2),"超过20%","")</f>
        <v/>
      </c>
      <c r="I43" s="1373">
        <f>IF(I38&lt;E38,E38/I38-1,I38/E38-1)</f>
        <v>6.0529723784349621E-2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1188</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1213</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1136</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1216</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1140</v>
      </c>
      <c r="B51" s="1444"/>
      <c r="C51" s="1445" t="s">
        <v>1217</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1218</v>
      </c>
      <c r="B53" s="1454" t="s">
        <v>1144</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1147</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2191</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1151</v>
      </c>
      <c r="B63" s="1454" t="s">
        <v>1158</v>
      </c>
      <c r="C63" s="1501" t="s">
        <v>1219</v>
      </c>
      <c r="D63" s="1501" t="s">
        <v>1220</v>
      </c>
      <c r="E63" s="1501" t="s">
        <v>1221</v>
      </c>
      <c r="F63" s="1501" t="s">
        <v>1222</v>
      </c>
      <c r="G63" s="1501" t="s">
        <v>1223</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1165</v>
      </c>
      <c r="C65" s="1506" t="s">
        <v>1219</v>
      </c>
      <c r="D65" s="1506" t="s">
        <v>1220</v>
      </c>
      <c r="E65" s="1506" t="s">
        <v>1221</v>
      </c>
      <c r="F65" s="1506" t="s">
        <v>1222</v>
      </c>
      <c r="G65" s="1506" t="s">
        <v>1223</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1167</v>
      </c>
      <c r="C67" s="1295" t="s">
        <v>1224</v>
      </c>
      <c r="D67" s="1295" t="s">
        <v>1225</v>
      </c>
      <c r="E67" s="1295" t="s">
        <v>1226</v>
      </c>
      <c r="F67" s="1295" t="s">
        <v>1227</v>
      </c>
      <c r="G67" s="1295" t="s">
        <v>1228</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2161</v>
      </c>
      <c r="C69" s="1506" t="s">
        <v>1219</v>
      </c>
      <c r="D69" s="1506" t="s">
        <v>1220</v>
      </c>
      <c r="E69" s="1506" t="s">
        <v>1221</v>
      </c>
      <c r="F69" s="1506" t="s">
        <v>1222</v>
      </c>
      <c r="G69" s="1506" t="s">
        <v>1223</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2242</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1174</v>
      </c>
      <c r="B79" s="1454" t="s">
        <v>2253</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2244</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2174</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2245</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2246</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2247</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2248</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2250</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2148</v>
      </c>
      <c r="B1" s="1781" t="s">
        <v>2254</v>
      </c>
      <c r="C1" s="1550" t="s">
        <v>2150</v>
      </c>
      <c r="D1" s="1543"/>
      <c r="E1" s="1782"/>
      <c r="F1" s="1545"/>
      <c r="G1" s="1546" t="s">
        <v>1116</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1117</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1409</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1118</v>
      </c>
      <c r="B3" s="1560">
        <f>IF(E2="——",C49,ROUND(B2*10000/D3,0))</f>
        <v>0</v>
      </c>
      <c r="C3" s="1561" t="s">
        <v>1119</v>
      </c>
      <c r="D3" s="1560">
        <f>IF(D1="",'数据-汇总表'!E3,SUMIF('数据-汇总表'!$C19:$C33,D1,'数据-汇总表'!$E19:$E33))</f>
        <v>25832.71</v>
      </c>
      <c r="E3" s="1562" t="s">
        <v>1699</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1123</v>
      </c>
      <c r="B4" s="1565"/>
      <c r="C4" s="4559" t="s">
        <v>1124</v>
      </c>
      <c r="D4" s="4560"/>
      <c r="E4" s="4561" t="s">
        <v>1125</v>
      </c>
      <c r="F4" s="4562"/>
      <c r="G4" s="4559" t="s">
        <v>1126</v>
      </c>
      <c r="H4" s="4560"/>
      <c r="I4" s="4559" t="s">
        <v>1127</v>
      </c>
      <c r="J4" s="4560"/>
      <c r="K4" s="1790" t="s">
        <v>1128</v>
      </c>
      <c r="L4" s="1218"/>
      <c r="M4" s="1219"/>
      <c r="N4" s="1219"/>
      <c r="O4" s="1219"/>
      <c r="P4" s="4518" t="s">
        <v>1129</v>
      </c>
      <c r="Q4" s="4519"/>
      <c r="R4" s="4524" t="s">
        <v>1125</v>
      </c>
      <c r="S4" s="4525"/>
      <c r="T4" s="4524" t="s">
        <v>1126</v>
      </c>
      <c r="U4" s="4525"/>
      <c r="V4" s="4530" t="s">
        <v>1127</v>
      </c>
      <c r="W4" s="4530"/>
      <c r="X4" s="1220"/>
      <c r="Y4" s="4531" t="s">
        <v>1129</v>
      </c>
      <c r="Z4" s="4532"/>
      <c r="AA4" s="4511" t="s">
        <v>1125</v>
      </c>
      <c r="AB4" s="4636" t="s">
        <v>1126</v>
      </c>
      <c r="AC4" s="4511" t="s">
        <v>1127</v>
      </c>
    </row>
    <row r="5" spans="1:29">
      <c r="A5" s="1570"/>
      <c r="B5" s="1571"/>
      <c r="C5" s="4563" t="s">
        <v>1130</v>
      </c>
      <c r="D5" s="4564"/>
      <c r="E5" s="4565" t="s">
        <v>2255</v>
      </c>
      <c r="F5" s="4566"/>
      <c r="G5" s="4563" t="s">
        <v>2256</v>
      </c>
      <c r="H5" s="4564"/>
      <c r="I5" s="4563" t="s">
        <v>2257</v>
      </c>
      <c r="J5" s="4564"/>
      <c r="K5" s="1790"/>
      <c r="L5" s="1218"/>
      <c r="M5" s="1219"/>
      <c r="N5" s="1219"/>
      <c r="O5" s="1219"/>
      <c r="P5" s="4520"/>
      <c r="Q5" s="4521"/>
      <c r="R5" s="4526"/>
      <c r="S5" s="4527"/>
      <c r="T5" s="4526"/>
      <c r="U5" s="4527"/>
      <c r="V5" s="4530"/>
      <c r="W5" s="4530"/>
      <c r="X5" s="1220"/>
      <c r="Y5" s="4533"/>
      <c r="Z5" s="4534"/>
      <c r="AA5" s="4512"/>
      <c r="AB5" s="4636"/>
      <c r="AC5" s="4512"/>
    </row>
    <row r="6" spans="1:29" ht="14.4">
      <c r="A6" s="1573"/>
      <c r="B6" s="1574"/>
      <c r="C6" s="4554" t="s">
        <v>1134</v>
      </c>
      <c r="D6" s="4555"/>
      <c r="E6" s="4556" t="s">
        <v>1134</v>
      </c>
      <c r="F6" s="4557"/>
      <c r="G6" s="4554" t="s">
        <v>1134</v>
      </c>
      <c r="H6" s="4555"/>
      <c r="I6" s="4554" t="s">
        <v>1134</v>
      </c>
      <c r="J6" s="4555"/>
      <c r="K6" s="1790" t="s">
        <v>1135</v>
      </c>
      <c r="L6" s="1218"/>
      <c r="M6" s="1219"/>
      <c r="N6" s="1219"/>
      <c r="O6" s="1219"/>
      <c r="P6" s="4522"/>
      <c r="Q6" s="4523"/>
      <c r="R6" s="4526"/>
      <c r="S6" s="4527"/>
      <c r="T6" s="4528"/>
      <c r="U6" s="4529"/>
      <c r="V6" s="4530"/>
      <c r="W6" s="4530"/>
      <c r="X6" s="1220"/>
      <c r="Y6" s="4535"/>
      <c r="Z6" s="4536"/>
      <c r="AA6" s="4513"/>
      <c r="AB6" s="4636"/>
      <c r="AC6" s="4513"/>
    </row>
    <row r="7" spans="1:29" s="1186" customFormat="1" ht="14.4">
      <c r="A7" s="1576" t="s">
        <v>1136</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44" t="s">
        <v>1138</v>
      </c>
      <c r="Q7" s="4558"/>
      <c r="R7" s="1738" t="s">
        <v>1139</v>
      </c>
      <c r="S7" s="1739">
        <f t="shared" ref="S7:S15" si="0">F7</f>
        <v>0</v>
      </c>
      <c r="T7" s="1738" t="s">
        <v>1139</v>
      </c>
      <c r="U7" s="1739">
        <f t="shared" ref="U7:U15" si="1">H7</f>
        <v>0</v>
      </c>
      <c r="V7" s="1738" t="s">
        <v>1139</v>
      </c>
      <c r="W7" s="1739">
        <f t="shared" ref="W7:W15" si="2">J7</f>
        <v>0</v>
      </c>
      <c r="X7" s="1239"/>
      <c r="Y7" s="4542" t="s">
        <v>1138</v>
      </c>
      <c r="Z7" s="4543"/>
      <c r="AA7" s="1241" t="e">
        <f>D7/F7</f>
        <v>#DIV/0!</v>
      </c>
      <c r="AB7" s="1241" t="e">
        <f>D7/H7</f>
        <v>#DIV/0!</v>
      </c>
      <c r="AC7" s="1241" t="e">
        <f>D7/J7</f>
        <v>#DIV/0!</v>
      </c>
    </row>
    <row r="8" spans="1:29" s="1186" customFormat="1" ht="14.4">
      <c r="A8" s="1576" t="s">
        <v>1140</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44" t="s">
        <v>1142</v>
      </c>
      <c r="Q8" s="4545"/>
      <c r="R8" s="1738" t="s">
        <v>1139</v>
      </c>
      <c r="S8" s="1739">
        <f t="shared" si="0"/>
        <v>100</v>
      </c>
      <c r="T8" s="1738" t="s">
        <v>1139</v>
      </c>
      <c r="U8" s="1739">
        <f t="shared" si="1"/>
        <v>100</v>
      </c>
      <c r="V8" s="1738" t="s">
        <v>1139</v>
      </c>
      <c r="W8" s="1739">
        <f t="shared" si="2"/>
        <v>100</v>
      </c>
      <c r="X8" s="1239"/>
      <c r="Y8" s="4542" t="s">
        <v>1142</v>
      </c>
      <c r="Z8" s="4543"/>
      <c r="AA8" s="1241">
        <f t="shared" ref="AA8:AA46" si="3">D8/F8</f>
        <v>1</v>
      </c>
      <c r="AB8" s="1241">
        <f t="shared" ref="AB8:AB46" si="4">D8/H8</f>
        <v>1</v>
      </c>
      <c r="AC8" s="1241">
        <f t="shared" ref="AC8:AC46" si="5">D8/J8</f>
        <v>1</v>
      </c>
    </row>
    <row r="9" spans="1:29" s="1186" customFormat="1" ht="14.4">
      <c r="A9" s="1586" t="s">
        <v>1143</v>
      </c>
      <c r="B9" s="1245" t="s">
        <v>1144</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50" t="s">
        <v>1146</v>
      </c>
      <c r="Z9" s="1241" t="str">
        <f t="shared" ref="Z9:Z15" si="7">Q9</f>
        <v>用途</v>
      </c>
      <c r="AA9" s="1241">
        <f t="shared" si="3"/>
        <v>1</v>
      </c>
      <c r="AB9" s="1241">
        <f t="shared" si="4"/>
        <v>1</v>
      </c>
      <c r="AC9" s="1241">
        <f t="shared" si="5"/>
        <v>1</v>
      </c>
    </row>
    <row r="10" spans="1:29" s="1187" customFormat="1" ht="28.8">
      <c r="A10" s="1592"/>
      <c r="B10" s="1251" t="s">
        <v>1147</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50"/>
      <c r="Z10" s="1241" t="str">
        <f t="shared" si="7"/>
        <v>土地使用年限（年）</v>
      </c>
      <c r="AA10" s="1241">
        <f t="shared" si="3"/>
        <v>1</v>
      </c>
      <c r="AB10" s="1241">
        <f t="shared" si="4"/>
        <v>1</v>
      </c>
      <c r="AC10" s="1241">
        <f t="shared" si="5"/>
        <v>1</v>
      </c>
    </row>
    <row r="11" spans="1:29" ht="15">
      <c r="A11" s="1460"/>
      <c r="B11" s="1251" t="s">
        <v>1148</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100</v>
      </c>
      <c r="X11" s="1239"/>
      <c r="Y11" s="4550"/>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5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50"/>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50"/>
      <c r="Z14" s="1241">
        <f t="shared" si="7"/>
        <v>111</v>
      </c>
      <c r="AA14" s="1241">
        <f t="shared" si="3"/>
        <v>1</v>
      </c>
      <c r="AB14" s="1241">
        <f t="shared" si="4"/>
        <v>1</v>
      </c>
      <c r="AC14" s="1241">
        <f t="shared" si="5"/>
        <v>1</v>
      </c>
    </row>
    <row r="15" spans="1:29" ht="15">
      <c r="A15" s="1453" t="s">
        <v>1151</v>
      </c>
      <c r="B15" s="1801" t="s">
        <v>1156</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19" t="s">
        <v>1154</v>
      </c>
      <c r="Q15" s="988" t="str">
        <f t="shared" si="6"/>
        <v>商业繁华度</v>
      </c>
      <c r="R15" s="1745" t="s">
        <v>1139</v>
      </c>
      <c r="S15" s="1746">
        <f t="shared" si="0"/>
        <v>100</v>
      </c>
      <c r="T15" s="1745" t="s">
        <v>1139</v>
      </c>
      <c r="U15" s="1746">
        <f t="shared" si="1"/>
        <v>100</v>
      </c>
      <c r="V15" s="1745" t="s">
        <v>1139</v>
      </c>
      <c r="W15" s="1746">
        <f t="shared" si="2"/>
        <v>100</v>
      </c>
      <c r="X15" s="1220"/>
      <c r="Y15" s="4551" t="s">
        <v>1154</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20"/>
      <c r="Q16" s="988"/>
      <c r="R16" s="1745"/>
      <c r="S16" s="1746"/>
      <c r="T16" s="1745"/>
      <c r="U16" s="1746"/>
      <c r="V16" s="1745"/>
      <c r="W16" s="1746"/>
      <c r="X16" s="1220"/>
      <c r="Y16" s="4552"/>
      <c r="Z16" s="1288"/>
      <c r="AA16" s="1288">
        <v>1</v>
      </c>
      <c r="AB16" s="1288">
        <v>1</v>
      </c>
      <c r="AC16" s="1288">
        <v>1</v>
      </c>
    </row>
    <row r="17" spans="1:29" ht="15">
      <c r="A17" s="1460"/>
      <c r="B17" s="1808" t="s">
        <v>1158</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20"/>
      <c r="Q17" s="988" t="str">
        <f>B17</f>
        <v>交通便捷度</v>
      </c>
      <c r="R17" s="1745" t="s">
        <v>1139</v>
      </c>
      <c r="S17" s="1746">
        <f>F17</f>
        <v>100</v>
      </c>
      <c r="T17" s="1745" t="s">
        <v>1139</v>
      </c>
      <c r="U17" s="1746">
        <f>H17</f>
        <v>100</v>
      </c>
      <c r="V17" s="1745" t="s">
        <v>1139</v>
      </c>
      <c r="W17" s="1746">
        <f>J17</f>
        <v>100</v>
      </c>
      <c r="X17" s="1220"/>
      <c r="Y17" s="4552"/>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20"/>
      <c r="Q18" s="988"/>
      <c r="R18" s="1745"/>
      <c r="S18" s="1746"/>
      <c r="T18" s="1745"/>
      <c r="U18" s="1746"/>
      <c r="V18" s="1745"/>
      <c r="W18" s="1746"/>
      <c r="X18" s="1220"/>
      <c r="Y18" s="4552"/>
      <c r="Z18" s="1288"/>
      <c r="AA18" s="1288">
        <v>1</v>
      </c>
      <c r="AB18" s="1288">
        <v>1</v>
      </c>
      <c r="AC18" s="1288">
        <v>1</v>
      </c>
    </row>
    <row r="19" spans="1:29" ht="55.2">
      <c r="A19" s="1460"/>
      <c r="B19" s="1808" t="s">
        <v>1165</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20"/>
      <c r="Q19" s="988" t="str">
        <f>B19</f>
        <v>公共配套设施</v>
      </c>
      <c r="R19" s="1745" t="s">
        <v>1139</v>
      </c>
      <c r="S19" s="1746">
        <f>F19</f>
        <v>100</v>
      </c>
      <c r="T19" s="1745" t="s">
        <v>1139</v>
      </c>
      <c r="U19" s="1746">
        <f>H19</f>
        <v>100</v>
      </c>
      <c r="V19" s="1745" t="s">
        <v>1139</v>
      </c>
      <c r="W19" s="1746">
        <f>J19</f>
        <v>100</v>
      </c>
      <c r="X19" s="1220"/>
      <c r="Y19" s="4552"/>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20"/>
      <c r="Q20" s="988"/>
      <c r="R20" s="1745"/>
      <c r="S20" s="1746"/>
      <c r="T20" s="1745"/>
      <c r="U20" s="1746"/>
      <c r="V20" s="1745"/>
      <c r="W20" s="1746"/>
      <c r="X20" s="1220"/>
      <c r="Y20" s="4552"/>
      <c r="Z20" s="1288"/>
      <c r="AA20" s="1288">
        <v>1</v>
      </c>
      <c r="AB20" s="1288">
        <v>1</v>
      </c>
      <c r="AC20" s="1288">
        <v>1</v>
      </c>
    </row>
    <row r="21" spans="1:29" ht="15">
      <c r="A21" s="1460"/>
      <c r="B21" s="1817" t="s">
        <v>1167</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20"/>
      <c r="Q22" s="988"/>
      <c r="R22" s="1745"/>
      <c r="S22" s="1746"/>
      <c r="T22" s="1745"/>
      <c r="U22" s="1746"/>
      <c r="V22" s="1745"/>
      <c r="W22" s="1746"/>
      <c r="X22" s="1220"/>
      <c r="Y22" s="4552"/>
      <c r="Z22" s="1288"/>
      <c r="AA22" s="1288">
        <v>1</v>
      </c>
      <c r="AB22" s="1288">
        <v>1</v>
      </c>
      <c r="AC22" s="1288">
        <v>1</v>
      </c>
    </row>
    <row r="23" spans="1:29" ht="69">
      <c r="A23" s="1460"/>
      <c r="B23" s="1808" t="s">
        <v>2161</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20"/>
      <c r="Q23" s="988" t="str">
        <f>B23</f>
        <v>自然及人文环境</v>
      </c>
      <c r="R23" s="1745" t="s">
        <v>1139</v>
      </c>
      <c r="S23" s="1746">
        <f>F23</f>
        <v>100</v>
      </c>
      <c r="T23" s="1745" t="s">
        <v>1139</v>
      </c>
      <c r="U23" s="1746">
        <f>H23</f>
        <v>100</v>
      </c>
      <c r="V23" s="1745" t="s">
        <v>1139</v>
      </c>
      <c r="W23" s="1746">
        <f>J23</f>
        <v>100</v>
      </c>
      <c r="X23" s="1220"/>
      <c r="Y23" s="4552"/>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20"/>
      <c r="Q24" s="988"/>
      <c r="R24" s="1745"/>
      <c r="S24" s="1746"/>
      <c r="T24" s="1745"/>
      <c r="U24" s="1746"/>
      <c r="V24" s="1745"/>
      <c r="W24" s="1746"/>
      <c r="X24" s="1220"/>
      <c r="Y24" s="4552"/>
      <c r="Z24" s="1288"/>
      <c r="AA24" s="1288">
        <v>1</v>
      </c>
      <c r="AB24" s="1288">
        <v>1</v>
      </c>
      <c r="AC24" s="1288">
        <v>1</v>
      </c>
    </row>
    <row r="25" spans="1:29" ht="15">
      <c r="A25" s="1460"/>
      <c r="B25" s="1251" t="s">
        <v>1168</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20"/>
      <c r="Q25" s="988" t="str">
        <f t="shared" ref="Q25:Q46" si="11">B25</f>
        <v>临街状况</v>
      </c>
      <c r="R25" s="1745" t="s">
        <v>1139</v>
      </c>
      <c r="S25" s="1746">
        <f>F25</f>
        <v>100</v>
      </c>
      <c r="T25" s="1745" t="s">
        <v>1139</v>
      </c>
      <c r="U25" s="1746">
        <f>H25</f>
        <v>100</v>
      </c>
      <c r="V25" s="1745" t="s">
        <v>1139</v>
      </c>
      <c r="W25" s="1746">
        <f>J25</f>
        <v>100</v>
      </c>
      <c r="X25" s="1220"/>
      <c r="Y25" s="4552"/>
      <c r="Z25" s="1288" t="str">
        <f>Q25</f>
        <v>临街状况</v>
      </c>
      <c r="AA25" s="1288">
        <f t="shared" si="3"/>
        <v>1</v>
      </c>
      <c r="AB25" s="1288">
        <f t="shared" si="4"/>
        <v>1</v>
      </c>
      <c r="AC25" s="1288">
        <f t="shared" si="5"/>
        <v>1</v>
      </c>
    </row>
    <row r="26" spans="1:29" ht="15">
      <c r="A26" s="1460"/>
      <c r="B26" s="1821" t="s">
        <v>2258</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20"/>
      <c r="Q26" s="988" t="str">
        <f t="shared" si="11"/>
        <v>平面位置/可视性</v>
      </c>
      <c r="R26" s="1745" t="s">
        <v>1139</v>
      </c>
      <c r="S26" s="1746">
        <f>F26</f>
        <v>100</v>
      </c>
      <c r="T26" s="1745" t="s">
        <v>1139</v>
      </c>
      <c r="U26" s="1746">
        <f>H26</f>
        <v>100</v>
      </c>
      <c r="V26" s="1745" t="s">
        <v>1139</v>
      </c>
      <c r="W26" s="1746">
        <f>J26</f>
        <v>100</v>
      </c>
      <c r="X26" s="1220"/>
      <c r="Y26" s="4552"/>
      <c r="Z26" s="1288" t="str">
        <f>Q26</f>
        <v>平面位置/可视性</v>
      </c>
      <c r="AA26" s="1288">
        <f t="shared" si="3"/>
        <v>1</v>
      </c>
      <c r="AB26" s="1288">
        <f t="shared" si="4"/>
        <v>1</v>
      </c>
      <c r="AC26" s="1288">
        <f t="shared" si="5"/>
        <v>1</v>
      </c>
    </row>
    <row r="27" spans="1:29" s="1186" customFormat="1" ht="15">
      <c r="A27" s="1507"/>
      <c r="B27" s="1808" t="s">
        <v>2259</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20"/>
      <c r="Q27" s="1137" t="str">
        <f t="shared" si="11"/>
        <v>人流量</v>
      </c>
      <c r="R27" s="1738" t="s">
        <v>1139</v>
      </c>
      <c r="S27" s="1739">
        <f>F27</f>
        <v>100</v>
      </c>
      <c r="T27" s="1738" t="s">
        <v>1139</v>
      </c>
      <c r="U27" s="1739">
        <f>H27</f>
        <v>100</v>
      </c>
      <c r="V27" s="1738" t="s">
        <v>1139</v>
      </c>
      <c r="W27" s="1739">
        <f>J27</f>
        <v>100</v>
      </c>
      <c r="X27" s="1239"/>
      <c r="Y27" s="4552"/>
      <c r="Z27" s="1241" t="str">
        <f>Q27</f>
        <v>人流量</v>
      </c>
      <c r="AA27" s="1288">
        <f t="shared" si="3"/>
        <v>1</v>
      </c>
      <c r="AB27" s="1288">
        <f t="shared" si="4"/>
        <v>1</v>
      </c>
      <c r="AC27" s="1288">
        <f t="shared" si="5"/>
        <v>1</v>
      </c>
    </row>
    <row r="28" spans="1:29" ht="15">
      <c r="A28" s="1460"/>
      <c r="B28" s="1251" t="s">
        <v>2242</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20"/>
      <c r="Q28" s="988" t="str">
        <f t="shared" si="11"/>
        <v>楼层</v>
      </c>
      <c r="R28" s="1745" t="s">
        <v>1139</v>
      </c>
      <c r="S28" s="1746">
        <f t="shared" ref="S28:S46" si="12">F28</f>
        <v>100</v>
      </c>
      <c r="T28" s="1745" t="s">
        <v>1139</v>
      </c>
      <c r="U28" s="1746">
        <f t="shared" ref="U28:U46" si="13">H28</f>
        <v>100</v>
      </c>
      <c r="V28" s="1745" t="s">
        <v>1139</v>
      </c>
      <c r="W28" s="1746">
        <f t="shared" ref="W28:W46" si="14">J28</f>
        <v>100</v>
      </c>
      <c r="X28" s="1220"/>
      <c r="Y28" s="4552"/>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20"/>
      <c r="Q29" s="988">
        <f t="shared" si="11"/>
        <v>111</v>
      </c>
      <c r="R29" s="1745" t="s">
        <v>1139</v>
      </c>
      <c r="S29" s="1746">
        <f t="shared" si="12"/>
        <v>100</v>
      </c>
      <c r="T29" s="1745" t="s">
        <v>1139</v>
      </c>
      <c r="U29" s="1746">
        <f t="shared" si="13"/>
        <v>100</v>
      </c>
      <c r="V29" s="1745" t="s">
        <v>1139</v>
      </c>
      <c r="W29" s="1746">
        <f t="shared" si="14"/>
        <v>100</v>
      </c>
      <c r="X29" s="1220"/>
      <c r="Y29" s="4552"/>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52"/>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52"/>
      <c r="Z31" s="1288">
        <f t="shared" si="15"/>
        <v>111</v>
      </c>
      <c r="AA31" s="1288">
        <f t="shared" si="3"/>
        <v>1</v>
      </c>
      <c r="AB31" s="1288">
        <f t="shared" si="4"/>
        <v>1</v>
      </c>
      <c r="AC31" s="1288">
        <f t="shared" si="5"/>
        <v>1</v>
      </c>
    </row>
    <row r="32" spans="1:29" ht="15">
      <c r="A32" s="1453" t="s">
        <v>1174</v>
      </c>
      <c r="B32" s="1245" t="s">
        <v>2260</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21" t="s">
        <v>1173</v>
      </c>
      <c r="Q32" s="988" t="str">
        <f t="shared" si="11"/>
        <v>商业类型</v>
      </c>
      <c r="R32" s="1745" t="s">
        <v>1139</v>
      </c>
      <c r="S32" s="1746">
        <f t="shared" si="12"/>
        <v>100</v>
      </c>
      <c r="T32" s="1745" t="s">
        <v>1139</v>
      </c>
      <c r="U32" s="1746">
        <f t="shared" si="13"/>
        <v>100</v>
      </c>
      <c r="V32" s="1745" t="s">
        <v>1139</v>
      </c>
      <c r="W32" s="1746">
        <f t="shared" si="14"/>
        <v>100</v>
      </c>
      <c r="X32" s="1220"/>
      <c r="Y32" s="4553" t="s">
        <v>1173</v>
      </c>
      <c r="Z32" s="1288" t="str">
        <f t="shared" si="15"/>
        <v>商业类型</v>
      </c>
      <c r="AA32" s="1288">
        <f t="shared" si="3"/>
        <v>1</v>
      </c>
      <c r="AB32" s="1288">
        <f t="shared" si="4"/>
        <v>1</v>
      </c>
      <c r="AC32" s="1288">
        <f t="shared" si="5"/>
        <v>1</v>
      </c>
    </row>
    <row r="33" spans="1:29" s="1188" customFormat="1" ht="15">
      <c r="A33" s="1528"/>
      <c r="B33" s="1251" t="s">
        <v>2169</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22"/>
      <c r="Q33" s="1707" t="str">
        <f t="shared" si="11"/>
        <v>项目建筑规模</v>
      </c>
      <c r="R33" s="1758" t="s">
        <v>1139</v>
      </c>
      <c r="S33" s="1759" t="e">
        <f t="shared" si="12"/>
        <v>#N/A</v>
      </c>
      <c r="T33" s="1758" t="s">
        <v>1139</v>
      </c>
      <c r="U33" s="1759" t="e">
        <f t="shared" si="13"/>
        <v>#N/A</v>
      </c>
      <c r="V33" s="1758" t="s">
        <v>1139</v>
      </c>
      <c r="W33" s="1759" t="e">
        <f t="shared" si="14"/>
        <v>#N/A</v>
      </c>
      <c r="X33" s="1330"/>
      <c r="Y33" s="4553"/>
      <c r="Z33" s="1331" t="str">
        <f t="shared" si="15"/>
        <v>项目建筑规模</v>
      </c>
      <c r="AA33" s="1288" t="e">
        <f t="shared" si="3"/>
        <v>#N/A</v>
      </c>
      <c r="AB33" s="1288" t="e">
        <f t="shared" si="4"/>
        <v>#N/A</v>
      </c>
      <c r="AC33" s="1288" t="e">
        <f t="shared" si="5"/>
        <v>#N/A</v>
      </c>
    </row>
    <row r="34" spans="1:29" ht="15">
      <c r="A34" s="1537"/>
      <c r="B34" s="1251" t="s">
        <v>2170</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22"/>
      <c r="Q34" s="988" t="str">
        <f t="shared" si="11"/>
        <v>建筑结构</v>
      </c>
      <c r="R34" s="1745" t="s">
        <v>1139</v>
      </c>
      <c r="S34" s="1746">
        <f t="shared" si="12"/>
        <v>100</v>
      </c>
      <c r="T34" s="1745" t="s">
        <v>1139</v>
      </c>
      <c r="U34" s="1746">
        <f t="shared" si="13"/>
        <v>100</v>
      </c>
      <c r="V34" s="1745" t="s">
        <v>1139</v>
      </c>
      <c r="W34" s="1746">
        <f t="shared" si="14"/>
        <v>100</v>
      </c>
      <c r="X34" s="1220"/>
      <c r="Y34" s="4553"/>
      <c r="Z34" s="1288" t="str">
        <f t="shared" si="15"/>
        <v>建筑结构</v>
      </c>
      <c r="AA34" s="1288">
        <f t="shared" si="3"/>
        <v>1</v>
      </c>
      <c r="AB34" s="1288">
        <f t="shared" si="4"/>
        <v>1</v>
      </c>
      <c r="AC34" s="1288">
        <f t="shared" si="5"/>
        <v>1</v>
      </c>
    </row>
    <row r="35" spans="1:29" ht="15">
      <c r="A35" s="1537"/>
      <c r="B35" s="1251" t="s">
        <v>2174</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22"/>
      <c r="Q35" s="988" t="str">
        <f t="shared" si="11"/>
        <v>公共部分装修</v>
      </c>
      <c r="R35" s="1745" t="s">
        <v>1139</v>
      </c>
      <c r="S35" s="1746">
        <f t="shared" si="12"/>
        <v>100</v>
      </c>
      <c r="T35" s="1745" t="s">
        <v>1139</v>
      </c>
      <c r="U35" s="1746">
        <f t="shared" si="13"/>
        <v>100</v>
      </c>
      <c r="V35" s="1745" t="s">
        <v>1139</v>
      </c>
      <c r="W35" s="1746">
        <f t="shared" si="14"/>
        <v>100</v>
      </c>
      <c r="X35" s="1220"/>
      <c r="Y35" s="4553"/>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22"/>
      <c r="Q36" s="988" t="str">
        <f t="shared" si="11"/>
        <v>成新度</v>
      </c>
      <c r="R36" s="1745" t="s">
        <v>1139</v>
      </c>
      <c r="S36" s="1746" t="e">
        <f t="shared" si="12"/>
        <v>#N/A</v>
      </c>
      <c r="T36" s="1745" t="s">
        <v>1139</v>
      </c>
      <c r="U36" s="1746" t="e">
        <f t="shared" si="13"/>
        <v>#N/A</v>
      </c>
      <c r="V36" s="1745" t="s">
        <v>1139</v>
      </c>
      <c r="W36" s="1746" t="e">
        <f t="shared" si="14"/>
        <v>#N/A</v>
      </c>
      <c r="X36" s="1220"/>
      <c r="Y36" s="4553"/>
      <c r="Z36" s="1288" t="str">
        <f t="shared" si="15"/>
        <v>成新度</v>
      </c>
      <c r="AA36" s="1288" t="e">
        <f t="shared" si="3"/>
        <v>#N/A</v>
      </c>
      <c r="AB36" s="1288" t="e">
        <f t="shared" si="4"/>
        <v>#N/A</v>
      </c>
      <c r="AC36" s="1288" t="e">
        <f t="shared" si="5"/>
        <v>#N/A</v>
      </c>
    </row>
    <row r="37" spans="1:29" s="1186" customFormat="1" ht="15">
      <c r="A37" s="1649"/>
      <c r="B37" s="1251" t="s">
        <v>2178</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22"/>
      <c r="Q37" s="1137" t="str">
        <f t="shared" si="11"/>
        <v>市政基础设施</v>
      </c>
      <c r="R37" s="1738" t="s">
        <v>1139</v>
      </c>
      <c r="S37" s="1739">
        <f t="shared" si="12"/>
        <v>100</v>
      </c>
      <c r="T37" s="1738" t="s">
        <v>1139</v>
      </c>
      <c r="U37" s="1739">
        <f t="shared" si="13"/>
        <v>100</v>
      </c>
      <c r="V37" s="1738" t="s">
        <v>1139</v>
      </c>
      <c r="W37" s="1739">
        <f t="shared" si="14"/>
        <v>100</v>
      </c>
      <c r="X37" s="1239"/>
      <c r="Y37" s="4553"/>
      <c r="Z37" s="1241" t="str">
        <f t="shared" si="15"/>
        <v>市政基础设施</v>
      </c>
      <c r="AA37" s="1241">
        <f t="shared" si="3"/>
        <v>1</v>
      </c>
      <c r="AB37" s="1241">
        <f t="shared" si="4"/>
        <v>1</v>
      </c>
      <c r="AC37" s="1241">
        <f t="shared" si="5"/>
        <v>1</v>
      </c>
    </row>
    <row r="38" spans="1:29" ht="15">
      <c r="A38" s="1537"/>
      <c r="B38" s="1251" t="s">
        <v>2261</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22" t="s">
        <v>1173</v>
      </c>
      <c r="Q38" s="988" t="str">
        <f t="shared" si="11"/>
        <v>业态</v>
      </c>
      <c r="R38" s="1745" t="s">
        <v>1139</v>
      </c>
      <c r="S38" s="1746">
        <f t="shared" si="12"/>
        <v>100</v>
      </c>
      <c r="T38" s="1745" t="s">
        <v>1139</v>
      </c>
      <c r="U38" s="1746">
        <f t="shared" si="13"/>
        <v>100</v>
      </c>
      <c r="V38" s="1745" t="s">
        <v>1139</v>
      </c>
      <c r="W38" s="1746">
        <f t="shared" si="14"/>
        <v>100</v>
      </c>
      <c r="X38" s="1220"/>
      <c r="Y38" s="4553" t="s">
        <v>1173</v>
      </c>
      <c r="Z38" s="1288" t="str">
        <f t="shared" si="15"/>
        <v>业态</v>
      </c>
      <c r="AA38" s="1288">
        <f t="shared" si="3"/>
        <v>1</v>
      </c>
      <c r="AB38" s="1288">
        <f t="shared" si="4"/>
        <v>1</v>
      </c>
      <c r="AC38" s="1288">
        <f t="shared" si="5"/>
        <v>1</v>
      </c>
    </row>
    <row r="39" spans="1:29" ht="15">
      <c r="A39" s="1537"/>
      <c r="B39" s="1251" t="s">
        <v>2262</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22"/>
      <c r="Q39" s="988" t="str">
        <f t="shared" si="11"/>
        <v>层高</v>
      </c>
      <c r="R39" s="1745" t="s">
        <v>1139</v>
      </c>
      <c r="S39" s="1746">
        <f t="shared" si="12"/>
        <v>100</v>
      </c>
      <c r="T39" s="1745" t="s">
        <v>1139</v>
      </c>
      <c r="U39" s="1746">
        <f t="shared" si="13"/>
        <v>100</v>
      </c>
      <c r="V39" s="1745" t="s">
        <v>1139</v>
      </c>
      <c r="W39" s="1746">
        <f t="shared" si="14"/>
        <v>100</v>
      </c>
      <c r="X39" s="1220"/>
      <c r="Y39" s="4553"/>
      <c r="Z39" s="1288" t="str">
        <f t="shared" si="15"/>
        <v>层高</v>
      </c>
      <c r="AA39" s="1288">
        <f t="shared" si="3"/>
        <v>1</v>
      </c>
      <c r="AB39" s="1288">
        <f t="shared" si="4"/>
        <v>1</v>
      </c>
      <c r="AC39" s="1288">
        <f t="shared" si="5"/>
        <v>1</v>
      </c>
    </row>
    <row r="40" spans="1:29" ht="15">
      <c r="A40" s="1537"/>
      <c r="B40" s="1251" t="s">
        <v>2263</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22"/>
      <c r="Q40" s="988" t="str">
        <f t="shared" si="11"/>
        <v>单套建筑面积</v>
      </c>
      <c r="R40" s="1745" t="s">
        <v>1139</v>
      </c>
      <c r="S40" s="1746">
        <f t="shared" si="12"/>
        <v>100</v>
      </c>
      <c r="T40" s="1745" t="s">
        <v>1139</v>
      </c>
      <c r="U40" s="1746">
        <f t="shared" si="13"/>
        <v>100</v>
      </c>
      <c r="V40" s="1745" t="s">
        <v>1139</v>
      </c>
      <c r="W40" s="1746">
        <f t="shared" si="14"/>
        <v>100</v>
      </c>
      <c r="X40" s="1220"/>
      <c r="Y40" s="4553"/>
      <c r="Z40" s="1288" t="str">
        <f t="shared" si="15"/>
        <v>单套建筑面积</v>
      </c>
      <c r="AA40" s="1288">
        <f t="shared" si="3"/>
        <v>1</v>
      </c>
      <c r="AB40" s="1288">
        <f t="shared" si="4"/>
        <v>1</v>
      </c>
      <c r="AC40" s="1288">
        <f t="shared" si="5"/>
        <v>1</v>
      </c>
    </row>
    <row r="41" spans="1:29" s="1188" customFormat="1" ht="15">
      <c r="A41" s="1528"/>
      <c r="B41" s="1369" t="s">
        <v>2264</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22"/>
      <c r="Q41" s="1707" t="str">
        <f t="shared" si="11"/>
        <v>进深比</v>
      </c>
      <c r="R41" s="1758" t="s">
        <v>1139</v>
      </c>
      <c r="S41" s="1759">
        <f t="shared" si="12"/>
        <v>100</v>
      </c>
      <c r="T41" s="1758" t="s">
        <v>1139</v>
      </c>
      <c r="U41" s="1759">
        <f t="shared" si="13"/>
        <v>100</v>
      </c>
      <c r="V41" s="1758" t="s">
        <v>1139</v>
      </c>
      <c r="W41" s="1759">
        <f t="shared" si="14"/>
        <v>100</v>
      </c>
      <c r="X41" s="1330"/>
      <c r="Y41" s="4553"/>
      <c r="Z41" s="1331" t="str">
        <f t="shared" si="15"/>
        <v>进深比</v>
      </c>
      <c r="AA41" s="1288">
        <f t="shared" si="3"/>
        <v>1</v>
      </c>
      <c r="AB41" s="1288">
        <f t="shared" si="4"/>
        <v>1</v>
      </c>
      <c r="AC41" s="1288">
        <f t="shared" si="5"/>
        <v>1</v>
      </c>
    </row>
    <row r="42" spans="1:29" ht="15">
      <c r="A42" s="1537"/>
      <c r="B42" s="1251" t="s">
        <v>2181</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22"/>
      <c r="Q42" s="988" t="str">
        <f t="shared" si="11"/>
        <v>内部装修</v>
      </c>
      <c r="R42" s="1745" t="s">
        <v>1139</v>
      </c>
      <c r="S42" s="1746">
        <f t="shared" si="12"/>
        <v>100</v>
      </c>
      <c r="T42" s="1745" t="s">
        <v>1139</v>
      </c>
      <c r="U42" s="1746">
        <f t="shared" si="13"/>
        <v>100</v>
      </c>
      <c r="V42" s="1745" t="s">
        <v>1139</v>
      </c>
      <c r="W42" s="1746">
        <f t="shared" si="14"/>
        <v>100</v>
      </c>
      <c r="X42" s="1220"/>
      <c r="Y42" s="4553"/>
      <c r="Z42" s="1288" t="str">
        <f t="shared" si="15"/>
        <v>内部装修</v>
      </c>
      <c r="AA42" s="1288">
        <f t="shared" si="3"/>
        <v>1</v>
      </c>
      <c r="AB42" s="1288">
        <f t="shared" si="4"/>
        <v>1</v>
      </c>
      <c r="AC42" s="1288">
        <f t="shared" si="5"/>
        <v>1</v>
      </c>
    </row>
    <row r="43" spans="1:29" ht="28.8">
      <c r="A43" s="1537"/>
      <c r="B43" s="1251" t="s">
        <v>2182</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22"/>
      <c r="Q43" s="988" t="str">
        <f t="shared" si="11"/>
        <v>内部装修维护情况</v>
      </c>
      <c r="R43" s="1745" t="s">
        <v>1139</v>
      </c>
      <c r="S43" s="1746">
        <f t="shared" si="12"/>
        <v>100</v>
      </c>
      <c r="T43" s="1745" t="s">
        <v>1139</v>
      </c>
      <c r="U43" s="1746">
        <f t="shared" si="13"/>
        <v>100</v>
      </c>
      <c r="V43" s="1745" t="s">
        <v>1139</v>
      </c>
      <c r="W43" s="1746">
        <f t="shared" si="14"/>
        <v>100</v>
      </c>
      <c r="X43" s="1220"/>
      <c r="Y43" s="4553"/>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22"/>
      <c r="Q44" s="1137">
        <f t="shared" si="11"/>
        <v>111</v>
      </c>
      <c r="R44" s="1738" t="s">
        <v>1139</v>
      </c>
      <c r="S44" s="1739">
        <f t="shared" si="12"/>
        <v>100</v>
      </c>
      <c r="T44" s="1738" t="s">
        <v>1139</v>
      </c>
      <c r="U44" s="1739">
        <f t="shared" si="13"/>
        <v>100</v>
      </c>
      <c r="V44" s="1738" t="s">
        <v>1139</v>
      </c>
      <c r="W44" s="1739">
        <f t="shared" si="14"/>
        <v>100</v>
      </c>
      <c r="X44" s="1239"/>
      <c r="Y44" s="4553"/>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22"/>
      <c r="Q45" s="988">
        <f t="shared" si="11"/>
        <v>111</v>
      </c>
      <c r="R45" s="1745" t="s">
        <v>1139</v>
      </c>
      <c r="S45" s="1746">
        <f t="shared" si="12"/>
        <v>100</v>
      </c>
      <c r="T45" s="1745" t="s">
        <v>1139</v>
      </c>
      <c r="U45" s="1746">
        <f t="shared" si="13"/>
        <v>100</v>
      </c>
      <c r="V45" s="1745" t="s">
        <v>1139</v>
      </c>
      <c r="W45" s="1746">
        <f t="shared" si="14"/>
        <v>100</v>
      </c>
      <c r="X45" s="1220"/>
      <c r="Y45" s="4553"/>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23"/>
      <c r="Q46" s="988">
        <f t="shared" si="11"/>
        <v>111</v>
      </c>
      <c r="R46" s="1745" t="s">
        <v>1139</v>
      </c>
      <c r="S46" s="1746">
        <f t="shared" si="12"/>
        <v>100</v>
      </c>
      <c r="T46" s="1745" t="s">
        <v>1139</v>
      </c>
      <c r="U46" s="1746">
        <f t="shared" si="13"/>
        <v>100</v>
      </c>
      <c r="V46" s="1745" t="s">
        <v>1139</v>
      </c>
      <c r="W46" s="1746">
        <f t="shared" si="14"/>
        <v>100</v>
      </c>
      <c r="X46" s="1220"/>
      <c r="Y46" s="4624"/>
      <c r="Z46" s="1288">
        <f t="shared" si="15"/>
        <v>111</v>
      </c>
      <c r="AA46" s="1288">
        <f t="shared" si="3"/>
        <v>1</v>
      </c>
      <c r="AB46" s="1288">
        <f t="shared" si="4"/>
        <v>1</v>
      </c>
      <c r="AC46" s="1288">
        <f t="shared" si="5"/>
        <v>1</v>
      </c>
    </row>
    <row r="47" spans="1:29" ht="14.4">
      <c r="A47" s="1345" t="s">
        <v>2184</v>
      </c>
      <c r="B47" s="1655"/>
      <c r="C47" s="1656" t="s">
        <v>124</v>
      </c>
      <c r="D47" s="1657"/>
      <c r="E47" s="1349"/>
      <c r="F47" s="1350"/>
      <c r="G47" s="1351"/>
      <c r="H47" s="1352"/>
      <c r="I47" s="1349"/>
      <c r="J47" s="1352"/>
      <c r="K47" s="1353"/>
      <c r="L47" s="1354"/>
      <c r="M47" s="1219"/>
      <c r="N47" s="1219"/>
      <c r="O47" s="1219"/>
      <c r="P47" s="4537" t="str">
        <f>A47</f>
        <v>成交单价（元/平方米）</v>
      </c>
      <c r="Q47" s="4537"/>
      <c r="R47" s="4538">
        <f>E47</f>
        <v>0</v>
      </c>
      <c r="S47" s="4538"/>
      <c r="T47" s="4538">
        <f>G47</f>
        <v>0</v>
      </c>
      <c r="U47" s="4538"/>
      <c r="V47" s="4538">
        <f>I47</f>
        <v>0</v>
      </c>
      <c r="W47" s="4538"/>
      <c r="X47" s="1355"/>
      <c r="Y47" s="1356"/>
      <c r="Z47" s="1355"/>
      <c r="AA47" s="1355"/>
      <c r="AB47" s="1355"/>
      <c r="AC47" s="1355"/>
    </row>
    <row r="48" spans="1:29" ht="14.4">
      <c r="A48" s="1357" t="s">
        <v>1183</v>
      </c>
      <c r="B48" s="1658"/>
      <c r="C48" s="1362" t="e">
        <f>R49</f>
        <v>#DIV/0!</v>
      </c>
      <c r="D48" s="1659" t="s">
        <v>2185</v>
      </c>
      <c r="E48" s="1359" t="e">
        <f>R48</f>
        <v>#DIV/0!</v>
      </c>
      <c r="F48" s="1361"/>
      <c r="G48" s="1362" t="e">
        <f>T48</f>
        <v>#DIV/0!</v>
      </c>
      <c r="H48" s="1361"/>
      <c r="I48" s="1359" t="e">
        <f>V48</f>
        <v>#DIV/0!</v>
      </c>
      <c r="J48" s="1361"/>
      <c r="K48" s="1363">
        <f>F48+H48+J48</f>
        <v>0</v>
      </c>
      <c r="L48" s="1354"/>
      <c r="M48" s="1219"/>
      <c r="N48" s="1219"/>
      <c r="O48" s="1219"/>
      <c r="P48" s="4537" t="str">
        <f>A48</f>
        <v>比较价值（元/平方米）</v>
      </c>
      <c r="Q48" s="4537"/>
      <c r="R48" s="4538" t="e">
        <f>IF(F1="售价",ROUND(PRODUCT(R47,AA7:AA46),0),ROUND(PRODUCT(R47,AA7:AA46),1))</f>
        <v>#DIV/0!</v>
      </c>
      <c r="S48" s="4538"/>
      <c r="T48" s="4538" t="e">
        <f>IF(F1="售价",ROUND(PRODUCT(T47,AB7:AB46),0),ROUND(PRODUCT(T47,AB7:AB46),1))</f>
        <v>#DIV/0!</v>
      </c>
      <c r="U48" s="4538"/>
      <c r="V48" s="4538" t="e">
        <f>IF(F1="售价",ROUND(PRODUCT(V47,AC7:AC46),0),ROUND(PRODUCT(V47,AC7:AC46),1))</f>
        <v>#DIV/0!</v>
      </c>
      <c r="W48" s="4538"/>
      <c r="X48" s="1355"/>
      <c r="Y48" s="1355"/>
      <c r="Z48" s="1355"/>
      <c r="AA48" s="1355"/>
      <c r="AB48" s="1355"/>
      <c r="AC48" s="1355"/>
    </row>
    <row r="49" spans="1:29" ht="14.4">
      <c r="A49" s="1364" t="s">
        <v>2186</v>
      </c>
      <c r="B49" s="1365"/>
      <c r="C49" s="1366" t="e">
        <f>R49</f>
        <v>#DIV/0!</v>
      </c>
      <c r="D49" s="1574"/>
      <c r="E49" s="1574"/>
      <c r="F49" s="1574"/>
      <c r="G49" s="1574"/>
      <c r="H49" s="1574"/>
      <c r="I49" s="1574"/>
      <c r="J49" s="1574"/>
      <c r="K49" s="1660"/>
      <c r="L49" s="1354"/>
      <c r="M49" s="1219"/>
      <c r="N49" s="1219"/>
      <c r="O49" s="1219"/>
      <c r="P49" s="4539" t="str">
        <f>A49</f>
        <v>估价对象XX用房的比较价值（楼面单价，元/平方米）</v>
      </c>
      <c r="Q49" s="4540"/>
      <c r="R49" s="4541" t="e">
        <f>IF(F1="售价",ROUND(IF(D48="简单平均",AVERAGE(R48:V48),R48*F48+T48*H48+V48*J48),0),ROUND(IF(D48="简单平均",AVERAGE(R48:V48),R48*F48+T48*H48+V48*J48),1))</f>
        <v>#DIV/0!</v>
      </c>
      <c r="S49" s="4541"/>
      <c r="T49" s="4541"/>
      <c r="U49" s="4541"/>
      <c r="V49" s="4541"/>
      <c r="W49" s="454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1186</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1187</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1188</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1213</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1136</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1216</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1140</v>
      </c>
      <c r="B61" s="1444"/>
      <c r="C61" s="1445" t="s">
        <v>1217</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1218</v>
      </c>
      <c r="B63" s="1454" t="s">
        <v>1144</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1147</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2191</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1148</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1151</v>
      </c>
      <c r="B76" s="1454" t="s">
        <v>1152</v>
      </c>
      <c r="C76" s="1501" t="s">
        <v>1219</v>
      </c>
      <c r="D76" s="1501" t="s">
        <v>1220</v>
      </c>
      <c r="E76" s="1501" t="s">
        <v>1221</v>
      </c>
      <c r="F76" s="1501" t="s">
        <v>1222</v>
      </c>
      <c r="G76" s="1501" t="s">
        <v>1223</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1158</v>
      </c>
      <c r="C78" s="1506" t="s">
        <v>1219</v>
      </c>
      <c r="D78" s="1506" t="s">
        <v>1220</v>
      </c>
      <c r="E78" s="1506" t="s">
        <v>1221</v>
      </c>
      <c r="F78" s="1506" t="s">
        <v>1222</v>
      </c>
      <c r="G78" s="1506" t="s">
        <v>1223</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1165</v>
      </c>
      <c r="C80" s="1506" t="s">
        <v>1219</v>
      </c>
      <c r="D80" s="1506" t="s">
        <v>1220</v>
      </c>
      <c r="E80" s="1506" t="s">
        <v>1221</v>
      </c>
      <c r="F80" s="1506" t="s">
        <v>1222</v>
      </c>
      <c r="G80" s="1506" t="s">
        <v>1223</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1167</v>
      </c>
      <c r="C82" s="1295" t="s">
        <v>1224</v>
      </c>
      <c r="D82" s="1295" t="s">
        <v>1225</v>
      </c>
      <c r="E82" s="1295" t="s">
        <v>1226</v>
      </c>
      <c r="F82" s="1295" t="s">
        <v>1227</v>
      </c>
      <c r="G82" s="1295" t="s">
        <v>1228</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2161</v>
      </c>
      <c r="C84" s="1506" t="s">
        <v>1219</v>
      </c>
      <c r="D84" s="1506" t="s">
        <v>1220</v>
      </c>
      <c r="E84" s="1506" t="s">
        <v>1221</v>
      </c>
      <c r="F84" s="1506" t="s">
        <v>1222</v>
      </c>
      <c r="G84" s="1506" t="s">
        <v>1223</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1168</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1174</v>
      </c>
      <c r="B100" s="1454" t="s">
        <v>2260</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2169</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2170</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2174</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2178</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2261</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2262</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2263</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2265</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2181</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2182</v>
      </c>
      <c r="C124" s="1506" t="s">
        <v>1219</v>
      </c>
      <c r="D124" s="1506" t="s">
        <v>1220</v>
      </c>
      <c r="E124" s="1506" t="s">
        <v>1221</v>
      </c>
      <c r="F124" s="1506" t="s">
        <v>1222</v>
      </c>
      <c r="G124" s="1506" t="s">
        <v>1223</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2148</v>
      </c>
      <c r="B1" s="1678" t="s">
        <v>2266</v>
      </c>
      <c r="C1" s="1542" t="s">
        <v>2150</v>
      </c>
      <c r="D1" s="1543"/>
      <c r="E1" s="1544"/>
      <c r="F1" s="1545"/>
      <c r="G1" s="1546" t="s">
        <v>1116</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1117</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1409</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560">
        <f>IF(E2="——",C50,ROUND(B2*10000/D3,0))</f>
        <v>0</v>
      </c>
      <c r="C3" s="1561" t="s">
        <v>1119</v>
      </c>
      <c r="D3" s="1560">
        <f>IF(D1="",'数据-汇总表'!E3,SUMIF('数据-汇总表'!$C19:$C33,D1,'数据-汇总表'!$E19:$E33))</f>
        <v>25832.71</v>
      </c>
      <c r="E3" s="1562" t="s">
        <v>1699</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1123</v>
      </c>
      <c r="B4" s="1565"/>
      <c r="C4" s="4514" t="s">
        <v>1124</v>
      </c>
      <c r="D4" s="4646"/>
      <c r="E4" s="4647" t="s">
        <v>1125</v>
      </c>
      <c r="F4" s="4648"/>
      <c r="G4" s="4514" t="s">
        <v>1126</v>
      </c>
      <c r="H4" s="4646"/>
      <c r="I4" s="4514" t="s">
        <v>1127</v>
      </c>
      <c r="J4" s="4646"/>
      <c r="K4" s="1217" t="s">
        <v>1128</v>
      </c>
      <c r="L4" s="1218"/>
      <c r="M4" s="1219"/>
      <c r="N4" s="1219"/>
      <c r="O4" s="1219"/>
      <c r="P4" s="4659" t="s">
        <v>1129</v>
      </c>
      <c r="Q4" s="4660"/>
      <c r="R4" s="4663" t="s">
        <v>1125</v>
      </c>
      <c r="S4" s="4664"/>
      <c r="T4" s="4663" t="s">
        <v>1126</v>
      </c>
      <c r="U4" s="4664"/>
      <c r="V4" s="4665" t="s">
        <v>1127</v>
      </c>
      <c r="W4" s="4665"/>
      <c r="X4" s="1736"/>
      <c r="Y4" s="4666" t="s">
        <v>1129</v>
      </c>
      <c r="Z4" s="4667"/>
      <c r="AA4" s="4655" t="s">
        <v>1125</v>
      </c>
      <c r="AB4" s="4655" t="s">
        <v>1126</v>
      </c>
      <c r="AC4" s="4656" t="s">
        <v>1127</v>
      </c>
    </row>
    <row r="5" spans="1:29">
      <c r="A5" s="1570"/>
      <c r="B5" s="1571"/>
      <c r="C5" s="4649" t="s">
        <v>1130</v>
      </c>
      <c r="D5" s="4650"/>
      <c r="E5" s="4672" t="s">
        <v>2255</v>
      </c>
      <c r="F5" s="4652"/>
      <c r="G5" s="4649" t="s">
        <v>2256</v>
      </c>
      <c r="H5" s="4650"/>
      <c r="I5" s="4649" t="s">
        <v>2257</v>
      </c>
      <c r="J5" s="4650"/>
      <c r="K5" s="1217"/>
      <c r="L5" s="1218"/>
      <c r="M5" s="1219"/>
      <c r="N5" s="1219"/>
      <c r="O5" s="1219"/>
      <c r="P5" s="4661"/>
      <c r="Q5" s="4521"/>
      <c r="R5" s="4526"/>
      <c r="S5" s="4527"/>
      <c r="T5" s="4526"/>
      <c r="U5" s="4527"/>
      <c r="V5" s="4530"/>
      <c r="W5" s="4530"/>
      <c r="X5" s="1220"/>
      <c r="Y5" s="4533"/>
      <c r="Z5" s="4534"/>
      <c r="AA5" s="4512"/>
      <c r="AB5" s="4512"/>
      <c r="AC5" s="4657"/>
    </row>
    <row r="6" spans="1:29" ht="14.4">
      <c r="A6" s="1573"/>
      <c r="B6" s="1574"/>
      <c r="C6" s="4641" t="s">
        <v>1134</v>
      </c>
      <c r="D6" s="4642"/>
      <c r="E6" s="4643" t="s">
        <v>1134</v>
      </c>
      <c r="F6" s="4644"/>
      <c r="G6" s="4641" t="s">
        <v>1134</v>
      </c>
      <c r="H6" s="4642"/>
      <c r="I6" s="4641" t="s">
        <v>1134</v>
      </c>
      <c r="J6" s="4642"/>
      <c r="K6" s="1217" t="s">
        <v>1135</v>
      </c>
      <c r="L6" s="1218"/>
      <c r="M6" s="1219"/>
      <c r="N6" s="1219"/>
      <c r="O6" s="1219"/>
      <c r="P6" s="4662"/>
      <c r="Q6" s="4523"/>
      <c r="R6" s="4526"/>
      <c r="S6" s="4527"/>
      <c r="T6" s="4528"/>
      <c r="U6" s="4529"/>
      <c r="V6" s="4530"/>
      <c r="W6" s="4530"/>
      <c r="X6" s="1220"/>
      <c r="Y6" s="4535"/>
      <c r="Z6" s="4536"/>
      <c r="AA6" s="4513"/>
      <c r="AB6" s="4513"/>
      <c r="AC6" s="4658"/>
    </row>
    <row r="7" spans="1:29" s="1186" customFormat="1" ht="14.4">
      <c r="A7" s="1576" t="s">
        <v>1136</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71" t="s">
        <v>1138</v>
      </c>
      <c r="Q7" s="4558"/>
      <c r="R7" s="1738" t="s">
        <v>1139</v>
      </c>
      <c r="S7" s="1739">
        <f t="shared" ref="S7:S15" si="0">F7</f>
        <v>0</v>
      </c>
      <c r="T7" s="1738" t="s">
        <v>1139</v>
      </c>
      <c r="U7" s="1739">
        <f t="shared" ref="U7:U15" si="1">H7</f>
        <v>0</v>
      </c>
      <c r="V7" s="1738" t="s">
        <v>1139</v>
      </c>
      <c r="W7" s="1739">
        <f t="shared" ref="W7:W15" si="2">J7</f>
        <v>0</v>
      </c>
      <c r="X7" s="1239"/>
      <c r="Y7" s="4542" t="s">
        <v>1138</v>
      </c>
      <c r="Z7" s="4543"/>
      <c r="AA7" s="1241" t="e">
        <f>D7/F7</f>
        <v>#DIV/0!</v>
      </c>
      <c r="AB7" s="1241" t="e">
        <f>D7/H7</f>
        <v>#DIV/0!</v>
      </c>
      <c r="AC7" s="1740" t="e">
        <f>D7/J7</f>
        <v>#DIV/0!</v>
      </c>
    </row>
    <row r="8" spans="1:29" s="1186" customFormat="1" ht="14.4">
      <c r="A8" s="1576" t="s">
        <v>1140</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71" t="s">
        <v>1142</v>
      </c>
      <c r="Q8" s="4545"/>
      <c r="R8" s="1738" t="s">
        <v>1139</v>
      </c>
      <c r="S8" s="1739">
        <f t="shared" si="0"/>
        <v>100</v>
      </c>
      <c r="T8" s="1738" t="s">
        <v>1139</v>
      </c>
      <c r="U8" s="1739">
        <f t="shared" si="1"/>
        <v>100</v>
      </c>
      <c r="V8" s="1738" t="s">
        <v>1139</v>
      </c>
      <c r="W8" s="1739">
        <f t="shared" si="2"/>
        <v>100</v>
      </c>
      <c r="X8" s="1239"/>
      <c r="Y8" s="4542" t="s">
        <v>1142</v>
      </c>
      <c r="Z8" s="4543"/>
      <c r="AA8" s="1241">
        <f t="shared" ref="AA8:AA47" si="3">D8/F8</f>
        <v>1</v>
      </c>
      <c r="AB8" s="1241">
        <f t="shared" ref="AB8:AB47" si="4">D8/H8</f>
        <v>1</v>
      </c>
      <c r="AC8" s="1740">
        <f t="shared" ref="AC8:AC47" si="5">D8/J8</f>
        <v>1</v>
      </c>
    </row>
    <row r="9" spans="1:29" s="1186" customFormat="1" ht="14.4">
      <c r="A9" s="1586" t="s">
        <v>1143</v>
      </c>
      <c r="B9" s="1587" t="s">
        <v>1144</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18" t="s">
        <v>1145</v>
      </c>
      <c r="Q9" s="1137" t="str">
        <f t="shared" ref="Q9:Q15" si="6">B9</f>
        <v>用途</v>
      </c>
      <c r="R9" s="1738" t="s">
        <v>1139</v>
      </c>
      <c r="S9" s="1739">
        <f t="shared" si="0"/>
        <v>100</v>
      </c>
      <c r="T9" s="1738" t="s">
        <v>1139</v>
      </c>
      <c r="U9" s="1739">
        <f t="shared" si="1"/>
        <v>100</v>
      </c>
      <c r="V9" s="1738" t="s">
        <v>1139</v>
      </c>
      <c r="W9" s="1739">
        <f t="shared" si="2"/>
        <v>100</v>
      </c>
      <c r="X9" s="1239"/>
      <c r="Y9" s="4550" t="s">
        <v>1146</v>
      </c>
      <c r="Z9" s="1241" t="str">
        <f t="shared" ref="Z9:Z15" si="7">Q9</f>
        <v>用途</v>
      </c>
      <c r="AA9" s="1241">
        <f t="shared" si="3"/>
        <v>1</v>
      </c>
      <c r="AB9" s="1241">
        <f t="shared" si="4"/>
        <v>1</v>
      </c>
      <c r="AC9" s="1740">
        <f t="shared" si="5"/>
        <v>1</v>
      </c>
    </row>
    <row r="10" spans="1:29" s="1187" customFormat="1" ht="28.8">
      <c r="A10" s="1592"/>
      <c r="B10" s="1593" t="s">
        <v>1147</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18"/>
      <c r="Q10" s="1137" t="str">
        <f t="shared" si="6"/>
        <v>土地使用年限（年）</v>
      </c>
      <c r="R10" s="1738" t="s">
        <v>1139</v>
      </c>
      <c r="S10" s="1739">
        <f t="shared" si="0"/>
        <v>100</v>
      </c>
      <c r="T10" s="1738" t="s">
        <v>1139</v>
      </c>
      <c r="U10" s="1739">
        <f t="shared" si="1"/>
        <v>100</v>
      </c>
      <c r="V10" s="1738" t="s">
        <v>1139</v>
      </c>
      <c r="W10" s="1739">
        <f t="shared" si="2"/>
        <v>100</v>
      </c>
      <c r="X10" s="1239"/>
      <c r="Y10" s="4550"/>
      <c r="Z10" s="1241" t="str">
        <f t="shared" si="7"/>
        <v>土地使用年限（年）</v>
      </c>
      <c r="AA10" s="1241">
        <f t="shared" si="3"/>
        <v>1</v>
      </c>
      <c r="AB10" s="1241">
        <f t="shared" si="4"/>
        <v>1</v>
      </c>
      <c r="AC10" s="1740">
        <f t="shared" si="5"/>
        <v>1</v>
      </c>
    </row>
    <row r="11" spans="1:29" ht="15">
      <c r="A11" s="1460"/>
      <c r="B11" s="1593" t="s">
        <v>1148</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18"/>
      <c r="Q11" s="1137" t="str">
        <f t="shared" si="6"/>
        <v>容积率</v>
      </c>
      <c r="R11" s="1738" t="s">
        <v>1139</v>
      </c>
      <c r="S11" s="1739">
        <f t="shared" si="0"/>
        <v>100</v>
      </c>
      <c r="T11" s="1738" t="s">
        <v>1139</v>
      </c>
      <c r="U11" s="1739">
        <f t="shared" si="1"/>
        <v>100</v>
      </c>
      <c r="V11" s="1738" t="s">
        <v>1139</v>
      </c>
      <c r="W11" s="1739">
        <f t="shared" si="2"/>
        <v>100</v>
      </c>
      <c r="X11" s="1239"/>
      <c r="Y11" s="4550"/>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18"/>
      <c r="Q12" s="1137">
        <f t="shared" si="6"/>
        <v>111</v>
      </c>
      <c r="R12" s="1738" t="s">
        <v>1139</v>
      </c>
      <c r="S12" s="1739">
        <f t="shared" si="0"/>
        <v>100</v>
      </c>
      <c r="T12" s="1738" t="s">
        <v>1139</v>
      </c>
      <c r="U12" s="1739">
        <f t="shared" si="1"/>
        <v>100</v>
      </c>
      <c r="V12" s="1738" t="s">
        <v>1139</v>
      </c>
      <c r="W12" s="1739">
        <f t="shared" si="2"/>
        <v>100</v>
      </c>
      <c r="X12" s="1239"/>
      <c r="Y12" s="4550"/>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18"/>
      <c r="Q13" s="1137">
        <f t="shared" si="6"/>
        <v>111</v>
      </c>
      <c r="R13" s="1738" t="s">
        <v>1139</v>
      </c>
      <c r="S13" s="1739">
        <f t="shared" si="0"/>
        <v>100</v>
      </c>
      <c r="T13" s="1738" t="s">
        <v>1139</v>
      </c>
      <c r="U13" s="1739">
        <f t="shared" si="1"/>
        <v>100</v>
      </c>
      <c r="V13" s="1738" t="s">
        <v>1139</v>
      </c>
      <c r="W13" s="1739">
        <f t="shared" si="2"/>
        <v>100</v>
      </c>
      <c r="X13" s="1239"/>
      <c r="Y13" s="4550"/>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18"/>
      <c r="Q14" s="1137">
        <f t="shared" si="6"/>
        <v>111</v>
      </c>
      <c r="R14" s="1738" t="s">
        <v>1139</v>
      </c>
      <c r="S14" s="1739">
        <f t="shared" si="0"/>
        <v>100</v>
      </c>
      <c r="T14" s="1738" t="s">
        <v>1139</v>
      </c>
      <c r="U14" s="1739">
        <f t="shared" si="1"/>
        <v>100</v>
      </c>
      <c r="V14" s="1738" t="s">
        <v>1139</v>
      </c>
      <c r="W14" s="1739">
        <f t="shared" si="2"/>
        <v>100</v>
      </c>
      <c r="X14" s="1239"/>
      <c r="Y14" s="4550"/>
      <c r="Z14" s="1241">
        <f t="shared" si="7"/>
        <v>111</v>
      </c>
      <c r="AA14" s="1241">
        <f t="shared" si="3"/>
        <v>1</v>
      </c>
      <c r="AB14" s="1241">
        <f t="shared" si="4"/>
        <v>1</v>
      </c>
      <c r="AC14" s="1740">
        <f t="shared" si="5"/>
        <v>1</v>
      </c>
    </row>
    <row r="15" spans="1:29" ht="15">
      <c r="A15" s="1453" t="s">
        <v>1151</v>
      </c>
      <c r="B15" s="1743" t="s">
        <v>1157</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19" t="s">
        <v>1154</v>
      </c>
      <c r="Q15" s="988" t="str">
        <f t="shared" si="6"/>
        <v>办公集聚程度</v>
      </c>
      <c r="R15" s="1745" t="s">
        <v>1139</v>
      </c>
      <c r="S15" s="1746">
        <f t="shared" si="0"/>
        <v>100</v>
      </c>
      <c r="T15" s="1745" t="s">
        <v>1139</v>
      </c>
      <c r="U15" s="1746">
        <f t="shared" si="1"/>
        <v>100</v>
      </c>
      <c r="V15" s="1745" t="s">
        <v>1139</v>
      </c>
      <c r="W15" s="1746">
        <f t="shared" si="2"/>
        <v>100</v>
      </c>
      <c r="X15" s="1220"/>
      <c r="Y15" s="4551" t="s">
        <v>1154</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20"/>
      <c r="Q16" s="988"/>
      <c r="R16" s="1745"/>
      <c r="S16" s="1746"/>
      <c r="T16" s="1745"/>
      <c r="U16" s="1746"/>
      <c r="V16" s="1745"/>
      <c r="W16" s="1746"/>
      <c r="X16" s="1220"/>
      <c r="Y16" s="4552"/>
      <c r="Z16" s="1288"/>
      <c r="AA16" s="1288">
        <v>1</v>
      </c>
      <c r="AB16" s="1288">
        <v>1</v>
      </c>
      <c r="AC16" s="1747">
        <v>1</v>
      </c>
    </row>
    <row r="17" spans="1:29" ht="15">
      <c r="A17" s="1460"/>
      <c r="B17" s="1750" t="s">
        <v>1158</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20"/>
      <c r="Q17" s="988" t="str">
        <f>B17</f>
        <v>交通便捷度</v>
      </c>
      <c r="R17" s="1745" t="s">
        <v>1139</v>
      </c>
      <c r="S17" s="1746">
        <f>F17</f>
        <v>100</v>
      </c>
      <c r="T17" s="1745" t="s">
        <v>1139</v>
      </c>
      <c r="U17" s="1746">
        <f>H17</f>
        <v>100</v>
      </c>
      <c r="V17" s="1745" t="s">
        <v>1139</v>
      </c>
      <c r="W17" s="1746">
        <f>J17</f>
        <v>100</v>
      </c>
      <c r="X17" s="1220"/>
      <c r="Y17" s="4552"/>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20"/>
      <c r="Q18" s="988"/>
      <c r="R18" s="1745"/>
      <c r="S18" s="1746"/>
      <c r="T18" s="1745"/>
      <c r="U18" s="1746"/>
      <c r="V18" s="1745"/>
      <c r="W18" s="1746"/>
      <c r="X18" s="1220"/>
      <c r="Y18" s="4552"/>
      <c r="Z18" s="1288"/>
      <c r="AA18" s="1288">
        <v>1</v>
      </c>
      <c r="AB18" s="1288">
        <v>1</v>
      </c>
      <c r="AC18" s="1747">
        <v>1</v>
      </c>
    </row>
    <row r="19" spans="1:29" ht="55.2">
      <c r="A19" s="1460"/>
      <c r="B19" s="1750" t="s">
        <v>1165</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20"/>
      <c r="Q19" s="988" t="str">
        <f>B19</f>
        <v>公共配套设施</v>
      </c>
      <c r="R19" s="1745" t="s">
        <v>1139</v>
      </c>
      <c r="S19" s="1746">
        <f>F19</f>
        <v>100</v>
      </c>
      <c r="T19" s="1745" t="s">
        <v>1139</v>
      </c>
      <c r="U19" s="1746">
        <f>H19</f>
        <v>100</v>
      </c>
      <c r="V19" s="1745" t="s">
        <v>1139</v>
      </c>
      <c r="W19" s="1746">
        <f>J19</f>
        <v>100</v>
      </c>
      <c r="X19" s="1220"/>
      <c r="Y19" s="4552"/>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20"/>
      <c r="Q20" s="988"/>
      <c r="R20" s="1745"/>
      <c r="S20" s="1746"/>
      <c r="T20" s="1745"/>
      <c r="U20" s="1746"/>
      <c r="V20" s="1745"/>
      <c r="W20" s="1746"/>
      <c r="X20" s="1220"/>
      <c r="Y20" s="4552"/>
      <c r="Z20" s="1288"/>
      <c r="AA20" s="1288">
        <v>1</v>
      </c>
      <c r="AB20" s="1288">
        <v>1</v>
      </c>
      <c r="AC20" s="1747">
        <v>1</v>
      </c>
    </row>
    <row r="21" spans="1:29" ht="15">
      <c r="A21" s="1460"/>
      <c r="B21" s="1637" t="s">
        <v>1167</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20"/>
      <c r="Q21" s="988" t="str">
        <f>B21</f>
        <v>基础设施水平</v>
      </c>
      <c r="R21" s="1745" t="s">
        <v>1139</v>
      </c>
      <c r="S21" s="1746">
        <f>F21</f>
        <v>100</v>
      </c>
      <c r="T21" s="1745" t="s">
        <v>1139</v>
      </c>
      <c r="U21" s="1746">
        <f>H21</f>
        <v>100</v>
      </c>
      <c r="V21" s="1745" t="s">
        <v>1139</v>
      </c>
      <c r="W21" s="1746">
        <f>J21</f>
        <v>100</v>
      </c>
      <c r="X21" s="1220"/>
      <c r="Y21" s="4552"/>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20"/>
      <c r="Q22" s="988"/>
      <c r="R22" s="1745"/>
      <c r="S22" s="1746"/>
      <c r="T22" s="1745"/>
      <c r="U22" s="1746"/>
      <c r="V22" s="1745"/>
      <c r="W22" s="1746"/>
      <c r="X22" s="1220"/>
      <c r="Y22" s="4552"/>
      <c r="Z22" s="1288"/>
      <c r="AA22" s="1288">
        <v>1</v>
      </c>
      <c r="AB22" s="1288">
        <v>1</v>
      </c>
      <c r="AC22" s="1747">
        <v>1</v>
      </c>
    </row>
    <row r="23" spans="1:29" ht="69">
      <c r="A23" s="1460"/>
      <c r="B23" s="1750" t="s">
        <v>2267</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20"/>
      <c r="Q23" s="988" t="str">
        <f>B23</f>
        <v>环境质量</v>
      </c>
      <c r="R23" s="1745" t="s">
        <v>1139</v>
      </c>
      <c r="S23" s="1746">
        <f>F23</f>
        <v>100</v>
      </c>
      <c r="T23" s="1745" t="s">
        <v>1139</v>
      </c>
      <c r="U23" s="1746">
        <f>H23</f>
        <v>100</v>
      </c>
      <c r="V23" s="1745" t="s">
        <v>1139</v>
      </c>
      <c r="W23" s="1746">
        <f>J23</f>
        <v>100</v>
      </c>
      <c r="X23" s="1220"/>
      <c r="Y23" s="4552"/>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20"/>
      <c r="Q24" s="988"/>
      <c r="R24" s="1745"/>
      <c r="S24" s="1746"/>
      <c r="T24" s="1745"/>
      <c r="U24" s="1746"/>
      <c r="V24" s="1745"/>
      <c r="W24" s="1746"/>
      <c r="X24" s="1220"/>
      <c r="Y24" s="4552"/>
      <c r="Z24" s="1288"/>
      <c r="AA24" s="1288">
        <v>1</v>
      </c>
      <c r="AB24" s="1288">
        <v>1</v>
      </c>
      <c r="AC24" s="1747">
        <v>1</v>
      </c>
    </row>
    <row r="25" spans="1:29" ht="28.8">
      <c r="A25" s="1570"/>
      <c r="B25" s="1750" t="s">
        <v>1171</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20"/>
      <c r="Q25" s="988" t="str">
        <f>B25</f>
        <v>毗邻道路的类型与等级</v>
      </c>
      <c r="R25" s="1745" t="s">
        <v>1139</v>
      </c>
      <c r="S25" s="1746">
        <f>F25</f>
        <v>100</v>
      </c>
      <c r="T25" s="1745" t="s">
        <v>1139</v>
      </c>
      <c r="U25" s="1746">
        <f>H25</f>
        <v>100</v>
      </c>
      <c r="V25" s="1745" t="s">
        <v>1139</v>
      </c>
      <c r="W25" s="1746">
        <f>J25</f>
        <v>100</v>
      </c>
      <c r="X25" s="1220"/>
      <c r="Y25" s="4552"/>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20"/>
      <c r="Q26" s="988"/>
      <c r="R26" s="1745"/>
      <c r="S26" s="1746"/>
      <c r="T26" s="1745"/>
      <c r="U26" s="1746"/>
      <c r="V26" s="1745"/>
      <c r="W26" s="1746"/>
      <c r="X26" s="1220"/>
      <c r="Y26" s="4552"/>
      <c r="Z26" s="1288"/>
      <c r="AA26" s="1288">
        <v>1</v>
      </c>
      <c r="AB26" s="1288">
        <v>1</v>
      </c>
      <c r="AC26" s="1747">
        <v>1</v>
      </c>
    </row>
    <row r="27" spans="1:29" ht="15">
      <c r="A27" s="1460"/>
      <c r="B27" s="1704" t="s">
        <v>2242</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20"/>
      <c r="Q27" s="988" t="str">
        <f t="shared" ref="Q27:Q47" si="11">B27</f>
        <v>楼层</v>
      </c>
      <c r="R27" s="1745" t="s">
        <v>1139</v>
      </c>
      <c r="S27" s="1746">
        <f>F27</f>
        <v>100</v>
      </c>
      <c r="T27" s="1745" t="s">
        <v>1139</v>
      </c>
      <c r="U27" s="1746">
        <f>H27</f>
        <v>100</v>
      </c>
      <c r="V27" s="1745" t="s">
        <v>1139</v>
      </c>
      <c r="W27" s="1746">
        <f>J27</f>
        <v>100</v>
      </c>
      <c r="X27" s="1220"/>
      <c r="Y27" s="4552"/>
      <c r="Z27" s="1288" t="str">
        <f>Q27</f>
        <v>楼层</v>
      </c>
      <c r="AA27" s="1288">
        <f t="shared" si="3"/>
        <v>1</v>
      </c>
      <c r="AB27" s="1288">
        <f t="shared" si="4"/>
        <v>1</v>
      </c>
      <c r="AC27" s="1747">
        <f t="shared" si="5"/>
        <v>1</v>
      </c>
    </row>
    <row r="28" spans="1:29" s="1186" customFormat="1" ht="15">
      <c r="A28" s="1507"/>
      <c r="B28" s="1750" t="s">
        <v>2164</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20"/>
      <c r="Q28" s="1137" t="str">
        <f t="shared" si="11"/>
        <v>朝向</v>
      </c>
      <c r="R28" s="1738" t="s">
        <v>1139</v>
      </c>
      <c r="S28" s="1739">
        <f>F28</f>
        <v>100</v>
      </c>
      <c r="T28" s="1738" t="s">
        <v>1139</v>
      </c>
      <c r="U28" s="1739">
        <f>H28</f>
        <v>100</v>
      </c>
      <c r="V28" s="1738" t="s">
        <v>1139</v>
      </c>
      <c r="W28" s="1739">
        <f>J28</f>
        <v>100</v>
      </c>
      <c r="X28" s="1239"/>
      <c r="Y28" s="4552"/>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20"/>
      <c r="Q29" s="988">
        <f t="shared" si="11"/>
        <v>111</v>
      </c>
      <c r="R29" s="1745" t="s">
        <v>1139</v>
      </c>
      <c r="S29" s="1746">
        <f t="shared" ref="S29:S47" si="12">F29</f>
        <v>100</v>
      </c>
      <c r="T29" s="1745" t="s">
        <v>1139</v>
      </c>
      <c r="U29" s="1746">
        <f t="shared" ref="U29:U47" si="13">H29</f>
        <v>100</v>
      </c>
      <c r="V29" s="1745" t="s">
        <v>1139</v>
      </c>
      <c r="W29" s="1746">
        <f t="shared" ref="W29:W47" si="14">J29</f>
        <v>100</v>
      </c>
      <c r="X29" s="1220"/>
      <c r="Y29" s="4552"/>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20"/>
      <c r="Q30" s="988">
        <f t="shared" si="11"/>
        <v>111</v>
      </c>
      <c r="R30" s="1745" t="s">
        <v>1139</v>
      </c>
      <c r="S30" s="1746">
        <f t="shared" si="12"/>
        <v>100</v>
      </c>
      <c r="T30" s="1745" t="s">
        <v>1139</v>
      </c>
      <c r="U30" s="1746">
        <f t="shared" si="13"/>
        <v>100</v>
      </c>
      <c r="V30" s="1745" t="s">
        <v>1139</v>
      </c>
      <c r="W30" s="1746">
        <f t="shared" si="14"/>
        <v>100</v>
      </c>
      <c r="X30" s="1220"/>
      <c r="Y30" s="4552"/>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20"/>
      <c r="Q31" s="988">
        <f t="shared" si="11"/>
        <v>111</v>
      </c>
      <c r="R31" s="1745" t="s">
        <v>1139</v>
      </c>
      <c r="S31" s="1746">
        <f t="shared" si="12"/>
        <v>100</v>
      </c>
      <c r="T31" s="1745" t="s">
        <v>1139</v>
      </c>
      <c r="U31" s="1746">
        <f t="shared" si="13"/>
        <v>100</v>
      </c>
      <c r="V31" s="1745" t="s">
        <v>1139</v>
      </c>
      <c r="W31" s="1746">
        <f t="shared" si="14"/>
        <v>100</v>
      </c>
      <c r="X31" s="1220"/>
      <c r="Y31" s="4552"/>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20"/>
      <c r="Q32" s="988">
        <f t="shared" si="11"/>
        <v>111</v>
      </c>
      <c r="R32" s="1745" t="s">
        <v>1139</v>
      </c>
      <c r="S32" s="1746">
        <f t="shared" si="12"/>
        <v>100</v>
      </c>
      <c r="T32" s="1745" t="s">
        <v>1139</v>
      </c>
      <c r="U32" s="1746">
        <f t="shared" si="13"/>
        <v>100</v>
      </c>
      <c r="V32" s="1745" t="s">
        <v>1139</v>
      </c>
      <c r="W32" s="1746">
        <f t="shared" si="14"/>
        <v>100</v>
      </c>
      <c r="X32" s="1220"/>
      <c r="Y32" s="4552"/>
      <c r="Z32" s="1288">
        <f t="shared" si="15"/>
        <v>111</v>
      </c>
      <c r="AA32" s="1288">
        <f t="shared" si="3"/>
        <v>1</v>
      </c>
      <c r="AB32" s="1288">
        <f t="shared" si="4"/>
        <v>1</v>
      </c>
      <c r="AC32" s="1747">
        <f t="shared" si="5"/>
        <v>1</v>
      </c>
    </row>
    <row r="33" spans="1:29" ht="15">
      <c r="A33" s="1453" t="s">
        <v>1174</v>
      </c>
      <c r="B33" s="1587" t="s">
        <v>2165</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21" t="s">
        <v>1173</v>
      </c>
      <c r="Q33" s="988" t="str">
        <f t="shared" si="11"/>
        <v>建筑类型</v>
      </c>
      <c r="R33" s="1745" t="s">
        <v>1139</v>
      </c>
      <c r="S33" s="1746">
        <f t="shared" si="12"/>
        <v>100</v>
      </c>
      <c r="T33" s="1745" t="s">
        <v>1139</v>
      </c>
      <c r="U33" s="1746">
        <f t="shared" si="13"/>
        <v>100</v>
      </c>
      <c r="V33" s="1745" t="s">
        <v>1139</v>
      </c>
      <c r="W33" s="1746">
        <f t="shared" si="14"/>
        <v>100</v>
      </c>
      <c r="X33" s="1220"/>
      <c r="Y33" s="4553" t="s">
        <v>1173</v>
      </c>
      <c r="Z33" s="1288" t="str">
        <f t="shared" si="15"/>
        <v>建筑类型</v>
      </c>
      <c r="AA33" s="1288">
        <f t="shared" si="3"/>
        <v>1</v>
      </c>
      <c r="AB33" s="1288">
        <f t="shared" si="4"/>
        <v>1</v>
      </c>
      <c r="AC33" s="1747">
        <f t="shared" si="5"/>
        <v>1</v>
      </c>
    </row>
    <row r="34" spans="1:29" s="1188" customFormat="1" ht="15">
      <c r="A34" s="1528"/>
      <c r="B34" s="1593" t="s">
        <v>2169</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22"/>
      <c r="Q34" s="1707" t="str">
        <f t="shared" si="11"/>
        <v>项目建筑规模</v>
      </c>
      <c r="R34" s="1758" t="s">
        <v>1139</v>
      </c>
      <c r="S34" s="1759" t="e">
        <f t="shared" si="12"/>
        <v>#N/A</v>
      </c>
      <c r="T34" s="1758" t="s">
        <v>1139</v>
      </c>
      <c r="U34" s="1759" t="e">
        <f t="shared" si="13"/>
        <v>#N/A</v>
      </c>
      <c r="V34" s="1758" t="s">
        <v>1139</v>
      </c>
      <c r="W34" s="1759" t="e">
        <f t="shared" si="14"/>
        <v>#N/A</v>
      </c>
      <c r="X34" s="1330"/>
      <c r="Y34" s="4553"/>
      <c r="Z34" s="1331" t="str">
        <f t="shared" si="15"/>
        <v>项目建筑规模</v>
      </c>
      <c r="AA34" s="1288" t="e">
        <f t="shared" si="3"/>
        <v>#N/A</v>
      </c>
      <c r="AB34" s="1288" t="e">
        <f t="shared" si="4"/>
        <v>#N/A</v>
      </c>
      <c r="AC34" s="1747" t="e">
        <f t="shared" si="5"/>
        <v>#N/A</v>
      </c>
    </row>
    <row r="35" spans="1:29" ht="15">
      <c r="A35" s="1537"/>
      <c r="B35" s="1593" t="s">
        <v>2170</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22"/>
      <c r="Q35" s="988" t="str">
        <f t="shared" si="11"/>
        <v>建筑结构</v>
      </c>
      <c r="R35" s="1745" t="s">
        <v>1139</v>
      </c>
      <c r="S35" s="1746">
        <f t="shared" si="12"/>
        <v>100</v>
      </c>
      <c r="T35" s="1745" t="s">
        <v>1139</v>
      </c>
      <c r="U35" s="1746">
        <f t="shared" si="13"/>
        <v>100</v>
      </c>
      <c r="V35" s="1745" t="s">
        <v>1139</v>
      </c>
      <c r="W35" s="1746">
        <f t="shared" si="14"/>
        <v>100</v>
      </c>
      <c r="X35" s="1220"/>
      <c r="Y35" s="4553"/>
      <c r="Z35" s="1288" t="str">
        <f t="shared" si="15"/>
        <v>建筑结构</v>
      </c>
      <c r="AA35" s="1288">
        <f t="shared" si="3"/>
        <v>1</v>
      </c>
      <c r="AB35" s="1288">
        <f t="shared" si="4"/>
        <v>1</v>
      </c>
      <c r="AC35" s="1747">
        <f t="shared" si="5"/>
        <v>1</v>
      </c>
    </row>
    <row r="36" spans="1:29" ht="15">
      <c r="A36" s="1537"/>
      <c r="B36" s="1593" t="s">
        <v>2174</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22"/>
      <c r="Q36" s="988" t="str">
        <f t="shared" si="11"/>
        <v>公共部分装修</v>
      </c>
      <c r="R36" s="1745" t="s">
        <v>1139</v>
      </c>
      <c r="S36" s="1746">
        <f t="shared" si="12"/>
        <v>100</v>
      </c>
      <c r="T36" s="1745" t="s">
        <v>1139</v>
      </c>
      <c r="U36" s="1746">
        <f t="shared" si="13"/>
        <v>100</v>
      </c>
      <c r="V36" s="1745" t="s">
        <v>1139</v>
      </c>
      <c r="W36" s="1746">
        <f t="shared" si="14"/>
        <v>100</v>
      </c>
      <c r="X36" s="1220"/>
      <c r="Y36" s="4553"/>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22"/>
      <c r="Q37" s="988" t="str">
        <f t="shared" si="11"/>
        <v>成新度</v>
      </c>
      <c r="R37" s="1745" t="s">
        <v>1139</v>
      </c>
      <c r="S37" s="1746" t="e">
        <f t="shared" si="12"/>
        <v>#N/A</v>
      </c>
      <c r="T37" s="1745" t="s">
        <v>1139</v>
      </c>
      <c r="U37" s="1746" t="e">
        <f t="shared" si="13"/>
        <v>#N/A</v>
      </c>
      <c r="V37" s="1745" t="s">
        <v>1139</v>
      </c>
      <c r="W37" s="1746" t="e">
        <f t="shared" si="14"/>
        <v>#N/A</v>
      </c>
      <c r="X37" s="1220"/>
      <c r="Y37" s="4553"/>
      <c r="Z37" s="1288" t="str">
        <f t="shared" si="15"/>
        <v>成新度</v>
      </c>
      <c r="AA37" s="1288" t="e">
        <f t="shared" si="3"/>
        <v>#N/A</v>
      </c>
      <c r="AB37" s="1288" t="e">
        <f t="shared" si="4"/>
        <v>#N/A</v>
      </c>
      <c r="AC37" s="1747" t="e">
        <f t="shared" si="5"/>
        <v>#N/A</v>
      </c>
    </row>
    <row r="38" spans="1:29" s="1186" customFormat="1" ht="15">
      <c r="A38" s="1649"/>
      <c r="B38" s="1593" t="s">
        <v>2268</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22"/>
      <c r="Q38" s="1137" t="str">
        <f t="shared" si="11"/>
        <v>写字楼等级</v>
      </c>
      <c r="R38" s="1738" t="s">
        <v>1139</v>
      </c>
      <c r="S38" s="1739">
        <f t="shared" si="12"/>
        <v>100</v>
      </c>
      <c r="T38" s="1738" t="s">
        <v>1139</v>
      </c>
      <c r="U38" s="1739">
        <f t="shared" si="13"/>
        <v>100</v>
      </c>
      <c r="V38" s="1738" t="s">
        <v>1139</v>
      </c>
      <c r="W38" s="1739">
        <f t="shared" si="14"/>
        <v>100</v>
      </c>
      <c r="X38" s="1239"/>
      <c r="Y38" s="4553"/>
      <c r="Z38" s="1241" t="str">
        <f t="shared" si="15"/>
        <v>写字楼等级</v>
      </c>
      <c r="AA38" s="1241">
        <f t="shared" si="3"/>
        <v>1</v>
      </c>
      <c r="AB38" s="1241">
        <f t="shared" si="4"/>
        <v>1</v>
      </c>
      <c r="AC38" s="1740">
        <f t="shared" si="5"/>
        <v>1</v>
      </c>
    </row>
    <row r="39" spans="1:29" ht="15">
      <c r="A39" s="1537"/>
      <c r="B39" s="1593" t="s">
        <v>2176</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22" t="s">
        <v>1173</v>
      </c>
      <c r="Q39" s="988" t="str">
        <f t="shared" si="11"/>
        <v>物业管理</v>
      </c>
      <c r="R39" s="1745" t="s">
        <v>1139</v>
      </c>
      <c r="S39" s="1746">
        <f t="shared" si="12"/>
        <v>100</v>
      </c>
      <c r="T39" s="1745" t="s">
        <v>1139</v>
      </c>
      <c r="U39" s="1746">
        <f t="shared" si="13"/>
        <v>100</v>
      </c>
      <c r="V39" s="1745" t="s">
        <v>1139</v>
      </c>
      <c r="W39" s="1746">
        <f t="shared" si="14"/>
        <v>100</v>
      </c>
      <c r="X39" s="1220"/>
      <c r="Y39" s="4553" t="s">
        <v>1173</v>
      </c>
      <c r="Z39" s="1288" t="str">
        <f t="shared" si="15"/>
        <v>物业管理</v>
      </c>
      <c r="AA39" s="1288">
        <f t="shared" si="3"/>
        <v>1</v>
      </c>
      <c r="AB39" s="1288">
        <f t="shared" si="4"/>
        <v>1</v>
      </c>
      <c r="AC39" s="1747">
        <f t="shared" si="5"/>
        <v>1</v>
      </c>
    </row>
    <row r="40" spans="1:29" ht="15">
      <c r="A40" s="1537"/>
      <c r="B40" s="1593" t="s">
        <v>2178</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22"/>
      <c r="Q40" s="988" t="str">
        <f t="shared" si="11"/>
        <v>市政基础设施</v>
      </c>
      <c r="R40" s="1745" t="s">
        <v>1139</v>
      </c>
      <c r="S40" s="1746">
        <f t="shared" si="12"/>
        <v>100</v>
      </c>
      <c r="T40" s="1745" t="s">
        <v>1139</v>
      </c>
      <c r="U40" s="1746">
        <f t="shared" si="13"/>
        <v>100</v>
      </c>
      <c r="V40" s="1745" t="s">
        <v>1139</v>
      </c>
      <c r="W40" s="1746">
        <f t="shared" si="14"/>
        <v>100</v>
      </c>
      <c r="X40" s="1220"/>
      <c r="Y40" s="4553"/>
      <c r="Z40" s="1288" t="str">
        <f t="shared" si="15"/>
        <v>市政基础设施</v>
      </c>
      <c r="AA40" s="1288">
        <f t="shared" si="3"/>
        <v>1</v>
      </c>
      <c r="AB40" s="1288">
        <f t="shared" si="4"/>
        <v>1</v>
      </c>
      <c r="AC40" s="1747">
        <f t="shared" si="5"/>
        <v>1</v>
      </c>
    </row>
    <row r="41" spans="1:29" ht="15">
      <c r="A41" s="1537"/>
      <c r="B41" s="1593" t="s">
        <v>2262</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22"/>
      <c r="Q41" s="988" t="str">
        <f t="shared" si="11"/>
        <v>层高</v>
      </c>
      <c r="R41" s="1745" t="s">
        <v>1139</v>
      </c>
      <c r="S41" s="1746">
        <f t="shared" si="12"/>
        <v>100</v>
      </c>
      <c r="T41" s="1745" t="s">
        <v>1139</v>
      </c>
      <c r="U41" s="1746">
        <f t="shared" si="13"/>
        <v>100</v>
      </c>
      <c r="V41" s="1745" t="s">
        <v>1139</v>
      </c>
      <c r="W41" s="1746">
        <f t="shared" si="14"/>
        <v>100</v>
      </c>
      <c r="X41" s="1220"/>
      <c r="Y41" s="4553"/>
      <c r="Z41" s="1288" t="str">
        <f t="shared" si="15"/>
        <v>层高</v>
      </c>
      <c r="AA41" s="1288">
        <f t="shared" si="3"/>
        <v>1</v>
      </c>
      <c r="AB41" s="1288">
        <f t="shared" si="4"/>
        <v>1</v>
      </c>
      <c r="AC41" s="1747">
        <f t="shared" si="5"/>
        <v>1</v>
      </c>
    </row>
    <row r="42" spans="1:29" s="1188" customFormat="1" ht="15">
      <c r="A42" s="1528"/>
      <c r="B42" s="1634" t="s">
        <v>2269</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22"/>
      <c r="Q42" s="1707" t="str">
        <f t="shared" si="11"/>
        <v>单套建筑面积</v>
      </c>
      <c r="R42" s="1758" t="s">
        <v>1139</v>
      </c>
      <c r="S42" s="1759">
        <f t="shared" si="12"/>
        <v>100</v>
      </c>
      <c r="T42" s="1758" t="s">
        <v>1139</v>
      </c>
      <c r="U42" s="1759">
        <f t="shared" si="13"/>
        <v>100</v>
      </c>
      <c r="V42" s="1758" t="s">
        <v>1139</v>
      </c>
      <c r="W42" s="1759">
        <f t="shared" si="14"/>
        <v>100</v>
      </c>
      <c r="X42" s="1330"/>
      <c r="Y42" s="4553"/>
      <c r="Z42" s="1331" t="str">
        <f t="shared" si="15"/>
        <v>单套建筑面积</v>
      </c>
      <c r="AA42" s="1288">
        <f t="shared" si="3"/>
        <v>1</v>
      </c>
      <c r="AB42" s="1288">
        <f t="shared" si="4"/>
        <v>1</v>
      </c>
      <c r="AC42" s="1747">
        <f t="shared" si="5"/>
        <v>1</v>
      </c>
    </row>
    <row r="43" spans="1:29" ht="15">
      <c r="A43" s="1537"/>
      <c r="B43" s="1593" t="s">
        <v>2181</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22"/>
      <c r="Q43" s="988" t="str">
        <f t="shared" si="11"/>
        <v>内部装修</v>
      </c>
      <c r="R43" s="1745" t="s">
        <v>1139</v>
      </c>
      <c r="S43" s="1746">
        <f t="shared" si="12"/>
        <v>100</v>
      </c>
      <c r="T43" s="1745" t="s">
        <v>1139</v>
      </c>
      <c r="U43" s="1746">
        <f t="shared" si="13"/>
        <v>100</v>
      </c>
      <c r="V43" s="1745" t="s">
        <v>1139</v>
      </c>
      <c r="W43" s="1746">
        <f t="shared" si="14"/>
        <v>100</v>
      </c>
      <c r="X43" s="1220"/>
      <c r="Y43" s="4553"/>
      <c r="Z43" s="1288" t="str">
        <f t="shared" si="15"/>
        <v>内部装修</v>
      </c>
      <c r="AA43" s="1288">
        <f t="shared" si="3"/>
        <v>1</v>
      </c>
      <c r="AB43" s="1288">
        <f t="shared" si="4"/>
        <v>1</v>
      </c>
      <c r="AC43" s="1747">
        <f t="shared" si="5"/>
        <v>1</v>
      </c>
    </row>
    <row r="44" spans="1:29" ht="28.8">
      <c r="A44" s="1537"/>
      <c r="B44" s="1593" t="s">
        <v>2182</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22"/>
      <c r="Q44" s="988" t="str">
        <f t="shared" si="11"/>
        <v>内部装修维护情况</v>
      </c>
      <c r="R44" s="1745" t="s">
        <v>1139</v>
      </c>
      <c r="S44" s="1746">
        <f t="shared" si="12"/>
        <v>100</v>
      </c>
      <c r="T44" s="1745" t="s">
        <v>1139</v>
      </c>
      <c r="U44" s="1746">
        <f t="shared" si="13"/>
        <v>100</v>
      </c>
      <c r="V44" s="1745" t="s">
        <v>1139</v>
      </c>
      <c r="W44" s="1746">
        <f t="shared" si="14"/>
        <v>100</v>
      </c>
      <c r="X44" s="1220"/>
      <c r="Y44" s="4553"/>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22"/>
      <c r="Q45" s="1137">
        <f t="shared" si="11"/>
        <v>111</v>
      </c>
      <c r="R45" s="1738" t="s">
        <v>1139</v>
      </c>
      <c r="S45" s="1739">
        <f t="shared" si="12"/>
        <v>100</v>
      </c>
      <c r="T45" s="1738" t="s">
        <v>1139</v>
      </c>
      <c r="U45" s="1739">
        <f t="shared" si="13"/>
        <v>100</v>
      </c>
      <c r="V45" s="1738" t="s">
        <v>1139</v>
      </c>
      <c r="W45" s="1739">
        <f t="shared" si="14"/>
        <v>100</v>
      </c>
      <c r="X45" s="1239"/>
      <c r="Y45" s="4553"/>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22"/>
      <c r="Q46" s="988">
        <f t="shared" si="11"/>
        <v>111</v>
      </c>
      <c r="R46" s="1745" t="s">
        <v>1139</v>
      </c>
      <c r="S46" s="1746">
        <f t="shared" si="12"/>
        <v>100</v>
      </c>
      <c r="T46" s="1745" t="s">
        <v>1139</v>
      </c>
      <c r="U46" s="1746">
        <f t="shared" si="13"/>
        <v>100</v>
      </c>
      <c r="V46" s="1745" t="s">
        <v>1139</v>
      </c>
      <c r="W46" s="1746">
        <f t="shared" si="14"/>
        <v>100</v>
      </c>
      <c r="X46" s="1220"/>
      <c r="Y46" s="4553"/>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23"/>
      <c r="Q47" s="988">
        <f t="shared" si="11"/>
        <v>111</v>
      </c>
      <c r="R47" s="1745" t="s">
        <v>1139</v>
      </c>
      <c r="S47" s="1746">
        <f t="shared" si="12"/>
        <v>100</v>
      </c>
      <c r="T47" s="1745" t="s">
        <v>1139</v>
      </c>
      <c r="U47" s="1746">
        <f t="shared" si="13"/>
        <v>100</v>
      </c>
      <c r="V47" s="1745" t="s">
        <v>1139</v>
      </c>
      <c r="W47" s="1746">
        <f t="shared" si="14"/>
        <v>100</v>
      </c>
      <c r="X47" s="1220"/>
      <c r="Y47" s="4624"/>
      <c r="Z47" s="1288">
        <f t="shared" si="15"/>
        <v>111</v>
      </c>
      <c r="AA47" s="1288">
        <f t="shared" si="3"/>
        <v>1</v>
      </c>
      <c r="AB47" s="1288">
        <f t="shared" si="4"/>
        <v>1</v>
      </c>
      <c r="AC47" s="1747">
        <f t="shared" si="5"/>
        <v>1</v>
      </c>
    </row>
    <row r="48" spans="1:29" ht="14.4">
      <c r="A48" s="1345" t="s">
        <v>2184</v>
      </c>
      <c r="B48" s="1655"/>
      <c r="C48" s="1656" t="s">
        <v>124</v>
      </c>
      <c r="D48" s="1657"/>
      <c r="E48" s="1349"/>
      <c r="F48" s="1350"/>
      <c r="G48" s="1351"/>
      <c r="H48" s="1352"/>
      <c r="I48" s="1349"/>
      <c r="J48" s="1352"/>
      <c r="K48" s="1353"/>
      <c r="L48" s="1354"/>
      <c r="M48" s="1219"/>
      <c r="N48" s="1219"/>
      <c r="O48" s="1219"/>
      <c r="P48" s="4618" t="str">
        <f>A48</f>
        <v>成交单价（元/平方米）</v>
      </c>
      <c r="Q48" s="4537"/>
      <c r="R48" s="4538">
        <f>E48</f>
        <v>0</v>
      </c>
      <c r="S48" s="4538"/>
      <c r="T48" s="4538">
        <f>G48</f>
        <v>0</v>
      </c>
      <c r="U48" s="4538"/>
      <c r="V48" s="4538">
        <f>I48</f>
        <v>0</v>
      </c>
      <c r="W48" s="4538"/>
      <c r="X48" s="1355"/>
      <c r="Y48" s="1356"/>
      <c r="Z48" s="1355"/>
      <c r="AA48" s="1355"/>
      <c r="AB48" s="1355"/>
      <c r="AC48" s="1748"/>
    </row>
    <row r="49" spans="1:29" ht="14.4">
      <c r="A49" s="1357" t="s">
        <v>1183</v>
      </c>
      <c r="B49" s="1658"/>
      <c r="C49" s="1362" t="e">
        <f>R50</f>
        <v>#DIV/0!</v>
      </c>
      <c r="D49" s="1659" t="s">
        <v>2185</v>
      </c>
      <c r="E49" s="1359" t="e">
        <f>R49</f>
        <v>#DIV/0!</v>
      </c>
      <c r="F49" s="1361"/>
      <c r="G49" s="1362" t="e">
        <f>T49</f>
        <v>#DIV/0!</v>
      </c>
      <c r="H49" s="1361"/>
      <c r="I49" s="1359" t="e">
        <f>V49</f>
        <v>#DIV/0!</v>
      </c>
      <c r="J49" s="1361"/>
      <c r="K49" s="1363">
        <f>F49+H49+J49</f>
        <v>0</v>
      </c>
      <c r="L49" s="1354"/>
      <c r="M49" s="1219"/>
      <c r="N49" s="1219"/>
      <c r="O49" s="1219"/>
      <c r="P49" s="4618" t="str">
        <f>A49</f>
        <v>比较价值（元/平方米）</v>
      </c>
      <c r="Q49" s="4537"/>
      <c r="R49" s="4538" t="e">
        <f>IF(F1="售价",ROUND(PRODUCT(R48,AA7:AA47),0),ROUND(PRODUCT(R48,AA7:AA47),1))</f>
        <v>#DIV/0!</v>
      </c>
      <c r="S49" s="4538"/>
      <c r="T49" s="4538" t="e">
        <f>IF(F1="售价",ROUND(PRODUCT(T48,AB7:AB47),0),ROUND(PRODUCT(T48,AB7:AB47),1))</f>
        <v>#DIV/0!</v>
      </c>
      <c r="U49" s="4538"/>
      <c r="V49" s="4538" t="e">
        <f>IF(F1="售价",ROUND(PRODUCT(V48,AC7:AC47),0),ROUND(PRODUCT(V48,AC7:AC47),1))</f>
        <v>#DIV/0!</v>
      </c>
      <c r="W49" s="4538"/>
      <c r="X49" s="1355"/>
      <c r="Y49" s="1355"/>
      <c r="Z49" s="1355"/>
      <c r="AA49" s="1355"/>
      <c r="AB49" s="1355"/>
      <c r="AC49" s="1748"/>
    </row>
    <row r="50" spans="1:29" ht="14.4">
      <c r="A50" s="1364" t="s">
        <v>2186</v>
      </c>
      <c r="B50" s="1365"/>
      <c r="C50" s="1366" t="e">
        <f>R50</f>
        <v>#DIV/0!</v>
      </c>
      <c r="D50" s="1574"/>
      <c r="E50" s="1574"/>
      <c r="F50" s="1574"/>
      <c r="G50" s="1574"/>
      <c r="H50" s="1574"/>
      <c r="I50" s="1574"/>
      <c r="J50" s="1761"/>
      <c r="K50" s="1660"/>
      <c r="L50" s="1354"/>
      <c r="M50" s="1219"/>
      <c r="N50" s="1219"/>
      <c r="O50" s="1219"/>
      <c r="P50" s="4668" t="str">
        <f>A50</f>
        <v>估价对象XX用房的比较价值（楼面单价，元/平方米）</v>
      </c>
      <c r="Q50" s="4669"/>
      <c r="R50" s="4670" t="e">
        <f>IF(F1="售价",ROUND(IF(D49="简单平均",AVERAGE(R49:V49),R49*F49+T49*H49+V49*J49),0),ROUND(IF(D49="简单平均",AVERAGE(R49:V49),R49*F49+T49*H49+V49*J49),1))</f>
        <v>#DIV/0!</v>
      </c>
      <c r="S50" s="4670"/>
      <c r="T50" s="4670"/>
      <c r="U50" s="4670"/>
      <c r="V50" s="4670"/>
      <c r="W50" s="4670"/>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1186</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1187</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1188</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1213</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1136</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1216</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1140</v>
      </c>
      <c r="B62" s="1444"/>
      <c r="C62" s="1445" t="s">
        <v>1217</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1218</v>
      </c>
      <c r="B64" s="1454" t="s">
        <v>1144</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1147</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2191</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1148</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1151</v>
      </c>
      <c r="B77" s="1454" t="s">
        <v>1157</v>
      </c>
      <c r="C77" s="1501" t="s">
        <v>1219</v>
      </c>
      <c r="D77" s="1501" t="s">
        <v>1220</v>
      </c>
      <c r="E77" s="1501" t="s">
        <v>1221</v>
      </c>
      <c r="F77" s="1501" t="s">
        <v>1222</v>
      </c>
      <c r="G77" s="1501" t="s">
        <v>1223</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1158</v>
      </c>
      <c r="C79" s="1506" t="s">
        <v>1219</v>
      </c>
      <c r="D79" s="1506" t="s">
        <v>1220</v>
      </c>
      <c r="E79" s="1506" t="s">
        <v>1221</v>
      </c>
      <c r="F79" s="1506" t="s">
        <v>1222</v>
      </c>
      <c r="G79" s="1506" t="s">
        <v>1223</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1165</v>
      </c>
      <c r="C81" s="1506" t="s">
        <v>1219</v>
      </c>
      <c r="D81" s="1506" t="s">
        <v>1220</v>
      </c>
      <c r="E81" s="1506" t="s">
        <v>1221</v>
      </c>
      <c r="F81" s="1506" t="s">
        <v>1222</v>
      </c>
      <c r="G81" s="1506" t="s">
        <v>1223</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1167</v>
      </c>
      <c r="C83" s="1295" t="s">
        <v>1224</v>
      </c>
      <c r="D83" s="1295" t="s">
        <v>1225</v>
      </c>
      <c r="E83" s="1295" t="s">
        <v>1226</v>
      </c>
      <c r="F83" s="1295" t="s">
        <v>1227</v>
      </c>
      <c r="G83" s="1295" t="s">
        <v>1228</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2267</v>
      </c>
      <c r="C85" s="1506" t="s">
        <v>1219</v>
      </c>
      <c r="D85" s="1506" t="s">
        <v>1220</v>
      </c>
      <c r="E85" s="1506" t="s">
        <v>1221</v>
      </c>
      <c r="F85" s="1506" t="s">
        <v>1222</v>
      </c>
      <c r="G85" s="1506" t="s">
        <v>1223</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1171</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1174</v>
      </c>
      <c r="B101" s="1454" t="s">
        <v>2165</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2169</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2170</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2174</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2268</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2176</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2178</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2270</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2263</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2181</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2182</v>
      </c>
      <c r="C125" s="1506" t="s">
        <v>1219</v>
      </c>
      <c r="D125" s="1506" t="s">
        <v>1220</v>
      </c>
      <c r="E125" s="1506" t="s">
        <v>1221</v>
      </c>
      <c r="F125" s="1506" t="s">
        <v>1222</v>
      </c>
      <c r="G125" s="1506" t="s">
        <v>1223</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2148</v>
      </c>
      <c r="B1" s="1678" t="s">
        <v>2271</v>
      </c>
      <c r="C1" s="1542" t="s">
        <v>2150</v>
      </c>
      <c r="D1" s="1543"/>
      <c r="E1" s="1544"/>
      <c r="F1" s="1545"/>
      <c r="G1" s="1546" t="s">
        <v>1116</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1117</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1409</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1118</v>
      </c>
      <c r="B3" s="1560">
        <f>IF(E2="——",C43,ROUND(B2*10000/D3,0))</f>
        <v>0</v>
      </c>
      <c r="C3" s="1561" t="s">
        <v>1119</v>
      </c>
      <c r="D3" s="1560">
        <f>IF(D1="",'数据-汇总表'!E3,SUMIF('数据-汇总表'!$C19:$C33,D1,'数据-汇总表'!$E19:$E33))</f>
        <v>25832.71</v>
      </c>
      <c r="E3" s="1562" t="s">
        <v>1699</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1123</v>
      </c>
      <c r="B4" s="1565"/>
      <c r="C4" s="4514" t="s">
        <v>1124</v>
      </c>
      <c r="D4" s="4646"/>
      <c r="E4" s="4647" t="s">
        <v>1125</v>
      </c>
      <c r="F4" s="4648"/>
      <c r="G4" s="4514" t="s">
        <v>1126</v>
      </c>
      <c r="H4" s="4646"/>
      <c r="I4" s="4514" t="s">
        <v>1127</v>
      </c>
      <c r="J4" s="4646"/>
      <c r="K4" s="1217" t="s">
        <v>1128</v>
      </c>
      <c r="L4" s="1683"/>
      <c r="M4" s="1414"/>
      <c r="N4" s="1414"/>
      <c r="O4" s="1414"/>
      <c r="P4" s="4518" t="s">
        <v>1129</v>
      </c>
      <c r="Q4" s="4519"/>
      <c r="R4" s="4524" t="s">
        <v>1125</v>
      </c>
      <c r="S4" s="4525"/>
      <c r="T4" s="4524" t="s">
        <v>1126</v>
      </c>
      <c r="U4" s="4525"/>
      <c r="V4" s="4530" t="s">
        <v>1127</v>
      </c>
      <c r="W4" s="4530"/>
      <c r="X4" s="1220"/>
      <c r="Y4" s="4531" t="s">
        <v>1129</v>
      </c>
      <c r="Z4" s="4532"/>
      <c r="AA4" s="4511" t="s">
        <v>1125</v>
      </c>
      <c r="AB4" s="4512" t="s">
        <v>1126</v>
      </c>
      <c r="AC4" s="4511" t="s">
        <v>1127</v>
      </c>
    </row>
    <row r="5" spans="1:29">
      <c r="A5" s="1570"/>
      <c r="B5" s="1571"/>
      <c r="C5" s="4649" t="s">
        <v>1130</v>
      </c>
      <c r="D5" s="4650"/>
      <c r="E5" s="4672" t="s">
        <v>2255</v>
      </c>
      <c r="F5" s="4652"/>
      <c r="G5" s="4649" t="s">
        <v>2256</v>
      </c>
      <c r="H5" s="4650"/>
      <c r="I5" s="4649" t="s">
        <v>2257</v>
      </c>
      <c r="J5" s="4650"/>
      <c r="K5" s="1217"/>
      <c r="L5" s="1683"/>
      <c r="M5" s="1414"/>
      <c r="N5" s="1414"/>
      <c r="O5" s="1414"/>
      <c r="P5" s="4520"/>
      <c r="Q5" s="4521"/>
      <c r="R5" s="4526"/>
      <c r="S5" s="4527"/>
      <c r="T5" s="4526"/>
      <c r="U5" s="4527"/>
      <c r="V5" s="4530"/>
      <c r="W5" s="4530"/>
      <c r="X5" s="1220"/>
      <c r="Y5" s="4533"/>
      <c r="Z5" s="4534"/>
      <c r="AA5" s="4512"/>
      <c r="AB5" s="4512"/>
      <c r="AC5" s="4512"/>
    </row>
    <row r="6" spans="1:29" ht="14.4">
      <c r="A6" s="1573"/>
      <c r="B6" s="1574"/>
      <c r="C6" s="4641" t="s">
        <v>1134</v>
      </c>
      <c r="D6" s="4642"/>
      <c r="E6" s="4643" t="s">
        <v>1134</v>
      </c>
      <c r="F6" s="4644"/>
      <c r="G6" s="4641" t="s">
        <v>1134</v>
      </c>
      <c r="H6" s="4642"/>
      <c r="I6" s="4641" t="s">
        <v>1134</v>
      </c>
      <c r="J6" s="4642"/>
      <c r="K6" s="1217" t="s">
        <v>1135</v>
      </c>
      <c r="L6" s="1683"/>
      <c r="M6" s="1414"/>
      <c r="N6" s="1414"/>
      <c r="O6" s="1414"/>
      <c r="P6" s="4522"/>
      <c r="Q6" s="4523"/>
      <c r="R6" s="4526"/>
      <c r="S6" s="4527"/>
      <c r="T6" s="4528"/>
      <c r="U6" s="4529"/>
      <c r="V6" s="4530"/>
      <c r="W6" s="4530"/>
      <c r="X6" s="1220"/>
      <c r="Y6" s="4535"/>
      <c r="Z6" s="4536"/>
      <c r="AA6" s="4513"/>
      <c r="AB6" s="4513"/>
      <c r="AC6" s="4513"/>
    </row>
    <row r="7" spans="1:29" s="1186" customFormat="1" ht="14.4">
      <c r="A7" s="1576" t="s">
        <v>1136</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44" t="s">
        <v>1138</v>
      </c>
      <c r="Q7" s="4558"/>
      <c r="R7" s="1237" t="s">
        <v>1139</v>
      </c>
      <c r="S7" s="1238">
        <f t="shared" ref="S7:S15" si="0">F7</f>
        <v>0</v>
      </c>
      <c r="T7" s="1237" t="s">
        <v>1139</v>
      </c>
      <c r="U7" s="1238">
        <f t="shared" ref="U7:U15" si="1">H7</f>
        <v>0</v>
      </c>
      <c r="V7" s="1237" t="s">
        <v>1139</v>
      </c>
      <c r="W7" s="1238">
        <f t="shared" ref="W7:W15" si="2">J7</f>
        <v>0</v>
      </c>
      <c r="X7" s="1239"/>
      <c r="Y7" s="4542" t="s">
        <v>1138</v>
      </c>
      <c r="Z7" s="4543"/>
      <c r="AA7" s="1241" t="e">
        <f>D7/F7</f>
        <v>#DIV/0!</v>
      </c>
      <c r="AB7" s="1241" t="e">
        <f>D7/H7</f>
        <v>#DIV/0!</v>
      </c>
      <c r="AC7" s="1241" t="e">
        <f>D7/J7</f>
        <v>#DIV/0!</v>
      </c>
    </row>
    <row r="8" spans="1:29" s="1186" customFormat="1" ht="14.4">
      <c r="A8" s="1576" t="s">
        <v>1140</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44" t="s">
        <v>1142</v>
      </c>
      <c r="Q8" s="4545"/>
      <c r="R8" s="1237" t="s">
        <v>1139</v>
      </c>
      <c r="S8" s="1238">
        <f t="shared" si="0"/>
        <v>100</v>
      </c>
      <c r="T8" s="1237" t="s">
        <v>1139</v>
      </c>
      <c r="U8" s="1238">
        <f t="shared" si="1"/>
        <v>100</v>
      </c>
      <c r="V8" s="1237" t="s">
        <v>1139</v>
      </c>
      <c r="W8" s="1238">
        <f t="shared" si="2"/>
        <v>100</v>
      </c>
      <c r="X8" s="1239"/>
      <c r="Y8" s="4542" t="s">
        <v>1142</v>
      </c>
      <c r="Z8" s="4543"/>
      <c r="AA8" s="1241">
        <f t="shared" ref="AA8:AA40" si="3">D8/F8</f>
        <v>1</v>
      </c>
      <c r="AB8" s="1241">
        <f t="shared" ref="AB8:AB40" si="4">D8/H8</f>
        <v>1</v>
      </c>
      <c r="AC8" s="1241">
        <f t="shared" ref="AC8:AC40" si="5">D8/J8</f>
        <v>1</v>
      </c>
    </row>
    <row r="9" spans="1:29" s="1186" customFormat="1" ht="14.4">
      <c r="A9" s="1586" t="s">
        <v>1143</v>
      </c>
      <c r="B9" s="1587" t="s">
        <v>1144</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37" t="s">
        <v>1145</v>
      </c>
      <c r="Q9" s="1137" t="str">
        <f t="shared" ref="Q9:Q15" si="6">B9</f>
        <v>用途</v>
      </c>
      <c r="R9" s="1237" t="s">
        <v>1139</v>
      </c>
      <c r="S9" s="1238">
        <f t="shared" si="0"/>
        <v>100</v>
      </c>
      <c r="T9" s="1237" t="s">
        <v>1139</v>
      </c>
      <c r="U9" s="1238">
        <f t="shared" si="1"/>
        <v>100</v>
      </c>
      <c r="V9" s="1237" t="s">
        <v>1139</v>
      </c>
      <c r="W9" s="1238">
        <f t="shared" si="2"/>
        <v>100</v>
      </c>
      <c r="X9" s="1239"/>
      <c r="Y9" s="4550" t="s">
        <v>1146</v>
      </c>
      <c r="Z9" s="1241" t="str">
        <f t="shared" ref="Z9:Z15" si="7">Q9</f>
        <v>用途</v>
      </c>
      <c r="AA9" s="1241">
        <f t="shared" si="3"/>
        <v>1</v>
      </c>
      <c r="AB9" s="1241">
        <f t="shared" si="4"/>
        <v>1</v>
      </c>
      <c r="AC9" s="1241">
        <f t="shared" si="5"/>
        <v>1</v>
      </c>
    </row>
    <row r="10" spans="1:29" s="1187" customFormat="1" ht="28.8">
      <c r="A10" s="1592"/>
      <c r="B10" s="1593" t="s">
        <v>1147</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37"/>
      <c r="Q10" s="1137" t="str">
        <f t="shared" si="6"/>
        <v>土地使用年限（年）</v>
      </c>
      <c r="R10" s="1237" t="s">
        <v>1139</v>
      </c>
      <c r="S10" s="1238">
        <f t="shared" si="0"/>
        <v>100</v>
      </c>
      <c r="T10" s="1237" t="s">
        <v>1139</v>
      </c>
      <c r="U10" s="1238">
        <f t="shared" si="1"/>
        <v>100</v>
      </c>
      <c r="V10" s="1237" t="s">
        <v>1139</v>
      </c>
      <c r="W10" s="1238">
        <f t="shared" si="2"/>
        <v>100</v>
      </c>
      <c r="X10" s="1239"/>
      <c r="Y10" s="4550"/>
      <c r="Z10" s="1241" t="str">
        <f t="shared" si="7"/>
        <v>土地使用年限（年）</v>
      </c>
      <c r="AA10" s="1241">
        <f t="shared" si="3"/>
        <v>1</v>
      </c>
      <c r="AB10" s="1241">
        <f t="shared" si="4"/>
        <v>1</v>
      </c>
      <c r="AC10" s="1241">
        <f t="shared" si="5"/>
        <v>1</v>
      </c>
    </row>
    <row r="11" spans="1:29" ht="15">
      <c r="A11" s="1460"/>
      <c r="B11" s="1593" t="s">
        <v>1148</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37"/>
      <c r="Q11" s="1137" t="str">
        <f t="shared" si="6"/>
        <v>容积率</v>
      </c>
      <c r="R11" s="1237" t="s">
        <v>1139</v>
      </c>
      <c r="S11" s="1238">
        <f t="shared" si="0"/>
        <v>100</v>
      </c>
      <c r="T11" s="1237" t="s">
        <v>1139</v>
      </c>
      <c r="U11" s="1238">
        <f t="shared" si="1"/>
        <v>100</v>
      </c>
      <c r="V11" s="1237" t="s">
        <v>1139</v>
      </c>
      <c r="W11" s="1238">
        <f t="shared" si="2"/>
        <v>100</v>
      </c>
      <c r="X11" s="1239"/>
      <c r="Y11" s="4550"/>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37"/>
      <c r="Q12" s="1137">
        <f t="shared" si="6"/>
        <v>111</v>
      </c>
      <c r="R12" s="1237" t="s">
        <v>1139</v>
      </c>
      <c r="S12" s="1238">
        <f t="shared" si="0"/>
        <v>100</v>
      </c>
      <c r="T12" s="1237" t="s">
        <v>1139</v>
      </c>
      <c r="U12" s="1238">
        <f t="shared" si="1"/>
        <v>100</v>
      </c>
      <c r="V12" s="1237" t="s">
        <v>1139</v>
      </c>
      <c r="W12" s="1238">
        <f t="shared" si="2"/>
        <v>100</v>
      </c>
      <c r="X12" s="1239"/>
      <c r="Y12" s="4550"/>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37"/>
      <c r="Q13" s="1137">
        <f t="shared" si="6"/>
        <v>111</v>
      </c>
      <c r="R13" s="1237" t="s">
        <v>1139</v>
      </c>
      <c r="S13" s="1238">
        <f t="shared" si="0"/>
        <v>100</v>
      </c>
      <c r="T13" s="1237" t="s">
        <v>1139</v>
      </c>
      <c r="U13" s="1238">
        <f t="shared" si="1"/>
        <v>100</v>
      </c>
      <c r="V13" s="1237" t="s">
        <v>1139</v>
      </c>
      <c r="W13" s="1238">
        <f t="shared" si="2"/>
        <v>100</v>
      </c>
      <c r="X13" s="1239"/>
      <c r="Y13" s="4550"/>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37"/>
      <c r="Q14" s="1137">
        <f t="shared" si="6"/>
        <v>111</v>
      </c>
      <c r="R14" s="1237" t="s">
        <v>1139</v>
      </c>
      <c r="S14" s="1238">
        <f t="shared" si="0"/>
        <v>100</v>
      </c>
      <c r="T14" s="1237" t="s">
        <v>1139</v>
      </c>
      <c r="U14" s="1238">
        <f t="shared" si="1"/>
        <v>100</v>
      </c>
      <c r="V14" s="1237" t="s">
        <v>1139</v>
      </c>
      <c r="W14" s="1238">
        <f t="shared" si="2"/>
        <v>100</v>
      </c>
      <c r="X14" s="1239"/>
      <c r="Y14" s="4550"/>
      <c r="Z14" s="1241">
        <f t="shared" si="7"/>
        <v>111</v>
      </c>
      <c r="AA14" s="1241">
        <f t="shared" si="3"/>
        <v>1</v>
      </c>
      <c r="AB14" s="1241">
        <f t="shared" si="4"/>
        <v>1</v>
      </c>
      <c r="AC14" s="1241">
        <f t="shared" si="5"/>
        <v>1</v>
      </c>
    </row>
    <row r="15" spans="1:29" ht="15">
      <c r="A15" s="1453" t="s">
        <v>1151</v>
      </c>
      <c r="B15" s="1606" t="s">
        <v>2272</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46" t="s">
        <v>1154</v>
      </c>
      <c r="Q15" s="988" t="str">
        <f t="shared" si="6"/>
        <v>产业集聚程度</v>
      </c>
      <c r="R15" s="1286" t="s">
        <v>1139</v>
      </c>
      <c r="S15" s="1287">
        <f t="shared" si="0"/>
        <v>100</v>
      </c>
      <c r="T15" s="1286" t="s">
        <v>1139</v>
      </c>
      <c r="U15" s="1287">
        <f t="shared" si="1"/>
        <v>100</v>
      </c>
      <c r="V15" s="1286" t="s">
        <v>1139</v>
      </c>
      <c r="W15" s="1287">
        <f t="shared" si="2"/>
        <v>100</v>
      </c>
      <c r="X15" s="1220"/>
      <c r="Y15" s="4551" t="s">
        <v>1154</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47"/>
      <c r="Q16" s="988"/>
      <c r="R16" s="1286"/>
      <c r="S16" s="1287"/>
      <c r="T16" s="1286"/>
      <c r="U16" s="1287"/>
      <c r="V16" s="1286"/>
      <c r="W16" s="1287"/>
      <c r="X16" s="1220"/>
      <c r="Y16" s="4552"/>
      <c r="Z16" s="1288"/>
      <c r="AA16" s="1288">
        <v>1</v>
      </c>
      <c r="AB16" s="1288">
        <v>1</v>
      </c>
      <c r="AC16" s="1288">
        <v>1</v>
      </c>
    </row>
    <row r="17" spans="1:29" ht="15">
      <c r="A17" s="1460"/>
      <c r="B17" s="1620" t="s">
        <v>1158</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47"/>
      <c r="Q17" s="988" t="str">
        <f>B17</f>
        <v>交通便捷度</v>
      </c>
      <c r="R17" s="1286" t="s">
        <v>1139</v>
      </c>
      <c r="S17" s="1287">
        <f>F17</f>
        <v>100</v>
      </c>
      <c r="T17" s="1286" t="s">
        <v>1139</v>
      </c>
      <c r="U17" s="1287">
        <f>H17</f>
        <v>100</v>
      </c>
      <c r="V17" s="1286" t="s">
        <v>1139</v>
      </c>
      <c r="W17" s="1287">
        <f>J17</f>
        <v>100</v>
      </c>
      <c r="X17" s="1220"/>
      <c r="Y17" s="4552"/>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47"/>
      <c r="Q18" s="988"/>
      <c r="R18" s="1286"/>
      <c r="S18" s="1287"/>
      <c r="T18" s="1286"/>
      <c r="U18" s="1287"/>
      <c r="V18" s="1286"/>
      <c r="W18" s="1287"/>
      <c r="X18" s="1220"/>
      <c r="Y18" s="4552"/>
      <c r="Z18" s="1288"/>
      <c r="AA18" s="1288">
        <v>1</v>
      </c>
      <c r="AB18" s="1288">
        <v>1</v>
      </c>
      <c r="AC18" s="1288">
        <v>1</v>
      </c>
    </row>
    <row r="19" spans="1:29" ht="15">
      <c r="A19" s="1460"/>
      <c r="B19" s="1620" t="s">
        <v>1165</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47"/>
      <c r="Q19" s="988" t="str">
        <f>B19</f>
        <v>公共配套设施</v>
      </c>
      <c r="R19" s="1286" t="s">
        <v>1139</v>
      </c>
      <c r="S19" s="1287">
        <f>F19</f>
        <v>100</v>
      </c>
      <c r="T19" s="1286" t="s">
        <v>1139</v>
      </c>
      <c r="U19" s="1287">
        <f>H19</f>
        <v>100</v>
      </c>
      <c r="V19" s="1286" t="s">
        <v>1139</v>
      </c>
      <c r="W19" s="1287">
        <f>J19</f>
        <v>100</v>
      </c>
      <c r="X19" s="1220"/>
      <c r="Y19" s="4552"/>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47"/>
      <c r="Q20" s="988"/>
      <c r="R20" s="1286"/>
      <c r="S20" s="1287"/>
      <c r="T20" s="1286"/>
      <c r="U20" s="1287"/>
      <c r="V20" s="1286"/>
      <c r="W20" s="1287"/>
      <c r="X20" s="1220"/>
      <c r="Y20" s="4552"/>
      <c r="Z20" s="1288"/>
      <c r="AA20" s="1288">
        <v>1</v>
      </c>
      <c r="AB20" s="1288">
        <v>1</v>
      </c>
      <c r="AC20" s="1288">
        <v>1</v>
      </c>
    </row>
    <row r="21" spans="1:29" ht="15">
      <c r="A21" s="1460"/>
      <c r="B21" s="1628" t="s">
        <v>1167</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47"/>
      <c r="Q21" s="988" t="str">
        <f>B21</f>
        <v>基础设施水平</v>
      </c>
      <c r="R21" s="1286" t="s">
        <v>1139</v>
      </c>
      <c r="S21" s="1287">
        <f>F21</f>
        <v>100</v>
      </c>
      <c r="T21" s="1286" t="s">
        <v>1139</v>
      </c>
      <c r="U21" s="1287">
        <f>H21</f>
        <v>100</v>
      </c>
      <c r="V21" s="1286" t="s">
        <v>1139</v>
      </c>
      <c r="W21" s="1287">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47"/>
      <c r="Q22" s="988"/>
      <c r="R22" s="1286"/>
      <c r="S22" s="1287"/>
      <c r="T22" s="1286"/>
      <c r="U22" s="1287"/>
      <c r="V22" s="1286"/>
      <c r="W22" s="1287"/>
      <c r="X22" s="1220"/>
      <c r="Y22" s="4552"/>
      <c r="Z22" s="1288"/>
      <c r="AA22" s="1288">
        <v>1</v>
      </c>
      <c r="AB22" s="1288">
        <v>1</v>
      </c>
      <c r="AC22" s="1288">
        <v>1</v>
      </c>
    </row>
    <row r="23" spans="1:29" ht="15">
      <c r="A23" s="1460"/>
      <c r="B23" s="1620" t="s">
        <v>2267</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47"/>
      <c r="Q23" s="988" t="str">
        <f>B23</f>
        <v>环境质量</v>
      </c>
      <c r="R23" s="1286" t="s">
        <v>1139</v>
      </c>
      <c r="S23" s="1287">
        <f>F23</f>
        <v>100</v>
      </c>
      <c r="T23" s="1286" t="s">
        <v>1139</v>
      </c>
      <c r="U23" s="1287">
        <f>H23</f>
        <v>100</v>
      </c>
      <c r="V23" s="1286" t="s">
        <v>1139</v>
      </c>
      <c r="W23" s="1287">
        <f>J23</f>
        <v>100</v>
      </c>
      <c r="X23" s="1220"/>
      <c r="Y23" s="4552"/>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47"/>
      <c r="Q24" s="988"/>
      <c r="R24" s="1286"/>
      <c r="S24" s="1287"/>
      <c r="T24" s="1286"/>
      <c r="U24" s="1287"/>
      <c r="V24" s="1286"/>
      <c r="W24" s="1287"/>
      <c r="X24" s="1220"/>
      <c r="Y24" s="4552"/>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47"/>
      <c r="Q25" s="988">
        <f>B25</f>
        <v>111</v>
      </c>
      <c r="R25" s="1286" t="s">
        <v>1139</v>
      </c>
      <c r="S25" s="1287">
        <f>F25</f>
        <v>100</v>
      </c>
      <c r="T25" s="1286" t="s">
        <v>1139</v>
      </c>
      <c r="U25" s="1287">
        <f>H25</f>
        <v>100</v>
      </c>
      <c r="V25" s="1286" t="s">
        <v>1139</v>
      </c>
      <c r="W25" s="1287">
        <f>J25</f>
        <v>100</v>
      </c>
      <c r="X25" s="1220"/>
      <c r="Y25" s="4552"/>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47"/>
      <c r="Q26" s="988">
        <f t="shared" ref="Q26:Q40" si="11">B26</f>
        <v>111</v>
      </c>
      <c r="R26" s="1286" t="s">
        <v>1139</v>
      </c>
      <c r="S26" s="1287">
        <f>F26</f>
        <v>100</v>
      </c>
      <c r="T26" s="1286" t="s">
        <v>1139</v>
      </c>
      <c r="U26" s="1287">
        <f>H26</f>
        <v>100</v>
      </c>
      <c r="V26" s="1286" t="s">
        <v>1139</v>
      </c>
      <c r="W26" s="1287">
        <f>J26</f>
        <v>100</v>
      </c>
      <c r="X26" s="1220"/>
      <c r="Y26" s="4552"/>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47"/>
      <c r="Q27" s="1137">
        <f t="shared" si="11"/>
        <v>111</v>
      </c>
      <c r="R27" s="1237" t="s">
        <v>1139</v>
      </c>
      <c r="S27" s="1238">
        <f>F27</f>
        <v>100</v>
      </c>
      <c r="T27" s="1237" t="s">
        <v>1139</v>
      </c>
      <c r="U27" s="1238">
        <f>H27</f>
        <v>100</v>
      </c>
      <c r="V27" s="1237" t="s">
        <v>1139</v>
      </c>
      <c r="W27" s="1238">
        <f>J27</f>
        <v>100</v>
      </c>
      <c r="X27" s="1239"/>
      <c r="Y27" s="4552"/>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47"/>
      <c r="Q28" s="988">
        <f t="shared" si="11"/>
        <v>111</v>
      </c>
      <c r="R28" s="1286" t="s">
        <v>1139</v>
      </c>
      <c r="S28" s="1287">
        <f t="shared" ref="S28:S40" si="12">F28</f>
        <v>100</v>
      </c>
      <c r="T28" s="1286" t="s">
        <v>1139</v>
      </c>
      <c r="U28" s="1287">
        <f t="shared" ref="U28:U40" si="13">H28</f>
        <v>100</v>
      </c>
      <c r="V28" s="1286" t="s">
        <v>1139</v>
      </c>
      <c r="W28" s="1287">
        <f t="shared" ref="W28:W40" si="14">J28</f>
        <v>100</v>
      </c>
      <c r="X28" s="1220"/>
      <c r="Y28" s="4552"/>
      <c r="Z28" s="1288">
        <f t="shared" ref="Z28:Z40" si="15">Q28</f>
        <v>111</v>
      </c>
      <c r="AA28" s="1288">
        <f t="shared" si="3"/>
        <v>1</v>
      </c>
      <c r="AB28" s="1288">
        <f t="shared" si="4"/>
        <v>1</v>
      </c>
      <c r="AC28" s="1288">
        <f t="shared" si="5"/>
        <v>1</v>
      </c>
    </row>
    <row r="29" spans="1:29" ht="30">
      <c r="A29" s="1638" t="s">
        <v>1174</v>
      </c>
      <c r="B29" s="1587" t="s">
        <v>2165</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48" t="s">
        <v>1173</v>
      </c>
      <c r="Q29" s="988" t="str">
        <f t="shared" si="11"/>
        <v>建筑类型</v>
      </c>
      <c r="R29" s="1286" t="s">
        <v>1139</v>
      </c>
      <c r="S29" s="1287">
        <f t="shared" si="12"/>
        <v>100</v>
      </c>
      <c r="T29" s="1286" t="s">
        <v>1139</v>
      </c>
      <c r="U29" s="1287">
        <f t="shared" si="13"/>
        <v>100</v>
      </c>
      <c r="V29" s="1286" t="s">
        <v>1139</v>
      </c>
      <c r="W29" s="1287">
        <f t="shared" si="14"/>
        <v>100</v>
      </c>
      <c r="X29" s="1220"/>
      <c r="Y29" s="4553" t="s">
        <v>1173</v>
      </c>
      <c r="Z29" s="1288" t="str">
        <f t="shared" si="15"/>
        <v>建筑类型</v>
      </c>
      <c r="AA29" s="1288">
        <f t="shared" si="3"/>
        <v>1</v>
      </c>
      <c r="AB29" s="1288">
        <f t="shared" si="4"/>
        <v>1</v>
      </c>
      <c r="AC29" s="1288">
        <f t="shared" si="5"/>
        <v>1</v>
      </c>
    </row>
    <row r="30" spans="1:29" s="1188" customFormat="1" ht="15">
      <c r="A30" s="1528"/>
      <c r="B30" s="1593" t="s">
        <v>2169</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49"/>
      <c r="Q30" s="1707" t="str">
        <f t="shared" si="11"/>
        <v>项目建筑规模</v>
      </c>
      <c r="R30" s="1328" t="s">
        <v>1139</v>
      </c>
      <c r="S30" s="1329" t="e">
        <f t="shared" si="12"/>
        <v>#N/A</v>
      </c>
      <c r="T30" s="1328" t="s">
        <v>1139</v>
      </c>
      <c r="U30" s="1329" t="e">
        <f t="shared" si="13"/>
        <v>#N/A</v>
      </c>
      <c r="V30" s="1328" t="s">
        <v>1139</v>
      </c>
      <c r="W30" s="1329" t="e">
        <f t="shared" si="14"/>
        <v>#N/A</v>
      </c>
      <c r="X30" s="1330"/>
      <c r="Y30" s="4553"/>
      <c r="Z30" s="1331" t="str">
        <f t="shared" si="15"/>
        <v>项目建筑规模</v>
      </c>
      <c r="AA30" s="1288" t="e">
        <f t="shared" si="3"/>
        <v>#N/A</v>
      </c>
      <c r="AB30" s="1288" t="e">
        <f t="shared" si="4"/>
        <v>#N/A</v>
      </c>
      <c r="AC30" s="1288" t="e">
        <f t="shared" si="5"/>
        <v>#N/A</v>
      </c>
    </row>
    <row r="31" spans="1:29" ht="15">
      <c r="A31" s="1537"/>
      <c r="B31" s="1593" t="s">
        <v>2170</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49"/>
      <c r="Q31" s="988" t="str">
        <f t="shared" si="11"/>
        <v>建筑结构</v>
      </c>
      <c r="R31" s="1286" t="s">
        <v>1139</v>
      </c>
      <c r="S31" s="1287">
        <f t="shared" si="12"/>
        <v>100</v>
      </c>
      <c r="T31" s="1286" t="s">
        <v>1139</v>
      </c>
      <c r="U31" s="1287">
        <f t="shared" si="13"/>
        <v>100</v>
      </c>
      <c r="V31" s="1286" t="s">
        <v>1139</v>
      </c>
      <c r="W31" s="1287">
        <f t="shared" si="14"/>
        <v>100</v>
      </c>
      <c r="X31" s="1220"/>
      <c r="Y31" s="4553"/>
      <c r="Z31" s="1288" t="str">
        <f t="shared" si="15"/>
        <v>建筑结构</v>
      </c>
      <c r="AA31" s="1288">
        <f t="shared" si="3"/>
        <v>1</v>
      </c>
      <c r="AB31" s="1288">
        <f t="shared" si="4"/>
        <v>1</v>
      </c>
      <c r="AC31" s="1288">
        <f t="shared" si="5"/>
        <v>1</v>
      </c>
    </row>
    <row r="32" spans="1:29" ht="15">
      <c r="A32" s="1537"/>
      <c r="B32" s="1593" t="s">
        <v>2174</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49"/>
      <c r="Q32" s="988" t="str">
        <f t="shared" si="11"/>
        <v>公共部分装修</v>
      </c>
      <c r="R32" s="1286" t="s">
        <v>1139</v>
      </c>
      <c r="S32" s="1287">
        <f t="shared" si="12"/>
        <v>100</v>
      </c>
      <c r="T32" s="1286" t="s">
        <v>1139</v>
      </c>
      <c r="U32" s="1287">
        <f t="shared" si="13"/>
        <v>100</v>
      </c>
      <c r="V32" s="1286" t="s">
        <v>1139</v>
      </c>
      <c r="W32" s="1287">
        <f t="shared" si="14"/>
        <v>100</v>
      </c>
      <c r="X32" s="1220"/>
      <c r="Y32" s="4553"/>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49"/>
      <c r="Q33" s="988" t="str">
        <f t="shared" si="11"/>
        <v>成新度</v>
      </c>
      <c r="R33" s="1286" t="s">
        <v>1139</v>
      </c>
      <c r="S33" s="1287" t="e">
        <f t="shared" si="12"/>
        <v>#N/A</v>
      </c>
      <c r="T33" s="1286" t="s">
        <v>1139</v>
      </c>
      <c r="U33" s="1287" t="e">
        <f t="shared" si="13"/>
        <v>#N/A</v>
      </c>
      <c r="V33" s="1286" t="s">
        <v>1139</v>
      </c>
      <c r="W33" s="1287" t="e">
        <f t="shared" si="14"/>
        <v>#N/A</v>
      </c>
      <c r="X33" s="1220"/>
      <c r="Y33" s="4553"/>
      <c r="Z33" s="1288" t="str">
        <f t="shared" si="15"/>
        <v>成新度</v>
      </c>
      <c r="AA33" s="1288" t="e">
        <f t="shared" si="3"/>
        <v>#N/A</v>
      </c>
      <c r="AB33" s="1288" t="e">
        <f t="shared" si="4"/>
        <v>#N/A</v>
      </c>
      <c r="AC33" s="1288" t="e">
        <f t="shared" si="5"/>
        <v>#N/A</v>
      </c>
    </row>
    <row r="34" spans="1:29" s="1186" customFormat="1" ht="15">
      <c r="A34" s="1649"/>
      <c r="B34" s="1593" t="s">
        <v>2176</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49"/>
      <c r="Q34" s="1137" t="str">
        <f t="shared" si="11"/>
        <v>物业管理</v>
      </c>
      <c r="R34" s="1237" t="s">
        <v>1139</v>
      </c>
      <c r="S34" s="1238">
        <f t="shared" si="12"/>
        <v>100</v>
      </c>
      <c r="T34" s="1237" t="s">
        <v>1139</v>
      </c>
      <c r="U34" s="1238">
        <f t="shared" si="13"/>
        <v>100</v>
      </c>
      <c r="V34" s="1237" t="s">
        <v>1139</v>
      </c>
      <c r="W34" s="1238">
        <f t="shared" si="14"/>
        <v>100</v>
      </c>
      <c r="X34" s="1239"/>
      <c r="Y34" s="4553"/>
      <c r="Z34" s="1241" t="str">
        <f t="shared" si="15"/>
        <v>物业管理</v>
      </c>
      <c r="AA34" s="1241">
        <f t="shared" si="3"/>
        <v>1</v>
      </c>
      <c r="AB34" s="1241">
        <f t="shared" si="4"/>
        <v>1</v>
      </c>
      <c r="AC34" s="1241">
        <f t="shared" si="5"/>
        <v>1</v>
      </c>
    </row>
    <row r="35" spans="1:29" ht="15">
      <c r="A35" s="1537"/>
      <c r="B35" s="1593" t="s">
        <v>2178</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49" t="s">
        <v>1173</v>
      </c>
      <c r="Q35" s="988" t="str">
        <f t="shared" si="11"/>
        <v>市政基础设施</v>
      </c>
      <c r="R35" s="1286" t="s">
        <v>1139</v>
      </c>
      <c r="S35" s="1287">
        <f t="shared" si="12"/>
        <v>100</v>
      </c>
      <c r="T35" s="1286" t="s">
        <v>1139</v>
      </c>
      <c r="U35" s="1287">
        <f t="shared" si="13"/>
        <v>100</v>
      </c>
      <c r="V35" s="1286" t="s">
        <v>1139</v>
      </c>
      <c r="W35" s="1287">
        <f t="shared" si="14"/>
        <v>100</v>
      </c>
      <c r="X35" s="1220"/>
      <c r="Y35" s="4553" t="s">
        <v>1173</v>
      </c>
      <c r="Z35" s="1288" t="str">
        <f t="shared" si="15"/>
        <v>市政基础设施</v>
      </c>
      <c r="AA35" s="1288">
        <f t="shared" si="3"/>
        <v>1</v>
      </c>
      <c r="AB35" s="1288">
        <f t="shared" si="4"/>
        <v>1</v>
      </c>
      <c r="AC35" s="1288">
        <f t="shared" si="5"/>
        <v>1</v>
      </c>
    </row>
    <row r="36" spans="1:29" ht="15">
      <c r="A36" s="1537"/>
      <c r="B36" s="1593" t="s">
        <v>2181</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49"/>
      <c r="Q36" s="988" t="str">
        <f t="shared" si="11"/>
        <v>内部装修</v>
      </c>
      <c r="R36" s="1286" t="s">
        <v>1139</v>
      </c>
      <c r="S36" s="1287">
        <f t="shared" si="12"/>
        <v>100</v>
      </c>
      <c r="T36" s="1286" t="s">
        <v>1139</v>
      </c>
      <c r="U36" s="1287">
        <f t="shared" si="13"/>
        <v>100</v>
      </c>
      <c r="V36" s="1286" t="s">
        <v>1139</v>
      </c>
      <c r="W36" s="1287">
        <f t="shared" si="14"/>
        <v>100</v>
      </c>
      <c r="X36" s="1220"/>
      <c r="Y36" s="4553"/>
      <c r="Z36" s="1288" t="str">
        <f t="shared" si="15"/>
        <v>内部装修</v>
      </c>
      <c r="AA36" s="1288">
        <f t="shared" si="3"/>
        <v>1</v>
      </c>
      <c r="AB36" s="1288">
        <f t="shared" si="4"/>
        <v>1</v>
      </c>
      <c r="AC36" s="1288">
        <f t="shared" si="5"/>
        <v>1</v>
      </c>
    </row>
    <row r="37" spans="1:29" ht="15">
      <c r="A37" s="1537"/>
      <c r="B37" s="1593" t="s">
        <v>2273</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49"/>
      <c r="Q37" s="988" t="str">
        <f t="shared" si="11"/>
        <v>内部装修状况</v>
      </c>
      <c r="R37" s="1286" t="s">
        <v>1139</v>
      </c>
      <c r="S37" s="1287">
        <f t="shared" si="12"/>
        <v>100</v>
      </c>
      <c r="T37" s="1286" t="s">
        <v>1139</v>
      </c>
      <c r="U37" s="1287">
        <f t="shared" si="13"/>
        <v>100</v>
      </c>
      <c r="V37" s="1286" t="s">
        <v>1139</v>
      </c>
      <c r="W37" s="1287">
        <f t="shared" si="14"/>
        <v>100</v>
      </c>
      <c r="X37" s="1220"/>
      <c r="Y37" s="4553"/>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49"/>
      <c r="Q38" s="1707">
        <f t="shared" si="11"/>
        <v>111</v>
      </c>
      <c r="R38" s="1328" t="s">
        <v>1139</v>
      </c>
      <c r="S38" s="1329">
        <f t="shared" si="12"/>
        <v>100</v>
      </c>
      <c r="T38" s="1328" t="s">
        <v>1139</v>
      </c>
      <c r="U38" s="1329">
        <f t="shared" si="13"/>
        <v>100</v>
      </c>
      <c r="V38" s="1328" t="s">
        <v>1139</v>
      </c>
      <c r="W38" s="1329">
        <f t="shared" si="14"/>
        <v>100</v>
      </c>
      <c r="X38" s="1330"/>
      <c r="Y38" s="4553"/>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49"/>
      <c r="Q39" s="988">
        <f t="shared" si="11"/>
        <v>111</v>
      </c>
      <c r="R39" s="1286" t="s">
        <v>1139</v>
      </c>
      <c r="S39" s="1287">
        <f t="shared" si="12"/>
        <v>100</v>
      </c>
      <c r="T39" s="1286" t="s">
        <v>1139</v>
      </c>
      <c r="U39" s="1287">
        <f t="shared" si="13"/>
        <v>100</v>
      </c>
      <c r="V39" s="1286" t="s">
        <v>1139</v>
      </c>
      <c r="W39" s="1287">
        <f t="shared" si="14"/>
        <v>100</v>
      </c>
      <c r="X39" s="1220"/>
      <c r="Y39" s="4553"/>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73"/>
      <c r="Q40" s="988">
        <f t="shared" si="11"/>
        <v>111</v>
      </c>
      <c r="R40" s="1286" t="s">
        <v>1139</v>
      </c>
      <c r="S40" s="1287">
        <f t="shared" si="12"/>
        <v>100</v>
      </c>
      <c r="T40" s="1286" t="s">
        <v>1139</v>
      </c>
      <c r="U40" s="1287">
        <f t="shared" si="13"/>
        <v>100</v>
      </c>
      <c r="V40" s="1286" t="s">
        <v>1139</v>
      </c>
      <c r="W40" s="1287">
        <f t="shared" si="14"/>
        <v>100</v>
      </c>
      <c r="X40" s="1220"/>
      <c r="Y40" s="4624"/>
      <c r="Z40" s="1288">
        <f t="shared" si="15"/>
        <v>111</v>
      </c>
      <c r="AA40" s="1288">
        <f t="shared" si="3"/>
        <v>1</v>
      </c>
      <c r="AB40" s="1288">
        <f t="shared" si="4"/>
        <v>1</v>
      </c>
      <c r="AC40" s="1288">
        <f t="shared" si="5"/>
        <v>1</v>
      </c>
    </row>
    <row r="41" spans="1:29" ht="14.4">
      <c r="A41" s="1345" t="s">
        <v>2184</v>
      </c>
      <c r="B41" s="1655"/>
      <c r="C41" s="1656" t="s">
        <v>124</v>
      </c>
      <c r="D41" s="1657"/>
      <c r="E41" s="1349"/>
      <c r="F41" s="1350"/>
      <c r="G41" s="1351"/>
      <c r="H41" s="1352"/>
      <c r="I41" s="1349"/>
      <c r="J41" s="1352"/>
      <c r="K41" s="1353"/>
      <c r="L41" s="1708"/>
      <c r="M41" s="1414"/>
      <c r="N41" s="1414"/>
      <c r="O41" s="1414"/>
      <c r="P41" s="4537" t="str">
        <f>A41</f>
        <v>成交单价（元/平方米）</v>
      </c>
      <c r="Q41" s="4537"/>
      <c r="R41" s="4538">
        <f>E41</f>
        <v>0</v>
      </c>
      <c r="S41" s="4538"/>
      <c r="T41" s="4538">
        <f>G41</f>
        <v>0</v>
      </c>
      <c r="U41" s="4538"/>
      <c r="V41" s="4538">
        <f>I41</f>
        <v>0</v>
      </c>
      <c r="W41" s="4538"/>
      <c r="X41" s="1355"/>
      <c r="Y41" s="1356"/>
      <c r="Z41" s="1355"/>
      <c r="AA41" s="1355"/>
      <c r="AB41" s="1355"/>
      <c r="AC41" s="1355"/>
    </row>
    <row r="42" spans="1:29" ht="14.4">
      <c r="A42" s="1357" t="s">
        <v>1183</v>
      </c>
      <c r="B42" s="1658"/>
      <c r="C42" s="1362" t="e">
        <f>R43</f>
        <v>#DIV/0!</v>
      </c>
      <c r="D42" s="1659" t="s">
        <v>2185</v>
      </c>
      <c r="E42" s="1709" t="e">
        <f>R42</f>
        <v>#DIV/0!</v>
      </c>
      <c r="F42" s="1361"/>
      <c r="G42" s="1710" t="e">
        <f>T42</f>
        <v>#DIV/0!</v>
      </c>
      <c r="H42" s="1361"/>
      <c r="I42" s="1709" t="e">
        <f>V42</f>
        <v>#DIV/0!</v>
      </c>
      <c r="J42" s="1361"/>
      <c r="K42" s="1363">
        <f>F42+H42+J42</f>
        <v>0</v>
      </c>
      <c r="L42" s="1708"/>
      <c r="M42" s="1414"/>
      <c r="N42" s="1414"/>
      <c r="O42" s="1414"/>
      <c r="P42" s="4537" t="str">
        <f>A42</f>
        <v>比较价值（元/平方米）</v>
      </c>
      <c r="Q42" s="4537"/>
      <c r="R42" s="4538" t="e">
        <f>IF(F1="售价",ROUND(PRODUCT(R41,AA7:AA40),0),ROUND(PRODUCT(R41,AA7:AA40),1))</f>
        <v>#DIV/0!</v>
      </c>
      <c r="S42" s="4538"/>
      <c r="T42" s="4538" t="e">
        <f>IF(F1="售价",ROUND(PRODUCT(T41,AB7:AB40),0),ROUND(PRODUCT(T41,AB7:AB40),1))</f>
        <v>#DIV/0!</v>
      </c>
      <c r="U42" s="4538"/>
      <c r="V42" s="4538" t="e">
        <f>IF(F1="售价",ROUND(PRODUCT(V41,AC7:AC40),0),ROUND(PRODUCT(V41,AC7:AC40),1))</f>
        <v>#DIV/0!</v>
      </c>
      <c r="W42" s="4538"/>
      <c r="X42" s="1355"/>
      <c r="Y42" s="1355"/>
      <c r="Z42" s="1355"/>
      <c r="AA42" s="1355"/>
      <c r="AB42" s="1355"/>
      <c r="AC42" s="1355"/>
    </row>
    <row r="43" spans="1:29" ht="14.4">
      <c r="A43" s="1364" t="s">
        <v>2186</v>
      </c>
      <c r="B43" s="1365"/>
      <c r="C43" s="1366" t="e">
        <f>R43</f>
        <v>#DIV/0!</v>
      </c>
      <c r="D43" s="1574"/>
      <c r="E43" s="1574"/>
      <c r="F43" s="1574"/>
      <c r="G43" s="1574"/>
      <c r="H43" s="1574"/>
      <c r="I43" s="1574"/>
      <c r="J43" s="1574"/>
      <c r="K43" s="1660"/>
      <c r="L43" s="1708"/>
      <c r="M43" s="1414"/>
      <c r="N43" s="1414"/>
      <c r="O43" s="1414"/>
      <c r="P43" s="4539" t="str">
        <f>A43</f>
        <v>估价对象XX用房的比较价值（楼面单价，元/平方米）</v>
      </c>
      <c r="Q43" s="4540"/>
      <c r="R43" s="4541" t="e">
        <f>IF(F1="售价",ROUND(IF(D42="简单平均",AVERAGE(R42:V42),R42*F42+T42*H42+V42*J42),0),ROUND(IF(D42="简单平均",AVERAGE(R42:V42),R42*F42+T42*H42+V42*J42),1))</f>
        <v>#DIV/0!</v>
      </c>
      <c r="S43" s="4541"/>
      <c r="T43" s="4541"/>
      <c r="U43" s="4541"/>
      <c r="V43" s="4541"/>
      <c r="W43" s="4541"/>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1186</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1187</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1188</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1213</v>
      </c>
      <c r="B51" s="1355"/>
      <c r="C51" s="1421"/>
      <c r="D51" s="1421"/>
      <c r="E51" s="1421"/>
      <c r="F51" s="1422"/>
      <c r="G51" s="1422"/>
      <c r="H51" s="1421"/>
      <c r="I51" s="1421"/>
      <c r="J51" s="1421"/>
      <c r="K51" s="1714"/>
      <c r="L51" s="1715"/>
      <c r="M51" s="1425"/>
      <c r="N51" s="1425"/>
      <c r="O51" s="1425"/>
      <c r="P51" s="1716"/>
      <c r="Q51" s="1717"/>
    </row>
    <row r="52" spans="1:23" s="1191" customFormat="1" ht="14.4">
      <c r="A52" s="1663" t="s">
        <v>1136</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1216</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1140</v>
      </c>
      <c r="B55" s="1444"/>
      <c r="C55" s="1445" t="s">
        <v>1217</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1218</v>
      </c>
      <c r="B57" s="1454" t="s">
        <v>1144</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1147</v>
      </c>
      <c r="C59" s="1517"/>
      <c r="D59" s="1517"/>
      <c r="E59" s="1517"/>
      <c r="F59" s="1517"/>
      <c r="G59" s="1517"/>
      <c r="H59" s="1517"/>
      <c r="I59" s="1517"/>
      <c r="J59" s="1517"/>
      <c r="K59" s="1518"/>
      <c r="L59" s="1519"/>
      <c r="M59" s="1520"/>
      <c r="N59" s="1724"/>
      <c r="O59" s="1724"/>
      <c r="P59" s="1725"/>
      <c r="Q59" s="1717"/>
    </row>
    <row r="60" spans="1:23" ht="14.4">
      <c r="A60" s="1460"/>
      <c r="B60" s="1470" t="s">
        <v>2191</v>
      </c>
      <c r="C60" s="1462"/>
      <c r="D60" s="1462"/>
      <c r="E60" s="1462"/>
      <c r="F60" s="1462"/>
      <c r="G60" s="1462"/>
      <c r="H60" s="1462"/>
      <c r="I60" s="1462"/>
      <c r="J60" s="1462"/>
      <c r="K60" s="1462"/>
      <c r="L60" s="1462"/>
      <c r="M60" s="1463"/>
      <c r="N60" s="1726"/>
      <c r="O60" s="1726"/>
      <c r="P60" s="1725"/>
      <c r="Q60" s="1717"/>
    </row>
    <row r="61" spans="1:23" ht="14.4">
      <c r="A61" s="1460"/>
      <c r="B61" s="1473" t="s">
        <v>1148</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1151</v>
      </c>
      <c r="B70" s="1454" t="s">
        <v>2272</v>
      </c>
      <c r="C70" s="1501" t="s">
        <v>1219</v>
      </c>
      <c r="D70" s="1501" t="s">
        <v>1220</v>
      </c>
      <c r="E70" s="1501" t="s">
        <v>1221</v>
      </c>
      <c r="F70" s="1501" t="s">
        <v>1222</v>
      </c>
      <c r="G70" s="1501" t="s">
        <v>1223</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1158</v>
      </c>
      <c r="C72" s="1506" t="s">
        <v>1219</v>
      </c>
      <c r="D72" s="1506" t="s">
        <v>1220</v>
      </c>
      <c r="E72" s="1506" t="s">
        <v>1221</v>
      </c>
      <c r="F72" s="1506" t="s">
        <v>1222</v>
      </c>
      <c r="G72" s="1506" t="s">
        <v>1223</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1165</v>
      </c>
      <c r="C74" s="1506" t="s">
        <v>1219</v>
      </c>
      <c r="D74" s="1506" t="s">
        <v>1220</v>
      </c>
      <c r="E74" s="1506" t="s">
        <v>1221</v>
      </c>
      <c r="F74" s="1506" t="s">
        <v>1222</v>
      </c>
      <c r="G74" s="1506" t="s">
        <v>1223</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1167</v>
      </c>
      <c r="C76" s="1295" t="s">
        <v>1224</v>
      </c>
      <c r="D76" s="1295" t="s">
        <v>1225</v>
      </c>
      <c r="E76" s="1295" t="s">
        <v>1226</v>
      </c>
      <c r="F76" s="1295" t="s">
        <v>1227</v>
      </c>
      <c r="G76" s="1295" t="s">
        <v>1228</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2267</v>
      </c>
      <c r="C78" s="1506" t="s">
        <v>1219</v>
      </c>
      <c r="D78" s="1506" t="s">
        <v>1220</v>
      </c>
      <c r="E78" s="1506" t="s">
        <v>1221</v>
      </c>
      <c r="F78" s="1506" t="s">
        <v>1222</v>
      </c>
      <c r="G78" s="1506" t="s">
        <v>1223</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1174</v>
      </c>
      <c r="B88" s="1454" t="s">
        <v>2165</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2169</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2170</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2174</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2176</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2178</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2181</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2274</v>
      </c>
      <c r="C106" s="1506" t="s">
        <v>1219</v>
      </c>
      <c r="D106" s="1506" t="s">
        <v>1220</v>
      </c>
      <c r="E106" s="1506" t="s">
        <v>1221</v>
      </c>
      <c r="F106" s="1506" t="s">
        <v>1222</v>
      </c>
      <c r="G106" s="1506" t="s">
        <v>1223</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2236</v>
      </c>
      <c r="B1" s="1541" t="s">
        <v>630</v>
      </c>
      <c r="C1" s="1542" t="s">
        <v>2150</v>
      </c>
      <c r="D1" s="1543"/>
      <c r="E1" s="1544"/>
      <c r="F1" s="1545"/>
      <c r="G1" s="1546" t="s">
        <v>1116</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1117</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1409</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560" t="e">
        <f>IF(E2="——",C37,ROUND(B2*10000/D3,0))</f>
        <v>#DIV/0!</v>
      </c>
      <c r="C3" s="1561" t="s">
        <v>1119</v>
      </c>
      <c r="D3" s="1560">
        <f>SUMIF('数据-汇总表'!$C19:$C33,D1,'数据-汇总表'!$E19:$E33)</f>
        <v>0</v>
      </c>
      <c r="E3" s="1562" t="s">
        <v>1699</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1123</v>
      </c>
      <c r="B4" s="1565"/>
      <c r="C4" s="4514" t="s">
        <v>1124</v>
      </c>
      <c r="D4" s="4646"/>
      <c r="E4" s="4647" t="s">
        <v>1125</v>
      </c>
      <c r="F4" s="4648"/>
      <c r="G4" s="4514" t="s">
        <v>1126</v>
      </c>
      <c r="H4" s="4646"/>
      <c r="I4" s="4514" t="s">
        <v>1127</v>
      </c>
      <c r="J4" s="4646"/>
      <c r="K4" s="1217" t="s">
        <v>1128</v>
      </c>
      <c r="L4" s="1218"/>
      <c r="M4" s="1219"/>
      <c r="N4" s="1219"/>
      <c r="O4" s="1219"/>
      <c r="P4" s="4630" t="s">
        <v>1129</v>
      </c>
      <c r="Q4" s="4631"/>
      <c r="R4" s="4531" t="s">
        <v>1125</v>
      </c>
      <c r="S4" s="4532"/>
      <c r="T4" s="4531" t="s">
        <v>1126</v>
      </c>
      <c r="U4" s="4532"/>
      <c r="V4" s="4636" t="s">
        <v>1127</v>
      </c>
      <c r="W4" s="4636"/>
      <c r="X4" s="1220"/>
      <c r="Y4" s="4531" t="s">
        <v>1129</v>
      </c>
      <c r="Z4" s="4532"/>
      <c r="AA4" s="4511" t="s">
        <v>1125</v>
      </c>
      <c r="AB4" s="4512" t="s">
        <v>1126</v>
      </c>
      <c r="AC4" s="4511" t="s">
        <v>1127</v>
      </c>
    </row>
    <row r="5" spans="1:29">
      <c r="A5" s="1570"/>
      <c r="B5" s="1571"/>
      <c r="C5" s="4649" t="s">
        <v>1130</v>
      </c>
      <c r="D5" s="4650"/>
      <c r="E5" s="4672" t="s">
        <v>2255</v>
      </c>
      <c r="F5" s="4652"/>
      <c r="G5" s="4649" t="s">
        <v>2256</v>
      </c>
      <c r="H5" s="4650"/>
      <c r="I5" s="4649" t="s">
        <v>2257</v>
      </c>
      <c r="J5" s="4650"/>
      <c r="K5" s="1217"/>
      <c r="L5" s="1218"/>
      <c r="M5" s="1219"/>
      <c r="N5" s="1219"/>
      <c r="O5" s="1219"/>
      <c r="P5" s="4632"/>
      <c r="Q5" s="4633"/>
      <c r="R5" s="4533"/>
      <c r="S5" s="4534"/>
      <c r="T5" s="4533"/>
      <c r="U5" s="4534"/>
      <c r="V5" s="4636"/>
      <c r="W5" s="4636"/>
      <c r="X5" s="1220"/>
      <c r="Y5" s="4533"/>
      <c r="Z5" s="4534"/>
      <c r="AA5" s="4512"/>
      <c r="AB5" s="4512"/>
      <c r="AC5" s="4512"/>
    </row>
    <row r="6" spans="1:29" ht="14.4">
      <c r="A6" s="1573"/>
      <c r="B6" s="1574"/>
      <c r="C6" s="4641" t="s">
        <v>1134</v>
      </c>
      <c r="D6" s="4642"/>
      <c r="E6" s="4643" t="s">
        <v>1134</v>
      </c>
      <c r="F6" s="4644"/>
      <c r="G6" s="4641" t="s">
        <v>1134</v>
      </c>
      <c r="H6" s="4642"/>
      <c r="I6" s="4641" t="s">
        <v>1134</v>
      </c>
      <c r="J6" s="4642"/>
      <c r="K6" s="1217" t="s">
        <v>1135</v>
      </c>
      <c r="L6" s="1218"/>
      <c r="M6" s="1219"/>
      <c r="N6" s="1219"/>
      <c r="O6" s="1219"/>
      <c r="P6" s="4634"/>
      <c r="Q6" s="4635"/>
      <c r="R6" s="4533"/>
      <c r="S6" s="4534"/>
      <c r="T6" s="4535"/>
      <c r="U6" s="4536"/>
      <c r="V6" s="4636"/>
      <c r="W6" s="4636"/>
      <c r="X6" s="1220"/>
      <c r="Y6" s="4535"/>
      <c r="Z6" s="4536"/>
      <c r="AA6" s="4513"/>
      <c r="AB6" s="4513"/>
      <c r="AC6" s="4513"/>
    </row>
    <row r="7" spans="1:29" s="1186" customFormat="1" ht="14.4">
      <c r="A7" s="1576" t="s">
        <v>1136</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42" t="s">
        <v>1138</v>
      </c>
      <c r="Q7" s="4645"/>
      <c r="R7" s="1584" t="s">
        <v>1139</v>
      </c>
      <c r="S7" s="1240">
        <f t="shared" ref="S7:S14" si="0">F7</f>
        <v>0</v>
      </c>
      <c r="T7" s="1584" t="s">
        <v>1139</v>
      </c>
      <c r="U7" s="1240">
        <f t="shared" ref="U7:U14" si="1">H7</f>
        <v>0</v>
      </c>
      <c r="V7" s="1584" t="s">
        <v>1139</v>
      </c>
      <c r="W7" s="1240">
        <f t="shared" ref="W7:W14" si="2">J7</f>
        <v>0</v>
      </c>
      <c r="X7" s="1239"/>
      <c r="Y7" s="4542" t="s">
        <v>1138</v>
      </c>
      <c r="Z7" s="4543"/>
      <c r="AA7" s="1241" t="e">
        <f>D7/F7</f>
        <v>#DIV/0!</v>
      </c>
      <c r="AB7" s="1241" t="e">
        <f>D7/H7</f>
        <v>#DIV/0!</v>
      </c>
      <c r="AC7" s="1241" t="e">
        <f>D7/J7</f>
        <v>#DIV/0!</v>
      </c>
    </row>
    <row r="8" spans="1:29" s="1186" customFormat="1" ht="14.4">
      <c r="A8" s="1576" t="s">
        <v>1140</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42" t="s">
        <v>1142</v>
      </c>
      <c r="Q8" s="4543"/>
      <c r="R8" s="1584" t="s">
        <v>1139</v>
      </c>
      <c r="S8" s="1240">
        <f t="shared" si="0"/>
        <v>100</v>
      </c>
      <c r="T8" s="1584" t="s">
        <v>1139</v>
      </c>
      <c r="U8" s="1240">
        <f t="shared" si="1"/>
        <v>100</v>
      </c>
      <c r="V8" s="1584" t="s">
        <v>1139</v>
      </c>
      <c r="W8" s="1240">
        <f t="shared" si="2"/>
        <v>100</v>
      </c>
      <c r="X8" s="1239"/>
      <c r="Y8" s="4542" t="s">
        <v>1142</v>
      </c>
      <c r="Z8" s="4543"/>
      <c r="AA8" s="1241">
        <f t="shared" ref="AA8:AA34" si="3">D8/F8</f>
        <v>1</v>
      </c>
      <c r="AB8" s="1241">
        <f t="shared" ref="AB8:AB34" si="4">D8/H8</f>
        <v>1</v>
      </c>
      <c r="AC8" s="1241">
        <f t="shared" ref="AC8:AC34" si="5">D8/J8</f>
        <v>1</v>
      </c>
    </row>
    <row r="9" spans="1:29" s="1186" customFormat="1" ht="14.4">
      <c r="A9" s="1586" t="s">
        <v>1143</v>
      </c>
      <c r="B9" s="1587" t="s">
        <v>1144</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17" t="s">
        <v>1145</v>
      </c>
      <c r="Q9" s="1101" t="str">
        <f t="shared" ref="Q9:Q14" si="6">B9</f>
        <v>用途</v>
      </c>
      <c r="R9" s="1584" t="s">
        <v>1139</v>
      </c>
      <c r="S9" s="1240">
        <f t="shared" si="0"/>
        <v>100</v>
      </c>
      <c r="T9" s="1584" t="s">
        <v>1139</v>
      </c>
      <c r="U9" s="1240">
        <f t="shared" si="1"/>
        <v>100</v>
      </c>
      <c r="V9" s="1584" t="s">
        <v>1139</v>
      </c>
      <c r="W9" s="1240">
        <f t="shared" si="2"/>
        <v>100</v>
      </c>
      <c r="X9" s="1239"/>
      <c r="Y9" s="4550" t="s">
        <v>1146</v>
      </c>
      <c r="Z9" s="1241" t="str">
        <f t="shared" ref="Z9:Z14" si="7">Q9</f>
        <v>用途</v>
      </c>
      <c r="AA9" s="1241">
        <f t="shared" si="3"/>
        <v>1</v>
      </c>
      <c r="AB9" s="1241">
        <f t="shared" si="4"/>
        <v>1</v>
      </c>
      <c r="AC9" s="1241">
        <f t="shared" si="5"/>
        <v>1</v>
      </c>
    </row>
    <row r="10" spans="1:29" s="1187" customFormat="1" ht="28.8">
      <c r="A10" s="1592"/>
      <c r="B10" s="1593" t="s">
        <v>1147</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17"/>
      <c r="Q10" s="1101" t="str">
        <f t="shared" si="6"/>
        <v>土地使用年限（年）</v>
      </c>
      <c r="R10" s="1584" t="s">
        <v>1139</v>
      </c>
      <c r="S10" s="1240">
        <f t="shared" si="0"/>
        <v>100</v>
      </c>
      <c r="T10" s="1584" t="s">
        <v>1139</v>
      </c>
      <c r="U10" s="1240">
        <f t="shared" si="1"/>
        <v>100</v>
      </c>
      <c r="V10" s="1584" t="s">
        <v>1139</v>
      </c>
      <c r="W10" s="1240">
        <f t="shared" si="2"/>
        <v>100</v>
      </c>
      <c r="X10" s="1239"/>
      <c r="Y10" s="4550"/>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17"/>
      <c r="Q11" s="1101">
        <f t="shared" si="6"/>
        <v>111</v>
      </c>
      <c r="R11" s="1584" t="s">
        <v>1139</v>
      </c>
      <c r="S11" s="1240">
        <f t="shared" si="0"/>
        <v>100</v>
      </c>
      <c r="T11" s="1584" t="s">
        <v>1139</v>
      </c>
      <c r="U11" s="1240">
        <f t="shared" si="1"/>
        <v>100</v>
      </c>
      <c r="V11" s="1584" t="s">
        <v>1139</v>
      </c>
      <c r="W11" s="1240">
        <f t="shared" si="2"/>
        <v>100</v>
      </c>
      <c r="X11" s="1239"/>
      <c r="Y11" s="4550"/>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17"/>
      <c r="Q12" s="1101">
        <f t="shared" si="6"/>
        <v>111</v>
      </c>
      <c r="R12" s="1584" t="s">
        <v>1139</v>
      </c>
      <c r="S12" s="1240">
        <f t="shared" si="0"/>
        <v>100</v>
      </c>
      <c r="T12" s="1584" t="s">
        <v>1139</v>
      </c>
      <c r="U12" s="1240">
        <f t="shared" si="1"/>
        <v>100</v>
      </c>
      <c r="V12" s="1584" t="s">
        <v>1139</v>
      </c>
      <c r="W12" s="1240">
        <f t="shared" si="2"/>
        <v>100</v>
      </c>
      <c r="X12" s="1239"/>
      <c r="Y12" s="4550"/>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17"/>
      <c r="Q13" s="1101">
        <f t="shared" si="6"/>
        <v>111</v>
      </c>
      <c r="R13" s="1584" t="s">
        <v>1139</v>
      </c>
      <c r="S13" s="1240">
        <f t="shared" si="0"/>
        <v>100</v>
      </c>
      <c r="T13" s="1584" t="s">
        <v>1139</v>
      </c>
      <c r="U13" s="1240">
        <f t="shared" si="1"/>
        <v>100</v>
      </c>
      <c r="V13" s="1584" t="s">
        <v>1139</v>
      </c>
      <c r="W13" s="1240">
        <f t="shared" si="2"/>
        <v>100</v>
      </c>
      <c r="X13" s="1239"/>
      <c r="Y13" s="4550"/>
      <c r="Z13" s="1241">
        <f t="shared" si="7"/>
        <v>111</v>
      </c>
      <c r="AA13" s="1241">
        <f t="shared" si="3"/>
        <v>1</v>
      </c>
      <c r="AB13" s="1241">
        <f t="shared" si="4"/>
        <v>1</v>
      </c>
      <c r="AC13" s="1241">
        <f t="shared" si="5"/>
        <v>1</v>
      </c>
    </row>
    <row r="14" spans="1:29" ht="27.6">
      <c r="A14" s="1453" t="s">
        <v>1151</v>
      </c>
      <c r="B14" s="1606" t="s">
        <v>1158</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51" t="s">
        <v>1154</v>
      </c>
      <c r="Q14" s="1394" t="str">
        <f t="shared" si="6"/>
        <v>交通便捷度</v>
      </c>
      <c r="R14" s="1614" t="s">
        <v>1139</v>
      </c>
      <c r="S14" s="1615">
        <f t="shared" si="0"/>
        <v>100</v>
      </c>
      <c r="T14" s="1614" t="s">
        <v>1139</v>
      </c>
      <c r="U14" s="1615">
        <f t="shared" si="1"/>
        <v>100</v>
      </c>
      <c r="V14" s="1614" t="s">
        <v>1139</v>
      </c>
      <c r="W14" s="1615">
        <f t="shared" si="2"/>
        <v>100</v>
      </c>
      <c r="X14" s="1220"/>
      <c r="Y14" s="4551" t="s">
        <v>1154</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52"/>
      <c r="Q15" s="1394"/>
      <c r="R15" s="1614"/>
      <c r="S15" s="1615"/>
      <c r="T15" s="1614"/>
      <c r="U15" s="1615"/>
      <c r="V15" s="1614"/>
      <c r="W15" s="1615"/>
      <c r="X15" s="1220"/>
      <c r="Y15" s="4552"/>
      <c r="Z15" s="1288"/>
      <c r="AA15" s="1288">
        <v>1</v>
      </c>
      <c r="AB15" s="1288">
        <v>1</v>
      </c>
      <c r="AC15" s="1288">
        <v>1</v>
      </c>
    </row>
    <row r="16" spans="1:29" ht="55.2">
      <c r="A16" s="1460"/>
      <c r="B16" s="1620" t="s">
        <v>1165</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52"/>
      <c r="Q16" s="1394" t="str">
        <f>B16</f>
        <v>公共配套设施</v>
      </c>
      <c r="R16" s="1614" t="s">
        <v>1139</v>
      </c>
      <c r="S16" s="1615">
        <f>F16</f>
        <v>100</v>
      </c>
      <c r="T16" s="1614" t="s">
        <v>1139</v>
      </c>
      <c r="U16" s="1615">
        <f>H16</f>
        <v>100</v>
      </c>
      <c r="V16" s="1614" t="s">
        <v>1139</v>
      </c>
      <c r="W16" s="1615">
        <f>J16</f>
        <v>100</v>
      </c>
      <c r="X16" s="1220"/>
      <c r="Y16" s="4552"/>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52"/>
      <c r="Q17" s="1394"/>
      <c r="R17" s="1614"/>
      <c r="S17" s="1615"/>
      <c r="T17" s="1614"/>
      <c r="U17" s="1615"/>
      <c r="V17" s="1614"/>
      <c r="W17" s="1615"/>
      <c r="X17" s="1220"/>
      <c r="Y17" s="4552"/>
      <c r="Z17" s="1288"/>
      <c r="AA17" s="1288">
        <v>1</v>
      </c>
      <c r="AB17" s="1288">
        <v>1</v>
      </c>
      <c r="AC17" s="1288">
        <v>1</v>
      </c>
    </row>
    <row r="18" spans="1:29" ht="15">
      <c r="A18" s="1460"/>
      <c r="B18" s="1628" t="s">
        <v>1167</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52"/>
      <c r="Q18" s="1394" t="str">
        <f>B18</f>
        <v>基础设施水平</v>
      </c>
      <c r="R18" s="1614" t="s">
        <v>1139</v>
      </c>
      <c r="S18" s="1615">
        <f>F18</f>
        <v>100</v>
      </c>
      <c r="T18" s="1614" t="s">
        <v>1139</v>
      </c>
      <c r="U18" s="1615">
        <f>H18</f>
        <v>100</v>
      </c>
      <c r="V18" s="1614" t="s">
        <v>1139</v>
      </c>
      <c r="W18" s="1615">
        <f>J18</f>
        <v>100</v>
      </c>
      <c r="X18" s="1220"/>
      <c r="Y18" s="4552"/>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52"/>
      <c r="Q19" s="1394"/>
      <c r="R19" s="1614"/>
      <c r="S19" s="1615"/>
      <c r="T19" s="1614"/>
      <c r="U19" s="1615"/>
      <c r="V19" s="1614"/>
      <c r="W19" s="1615"/>
      <c r="X19" s="1220"/>
      <c r="Y19" s="4552"/>
      <c r="Z19" s="1288"/>
      <c r="AA19" s="1288">
        <v>1</v>
      </c>
      <c r="AB19" s="1288">
        <v>1</v>
      </c>
      <c r="AC19" s="1288">
        <v>1</v>
      </c>
    </row>
    <row r="20" spans="1:29" ht="69">
      <c r="A20" s="1460"/>
      <c r="B20" s="1620" t="s">
        <v>2161</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52"/>
      <c r="Q20" s="1394" t="str">
        <f>B20</f>
        <v>自然及人文环境</v>
      </c>
      <c r="R20" s="1614" t="s">
        <v>1139</v>
      </c>
      <c r="S20" s="1615">
        <f>F20</f>
        <v>100</v>
      </c>
      <c r="T20" s="1614" t="s">
        <v>1139</v>
      </c>
      <c r="U20" s="1615">
        <f>H20</f>
        <v>100</v>
      </c>
      <c r="V20" s="1614" t="s">
        <v>1139</v>
      </c>
      <c r="W20" s="1615">
        <f>J20</f>
        <v>100</v>
      </c>
      <c r="X20" s="1220"/>
      <c r="Y20" s="4552"/>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52"/>
      <c r="Q21" s="1394"/>
      <c r="R21" s="1614"/>
      <c r="S21" s="1615"/>
      <c r="T21" s="1614"/>
      <c r="U21" s="1615"/>
      <c r="V21" s="1614"/>
      <c r="W21" s="1615"/>
      <c r="X21" s="1220"/>
      <c r="Y21" s="4552"/>
      <c r="Z21" s="1288"/>
      <c r="AA21" s="1288">
        <v>1</v>
      </c>
      <c r="AB21" s="1288">
        <v>1</v>
      </c>
      <c r="AC21" s="1288">
        <v>1</v>
      </c>
    </row>
    <row r="22" spans="1:29" ht="15">
      <c r="A22" s="1460"/>
      <c r="B22" s="1620" t="s">
        <v>2242</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52"/>
      <c r="Q22" s="1394" t="str">
        <f>B22</f>
        <v>楼层</v>
      </c>
      <c r="R22" s="1614" t="s">
        <v>1139</v>
      </c>
      <c r="S22" s="1615">
        <f>F22</f>
        <v>100</v>
      </c>
      <c r="T22" s="1614" t="s">
        <v>1139</v>
      </c>
      <c r="U22" s="1615">
        <f>H22</f>
        <v>100</v>
      </c>
      <c r="V22" s="1614" t="s">
        <v>1139</v>
      </c>
      <c r="W22" s="1615">
        <f>J22</f>
        <v>100</v>
      </c>
      <c r="X22" s="1220"/>
      <c r="Y22" s="4552"/>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52"/>
      <c r="Q23" s="1394">
        <f>B23</f>
        <v>111</v>
      </c>
      <c r="R23" s="1614" t="s">
        <v>1139</v>
      </c>
      <c r="S23" s="1615">
        <f>F23</f>
        <v>100</v>
      </c>
      <c r="T23" s="1614" t="s">
        <v>1139</v>
      </c>
      <c r="U23" s="1615">
        <f>H23</f>
        <v>100</v>
      </c>
      <c r="V23" s="1614" t="s">
        <v>1139</v>
      </c>
      <c r="W23" s="1615">
        <f>J23</f>
        <v>100</v>
      </c>
      <c r="X23" s="1220"/>
      <c r="Y23" s="4552"/>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52"/>
      <c r="Q24" s="1394">
        <f t="shared" ref="Q24:Q34" si="11">B24</f>
        <v>111</v>
      </c>
      <c r="R24" s="1614" t="s">
        <v>1139</v>
      </c>
      <c r="S24" s="1615">
        <f>F24</f>
        <v>100</v>
      </c>
      <c r="T24" s="1614" t="s">
        <v>1139</v>
      </c>
      <c r="U24" s="1615">
        <f>H24</f>
        <v>100</v>
      </c>
      <c r="V24" s="1614" t="s">
        <v>1139</v>
      </c>
      <c r="W24" s="1615">
        <f>J24</f>
        <v>100</v>
      </c>
      <c r="X24" s="1220"/>
      <c r="Y24" s="4552"/>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52"/>
      <c r="Q25" s="1101">
        <f t="shared" si="11"/>
        <v>111</v>
      </c>
      <c r="R25" s="1584" t="s">
        <v>1139</v>
      </c>
      <c r="S25" s="1240">
        <f>F25</f>
        <v>100</v>
      </c>
      <c r="T25" s="1584" t="s">
        <v>1139</v>
      </c>
      <c r="U25" s="1240">
        <f>H25</f>
        <v>100</v>
      </c>
      <c r="V25" s="1584" t="s">
        <v>1139</v>
      </c>
      <c r="W25" s="1240">
        <f>J25</f>
        <v>100</v>
      </c>
      <c r="X25" s="1239"/>
      <c r="Y25" s="4552"/>
      <c r="Z25" s="1241">
        <f>Q25</f>
        <v>111</v>
      </c>
      <c r="AA25" s="1288">
        <f t="shared" si="3"/>
        <v>1</v>
      </c>
      <c r="AB25" s="1288">
        <f t="shared" si="4"/>
        <v>1</v>
      </c>
      <c r="AC25" s="1288">
        <f t="shared" si="5"/>
        <v>1</v>
      </c>
    </row>
    <row r="26" spans="1:29" ht="30">
      <c r="A26" s="1638" t="s">
        <v>1174</v>
      </c>
      <c r="B26" s="1587" t="s">
        <v>2174</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40" t="s">
        <v>1173</v>
      </c>
      <c r="Q26" s="1394" t="str">
        <f t="shared" si="11"/>
        <v>公共部分装修</v>
      </c>
      <c r="R26" s="1614" t="s">
        <v>1139</v>
      </c>
      <c r="S26" s="1615">
        <f t="shared" ref="S26:S34" si="12">F26</f>
        <v>100</v>
      </c>
      <c r="T26" s="1614" t="s">
        <v>1139</v>
      </c>
      <c r="U26" s="1615">
        <f t="shared" ref="U26:U34" si="13">H26</f>
        <v>100</v>
      </c>
      <c r="V26" s="1614" t="s">
        <v>1139</v>
      </c>
      <c r="W26" s="1615">
        <f t="shared" ref="W26:W34" si="14">J26</f>
        <v>100</v>
      </c>
      <c r="X26" s="1220"/>
      <c r="Y26" s="4553" t="s">
        <v>1173</v>
      </c>
      <c r="Z26" s="1288" t="str">
        <f t="shared" ref="Z26:Z34" si="15">Q26</f>
        <v>公共部分装修</v>
      </c>
      <c r="AA26" s="1288">
        <f t="shared" si="3"/>
        <v>1</v>
      </c>
      <c r="AB26" s="1288">
        <f t="shared" si="4"/>
        <v>1</v>
      </c>
      <c r="AC26" s="1288">
        <f t="shared" si="5"/>
        <v>1</v>
      </c>
    </row>
    <row r="27" spans="1:29" s="1188" customFormat="1" ht="15">
      <c r="A27" s="1528"/>
      <c r="B27" s="1593" t="s">
        <v>2245</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53"/>
      <c r="Q27" s="1644" t="str">
        <f t="shared" si="11"/>
        <v>成新率</v>
      </c>
      <c r="R27" s="1645" t="s">
        <v>1139</v>
      </c>
      <c r="S27" s="1646" t="e">
        <f t="shared" si="12"/>
        <v>#N/A</v>
      </c>
      <c r="T27" s="1645" t="s">
        <v>1139</v>
      </c>
      <c r="U27" s="1646" t="e">
        <f t="shared" si="13"/>
        <v>#N/A</v>
      </c>
      <c r="V27" s="1645" t="s">
        <v>1139</v>
      </c>
      <c r="W27" s="1646" t="e">
        <f t="shared" si="14"/>
        <v>#N/A</v>
      </c>
      <c r="X27" s="1330"/>
      <c r="Y27" s="4553"/>
      <c r="Z27" s="1331" t="str">
        <f t="shared" si="15"/>
        <v>成新率</v>
      </c>
      <c r="AA27" s="1288" t="e">
        <f t="shared" si="3"/>
        <v>#N/A</v>
      </c>
      <c r="AB27" s="1288" t="e">
        <f t="shared" si="4"/>
        <v>#N/A</v>
      </c>
      <c r="AC27" s="1288" t="e">
        <f t="shared" si="5"/>
        <v>#N/A</v>
      </c>
    </row>
    <row r="28" spans="1:29" ht="15">
      <c r="A28" s="1537"/>
      <c r="B28" s="1593" t="s">
        <v>2246</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53"/>
      <c r="Q28" s="1394" t="str">
        <f t="shared" si="11"/>
        <v>物业等级</v>
      </c>
      <c r="R28" s="1614" t="s">
        <v>1139</v>
      </c>
      <c r="S28" s="1615">
        <f t="shared" si="12"/>
        <v>100</v>
      </c>
      <c r="T28" s="1614" t="s">
        <v>1139</v>
      </c>
      <c r="U28" s="1615">
        <f t="shared" si="13"/>
        <v>100</v>
      </c>
      <c r="V28" s="1614" t="s">
        <v>1139</v>
      </c>
      <c r="W28" s="1615">
        <f t="shared" si="14"/>
        <v>100</v>
      </c>
      <c r="X28" s="1220"/>
      <c r="Y28" s="4553"/>
      <c r="Z28" s="1288" t="str">
        <f t="shared" si="15"/>
        <v>物业等级</v>
      </c>
      <c r="AA28" s="1288">
        <f t="shared" si="3"/>
        <v>1</v>
      </c>
      <c r="AB28" s="1288">
        <f t="shared" si="4"/>
        <v>1</v>
      </c>
      <c r="AC28" s="1288">
        <f t="shared" si="5"/>
        <v>1</v>
      </c>
    </row>
    <row r="29" spans="1:29" ht="15">
      <c r="A29" s="1537"/>
      <c r="B29" s="1593" t="s">
        <v>2275</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53"/>
      <c r="Q29" s="1394" t="str">
        <f t="shared" si="11"/>
        <v>有无电梯</v>
      </c>
      <c r="R29" s="1614" t="s">
        <v>1139</v>
      </c>
      <c r="S29" s="1615">
        <f t="shared" si="12"/>
        <v>100</v>
      </c>
      <c r="T29" s="1614" t="s">
        <v>1139</v>
      </c>
      <c r="U29" s="1615">
        <f t="shared" si="13"/>
        <v>100</v>
      </c>
      <c r="V29" s="1614" t="s">
        <v>1139</v>
      </c>
      <c r="W29" s="1615">
        <f t="shared" si="14"/>
        <v>100</v>
      </c>
      <c r="X29" s="1220"/>
      <c r="Y29" s="4553"/>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53"/>
      <c r="Q30" s="1394" t="str">
        <f t="shared" si="11"/>
        <v>建筑面积</v>
      </c>
      <c r="R30" s="1614" t="s">
        <v>1139</v>
      </c>
      <c r="S30" s="1615" t="e">
        <f t="shared" si="12"/>
        <v>#N/A</v>
      </c>
      <c r="T30" s="1614" t="s">
        <v>1139</v>
      </c>
      <c r="U30" s="1615" t="e">
        <f t="shared" si="13"/>
        <v>#N/A</v>
      </c>
      <c r="V30" s="1614" t="s">
        <v>1139</v>
      </c>
      <c r="W30" s="1615" t="e">
        <f t="shared" si="14"/>
        <v>#N/A</v>
      </c>
      <c r="X30" s="1220"/>
      <c r="Y30" s="4553"/>
      <c r="Z30" s="1288" t="str">
        <f t="shared" si="15"/>
        <v>建筑面积</v>
      </c>
      <c r="AA30" s="1288" t="e">
        <f t="shared" si="3"/>
        <v>#N/A</v>
      </c>
      <c r="AB30" s="1288" t="e">
        <f t="shared" si="4"/>
        <v>#N/A</v>
      </c>
      <c r="AC30" s="1288" t="e">
        <f t="shared" si="5"/>
        <v>#N/A</v>
      </c>
    </row>
    <row r="31" spans="1:29" s="1186" customFormat="1" ht="15">
      <c r="A31" s="1649"/>
      <c r="B31" s="1593" t="s">
        <v>2276</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53"/>
      <c r="Q31" s="1101" t="str">
        <f t="shared" si="11"/>
        <v>是否封闭</v>
      </c>
      <c r="R31" s="1584" t="s">
        <v>1139</v>
      </c>
      <c r="S31" s="1240">
        <f t="shared" si="12"/>
        <v>100</v>
      </c>
      <c r="T31" s="1584" t="s">
        <v>1139</v>
      </c>
      <c r="U31" s="1240">
        <f t="shared" si="13"/>
        <v>100</v>
      </c>
      <c r="V31" s="1584" t="s">
        <v>1139</v>
      </c>
      <c r="W31" s="1240">
        <f t="shared" si="14"/>
        <v>100</v>
      </c>
      <c r="X31" s="1239"/>
      <c r="Y31" s="4553"/>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53" t="s">
        <v>1173</v>
      </c>
      <c r="Q32" s="1394">
        <f t="shared" si="11"/>
        <v>111</v>
      </c>
      <c r="R32" s="1614" t="s">
        <v>1139</v>
      </c>
      <c r="S32" s="1615">
        <f t="shared" si="12"/>
        <v>100</v>
      </c>
      <c r="T32" s="1614" t="s">
        <v>1139</v>
      </c>
      <c r="U32" s="1615">
        <f t="shared" si="13"/>
        <v>100</v>
      </c>
      <c r="V32" s="1614" t="s">
        <v>1139</v>
      </c>
      <c r="W32" s="1615">
        <f t="shared" si="14"/>
        <v>100</v>
      </c>
      <c r="X32" s="1220"/>
      <c r="Y32" s="4553" t="s">
        <v>1173</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53"/>
      <c r="Q33" s="1394">
        <f t="shared" si="11"/>
        <v>111</v>
      </c>
      <c r="R33" s="1614" t="s">
        <v>1139</v>
      </c>
      <c r="S33" s="1615">
        <f t="shared" si="12"/>
        <v>100</v>
      </c>
      <c r="T33" s="1614" t="s">
        <v>1139</v>
      </c>
      <c r="U33" s="1615">
        <f t="shared" si="13"/>
        <v>100</v>
      </c>
      <c r="V33" s="1614" t="s">
        <v>1139</v>
      </c>
      <c r="W33" s="1615">
        <f t="shared" si="14"/>
        <v>100</v>
      </c>
      <c r="X33" s="1220"/>
      <c r="Y33" s="4553"/>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53"/>
      <c r="Q34" s="1394">
        <f t="shared" si="11"/>
        <v>111</v>
      </c>
      <c r="R34" s="1614" t="s">
        <v>1139</v>
      </c>
      <c r="S34" s="1615">
        <f t="shared" si="12"/>
        <v>100</v>
      </c>
      <c r="T34" s="1614" t="s">
        <v>1139</v>
      </c>
      <c r="U34" s="1615">
        <f t="shared" si="13"/>
        <v>100</v>
      </c>
      <c r="V34" s="1614" t="s">
        <v>1139</v>
      </c>
      <c r="W34" s="1615">
        <f t="shared" si="14"/>
        <v>100</v>
      </c>
      <c r="X34" s="1220"/>
      <c r="Y34" s="4553"/>
      <c r="Z34" s="1288">
        <f t="shared" si="15"/>
        <v>111</v>
      </c>
      <c r="AA34" s="1288">
        <f t="shared" si="3"/>
        <v>1</v>
      </c>
      <c r="AB34" s="1288">
        <f t="shared" si="4"/>
        <v>1</v>
      </c>
      <c r="AC34" s="1288">
        <f t="shared" si="5"/>
        <v>1</v>
      </c>
    </row>
    <row r="35" spans="1:30" ht="14.4">
      <c r="A35" s="1345" t="s">
        <v>2184</v>
      </c>
      <c r="B35" s="1655"/>
      <c r="C35" s="1656" t="s">
        <v>124</v>
      </c>
      <c r="D35" s="1657"/>
      <c r="E35" s="1349"/>
      <c r="F35" s="1350"/>
      <c r="G35" s="1351"/>
      <c r="H35" s="1352"/>
      <c r="I35" s="1349"/>
      <c r="J35" s="1352"/>
      <c r="K35" s="1353"/>
      <c r="L35" s="1354"/>
      <c r="M35" s="1219"/>
      <c r="N35" s="1219"/>
      <c r="O35" s="1219"/>
      <c r="P35" s="4517" t="str">
        <f>A35</f>
        <v>成交单价（元/平方米）</v>
      </c>
      <c r="Q35" s="4517"/>
      <c r="R35" s="4636">
        <f>E35</f>
        <v>0</v>
      </c>
      <c r="S35" s="4636"/>
      <c r="T35" s="4636">
        <f>G35</f>
        <v>0</v>
      </c>
      <c r="U35" s="4636"/>
      <c r="V35" s="4636">
        <f>I35</f>
        <v>0</v>
      </c>
      <c r="W35" s="4636"/>
      <c r="X35" s="1355"/>
      <c r="Y35" s="1356"/>
      <c r="Z35" s="1355"/>
      <c r="AA35" s="1355"/>
      <c r="AB35" s="1355"/>
      <c r="AC35" s="1355"/>
    </row>
    <row r="36" spans="1:30" ht="14.4">
      <c r="A36" s="1357" t="s">
        <v>1183</v>
      </c>
      <c r="B36" s="1658"/>
      <c r="C36" s="1362" t="e">
        <f>R37</f>
        <v>#DIV/0!</v>
      </c>
      <c r="D36" s="1659" t="s">
        <v>2185</v>
      </c>
      <c r="E36" s="1359" t="e">
        <f>R36</f>
        <v>#DIV/0!</v>
      </c>
      <c r="F36" s="1361"/>
      <c r="G36" s="1362" t="e">
        <f>T36</f>
        <v>#DIV/0!</v>
      </c>
      <c r="H36" s="1361"/>
      <c r="I36" s="1359" t="e">
        <f>V36</f>
        <v>#DIV/0!</v>
      </c>
      <c r="J36" s="1361"/>
      <c r="K36" s="1363">
        <f>F36+H36+J36</f>
        <v>0</v>
      </c>
      <c r="L36" s="1354"/>
      <c r="M36" s="1219"/>
      <c r="N36" s="1219"/>
      <c r="O36" s="1219"/>
      <c r="P36" s="4517" t="str">
        <f>A36</f>
        <v>比较价值（元/平方米）</v>
      </c>
      <c r="Q36" s="4517"/>
      <c r="R36" s="4636" t="e">
        <f>IF(F1="售价",ROUND(PRODUCT(R35,AA7:AA34),0),ROUND(PRODUCT(R35,AA7:AA34),1))</f>
        <v>#DIV/0!</v>
      </c>
      <c r="S36" s="4636"/>
      <c r="T36" s="4636" t="e">
        <f>IF(F1="售价",ROUND(PRODUCT(T35,AB7:AB34),0),ROUND(PRODUCT(T35,AB7:AB34),1))</f>
        <v>#DIV/0!</v>
      </c>
      <c r="U36" s="4636"/>
      <c r="V36" s="4636" t="e">
        <f>IF(F1="售价",ROUND(PRODUCT(V35,AC7:AC34),0),ROUND(PRODUCT(V35,AC7:AC34),1))</f>
        <v>#DIV/0!</v>
      </c>
      <c r="W36" s="4636"/>
      <c r="X36" s="1355"/>
      <c r="Y36" s="1355"/>
      <c r="Z36" s="1355"/>
      <c r="AA36" s="1355"/>
      <c r="AB36" s="1355"/>
      <c r="AC36" s="1355"/>
    </row>
    <row r="37" spans="1:30" ht="14.4">
      <c r="A37" s="1364" t="s">
        <v>2186</v>
      </c>
      <c r="B37" s="1365"/>
      <c r="C37" s="1366" t="e">
        <f>R37</f>
        <v>#DIV/0!</v>
      </c>
      <c r="D37" s="1574"/>
      <c r="E37" s="1574"/>
      <c r="F37" s="1574"/>
      <c r="G37" s="1574"/>
      <c r="H37" s="1574"/>
      <c r="I37" s="1574"/>
      <c r="J37" s="1574"/>
      <c r="K37" s="1660"/>
      <c r="L37" s="1354"/>
      <c r="M37" s="1219"/>
      <c r="N37" s="1219"/>
      <c r="O37" s="1219"/>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1186</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1187</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1188</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1213</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1136</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1216</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1140</v>
      </c>
      <c r="B49" s="1444"/>
      <c r="C49" s="1445" t="s">
        <v>1217</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1218</v>
      </c>
      <c r="B51" s="1454" t="s">
        <v>1144</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1147</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2191</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1151</v>
      </c>
      <c r="B61" s="1454" t="s">
        <v>1158</v>
      </c>
      <c r="C61" s="1501" t="s">
        <v>1219</v>
      </c>
      <c r="D61" s="1501" t="s">
        <v>1220</v>
      </c>
      <c r="E61" s="1501" t="s">
        <v>1221</v>
      </c>
      <c r="F61" s="1501" t="s">
        <v>1222</v>
      </c>
      <c r="G61" s="1501" t="s">
        <v>1223</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2277</v>
      </c>
      <c r="C63" s="1506" t="s">
        <v>1219</v>
      </c>
      <c r="D63" s="1506" t="s">
        <v>1220</v>
      </c>
      <c r="E63" s="1506" t="s">
        <v>1221</v>
      </c>
      <c r="F63" s="1506" t="s">
        <v>1222</v>
      </c>
      <c r="G63" s="1506" t="s">
        <v>1223</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1167</v>
      </c>
      <c r="C65" s="1295" t="s">
        <v>1224</v>
      </c>
      <c r="D65" s="1295" t="s">
        <v>1225</v>
      </c>
      <c r="E65" s="1295" t="s">
        <v>1226</v>
      </c>
      <c r="F65" s="1295" t="s">
        <v>1227</v>
      </c>
      <c r="G65" s="1295" t="s">
        <v>1228</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2161</v>
      </c>
      <c r="C67" s="1506" t="s">
        <v>1219</v>
      </c>
      <c r="D67" s="1506" t="s">
        <v>1220</v>
      </c>
      <c r="E67" s="1506" t="s">
        <v>1221</v>
      </c>
      <c r="F67" s="1506" t="s">
        <v>1222</v>
      </c>
      <c r="G67" s="1506" t="s">
        <v>1223</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2242</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1174</v>
      </c>
      <c r="B77" s="1454" t="s">
        <v>2174</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2245</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2246</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2275</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2276</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1114</v>
      </c>
      <c r="B1" s="1196"/>
      <c r="C1" s="1197" t="s">
        <v>2271</v>
      </c>
      <c r="D1" s="1198"/>
      <c r="E1" s="1198"/>
      <c r="F1" s="1199" t="s">
        <v>1116</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1117</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1118</v>
      </c>
      <c r="B3" s="1210" t="e">
        <f>ROUND(IF(D3="",B2*10000/'数据-汇总表'!E3,B2*10000/D3),0)</f>
        <v>#DIV/0!</v>
      </c>
      <c r="C3" s="378" t="s">
        <v>1119</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1120</v>
      </c>
      <c r="B4" s="1213" t="e">
        <f>IF(B43="单位面积地价",C45,ROUND(B2*10000/'数据-汇总表'!D3,0))</f>
        <v>#DIV/0!</v>
      </c>
      <c r="C4" s="669" t="s">
        <v>1121</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1122</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1123</v>
      </c>
      <c r="B6" s="1216"/>
      <c r="C6" s="4559" t="s">
        <v>1124</v>
      </c>
      <c r="D6" s="4560"/>
      <c r="E6" s="4561" t="s">
        <v>1125</v>
      </c>
      <c r="F6" s="4562"/>
      <c r="G6" s="4559" t="s">
        <v>1126</v>
      </c>
      <c r="H6" s="4560"/>
      <c r="I6" s="4559" t="s">
        <v>1127</v>
      </c>
      <c r="J6" s="4560"/>
      <c r="K6" s="1217" t="s">
        <v>1128</v>
      </c>
      <c r="L6" s="1218"/>
      <c r="M6" s="1219"/>
      <c r="N6" s="1219"/>
      <c r="O6" s="1219"/>
      <c r="P6" s="4518" t="s">
        <v>1129</v>
      </c>
      <c r="Q6" s="4519"/>
      <c r="R6" s="4524" t="s">
        <v>1125</v>
      </c>
      <c r="S6" s="4525"/>
      <c r="T6" s="4524" t="s">
        <v>1126</v>
      </c>
      <c r="U6" s="4525"/>
      <c r="V6" s="4530" t="s">
        <v>1127</v>
      </c>
      <c r="W6" s="4530"/>
      <c r="X6" s="1220"/>
      <c r="Y6" s="4531" t="s">
        <v>1129</v>
      </c>
      <c r="Z6" s="4532"/>
      <c r="AA6" s="4511" t="s">
        <v>1125</v>
      </c>
      <c r="AB6" s="4512" t="s">
        <v>1126</v>
      </c>
      <c r="AC6" s="4511" t="s">
        <v>1127</v>
      </c>
    </row>
    <row r="7" spans="1:29">
      <c r="A7" s="1221"/>
      <c r="B7" s="1222"/>
      <c r="C7" s="4563" t="s">
        <v>1130</v>
      </c>
      <c r="D7" s="4564"/>
      <c r="E7" s="4565" t="s">
        <v>2255</v>
      </c>
      <c r="F7" s="4566"/>
      <c r="G7" s="4563" t="s">
        <v>2256</v>
      </c>
      <c r="H7" s="4564"/>
      <c r="I7" s="4563" t="s">
        <v>2257</v>
      </c>
      <c r="J7" s="4564"/>
      <c r="K7" s="1217"/>
      <c r="L7" s="1218"/>
      <c r="M7" s="1219"/>
      <c r="N7" s="1219"/>
      <c r="O7" s="1219"/>
      <c r="P7" s="4520"/>
      <c r="Q7" s="4521"/>
      <c r="R7" s="4526"/>
      <c r="S7" s="4527"/>
      <c r="T7" s="4526"/>
      <c r="U7" s="4527"/>
      <c r="V7" s="4530"/>
      <c r="W7" s="4530"/>
      <c r="X7" s="1220"/>
      <c r="Y7" s="4533"/>
      <c r="Z7" s="4534"/>
      <c r="AA7" s="4512"/>
      <c r="AB7" s="4512"/>
      <c r="AC7" s="4512"/>
    </row>
    <row r="8" spans="1:29" ht="14.4">
      <c r="A8" s="1223"/>
      <c r="B8" s="1224"/>
      <c r="C8" s="4674" t="s">
        <v>2278</v>
      </c>
      <c r="D8" s="4675"/>
      <c r="E8" s="4676" t="s">
        <v>2278</v>
      </c>
      <c r="F8" s="4677"/>
      <c r="G8" s="4674" t="s">
        <v>2278</v>
      </c>
      <c r="H8" s="4675"/>
      <c r="I8" s="4674" t="s">
        <v>2278</v>
      </c>
      <c r="J8" s="4675"/>
      <c r="K8" s="1217" t="s">
        <v>1135</v>
      </c>
      <c r="L8" s="1218"/>
      <c r="M8" s="1219"/>
      <c r="N8" s="1219"/>
      <c r="O8" s="1219"/>
      <c r="P8" s="4522"/>
      <c r="Q8" s="4523"/>
      <c r="R8" s="4526"/>
      <c r="S8" s="4527"/>
      <c r="T8" s="4528"/>
      <c r="U8" s="4529"/>
      <c r="V8" s="4530"/>
      <c r="W8" s="4530"/>
      <c r="X8" s="1220"/>
      <c r="Y8" s="4535"/>
      <c r="Z8" s="4536"/>
      <c r="AA8" s="4513"/>
      <c r="AB8" s="4513"/>
      <c r="AC8" s="4513"/>
    </row>
    <row r="9" spans="1:29" s="1186" customFormat="1" ht="14.4">
      <c r="A9" s="1225" t="s">
        <v>1136</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44" t="s">
        <v>1138</v>
      </c>
      <c r="Q9" s="4558"/>
      <c r="R9" s="1237" t="s">
        <v>1139</v>
      </c>
      <c r="S9" s="1238">
        <f t="shared" ref="S9:S17" si="0">F9</f>
        <v>0</v>
      </c>
      <c r="T9" s="1237" t="s">
        <v>1139</v>
      </c>
      <c r="U9" s="1238">
        <f t="shared" ref="U9:U17" si="1">H9</f>
        <v>0</v>
      </c>
      <c r="V9" s="1237" t="s">
        <v>1139</v>
      </c>
      <c r="W9" s="1238">
        <f t="shared" ref="W9:W17" si="2">J9</f>
        <v>0</v>
      </c>
      <c r="X9" s="1239"/>
      <c r="Y9" s="4542" t="s">
        <v>1138</v>
      </c>
      <c r="Z9" s="4543"/>
      <c r="AA9" s="1241" t="e">
        <f>D9/F9</f>
        <v>#DIV/0!</v>
      </c>
      <c r="AB9" s="1241" t="e">
        <f>D9/H9</f>
        <v>#DIV/0!</v>
      </c>
      <c r="AC9" s="1241" t="e">
        <f>D9/J9</f>
        <v>#DIV/0!</v>
      </c>
    </row>
    <row r="10" spans="1:29" s="1186" customFormat="1" ht="14.4">
      <c r="A10" s="1225" t="s">
        <v>1140</v>
      </c>
      <c r="B10" s="1226"/>
      <c r="C10" s="1242" t="s">
        <v>1217</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44" t="s">
        <v>1142</v>
      </c>
      <c r="Q10" s="4545"/>
      <c r="R10" s="1237" t="s">
        <v>1139</v>
      </c>
      <c r="S10" s="1238">
        <f t="shared" si="0"/>
        <v>0</v>
      </c>
      <c r="T10" s="1237" t="s">
        <v>1139</v>
      </c>
      <c r="U10" s="1238">
        <f t="shared" si="1"/>
        <v>0</v>
      </c>
      <c r="V10" s="1237" t="s">
        <v>1139</v>
      </c>
      <c r="W10" s="1238">
        <f t="shared" si="2"/>
        <v>0</v>
      </c>
      <c r="X10" s="1239"/>
      <c r="Y10" s="4542" t="s">
        <v>1142</v>
      </c>
      <c r="Z10" s="4543"/>
      <c r="AA10" s="1241" t="e">
        <f t="shared" ref="AA10:AA42" si="3">D10/F10</f>
        <v>#DIV/0!</v>
      </c>
      <c r="AB10" s="1241" t="e">
        <f t="shared" ref="AB10:AB42" si="4">D10/H10</f>
        <v>#DIV/0!</v>
      </c>
      <c r="AC10" s="1241" t="e">
        <f t="shared" ref="AC10:AC42" si="5">D10/J10</f>
        <v>#DIV/0!</v>
      </c>
    </row>
    <row r="11" spans="1:29" s="1186" customFormat="1" ht="14.4">
      <c r="A11" s="1244" t="s">
        <v>1143</v>
      </c>
      <c r="B11" s="1245" t="s">
        <v>1144</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37" t="s">
        <v>1145</v>
      </c>
      <c r="Q11" s="1137" t="str">
        <f t="shared" ref="Q11:Q17" si="6">B11</f>
        <v>用途</v>
      </c>
      <c r="R11" s="1237" t="s">
        <v>1139</v>
      </c>
      <c r="S11" s="1238">
        <f t="shared" si="0"/>
        <v>100</v>
      </c>
      <c r="T11" s="1237" t="s">
        <v>1139</v>
      </c>
      <c r="U11" s="1238">
        <f t="shared" si="1"/>
        <v>100</v>
      </c>
      <c r="V11" s="1237" t="s">
        <v>1139</v>
      </c>
      <c r="W11" s="1238">
        <f t="shared" si="2"/>
        <v>100</v>
      </c>
      <c r="X11" s="1239"/>
      <c r="Y11" s="4550" t="s">
        <v>1146</v>
      </c>
      <c r="Z11" s="1241" t="str">
        <f t="shared" ref="Z11:Z17" si="7">Q11</f>
        <v>用途</v>
      </c>
      <c r="AA11" s="1241">
        <f t="shared" si="3"/>
        <v>1</v>
      </c>
      <c r="AB11" s="1241">
        <f t="shared" si="4"/>
        <v>1</v>
      </c>
      <c r="AC11" s="1241">
        <f t="shared" si="5"/>
        <v>1</v>
      </c>
    </row>
    <row r="12" spans="1:29" s="1187" customFormat="1" ht="28.8">
      <c r="A12" s="1250"/>
      <c r="B12" s="1251" t="s">
        <v>1147</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37"/>
      <c r="Q12" s="1137" t="str">
        <f t="shared" si="6"/>
        <v>土地使用年限（年）</v>
      </c>
      <c r="R12" s="1237" t="s">
        <v>1139</v>
      </c>
      <c r="S12" s="1238">
        <f t="shared" si="0"/>
        <v>101</v>
      </c>
      <c r="T12" s="1237" t="s">
        <v>1139</v>
      </c>
      <c r="U12" s="1238">
        <f t="shared" si="1"/>
        <v>101</v>
      </c>
      <c r="V12" s="1237" t="s">
        <v>1139</v>
      </c>
      <c r="W12" s="1238">
        <f t="shared" si="2"/>
        <v>101</v>
      </c>
      <c r="X12" s="1239"/>
      <c r="Y12" s="4550"/>
      <c r="Z12" s="1241" t="str">
        <f t="shared" si="7"/>
        <v>土地使用年限（年）</v>
      </c>
      <c r="AA12" s="1241">
        <f t="shared" si="3"/>
        <v>0.99009900990099009</v>
      </c>
      <c r="AB12" s="1241">
        <f t="shared" si="4"/>
        <v>0.99009900990099009</v>
      </c>
      <c r="AC12" s="1241">
        <f t="shared" si="5"/>
        <v>0.99009900990099009</v>
      </c>
    </row>
    <row r="13" spans="1:29" ht="15">
      <c r="A13" s="1259"/>
      <c r="B13" s="1251" t="s">
        <v>1148</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37"/>
      <c r="Q13" s="1137" t="str">
        <f t="shared" si="6"/>
        <v>容积率</v>
      </c>
      <c r="R13" s="1237" t="s">
        <v>1139</v>
      </c>
      <c r="S13" s="1238" t="e">
        <f t="shared" si="0"/>
        <v>#N/A</v>
      </c>
      <c r="T13" s="1237" t="s">
        <v>1139</v>
      </c>
      <c r="U13" s="1238" t="e">
        <f t="shared" si="1"/>
        <v>#N/A</v>
      </c>
      <c r="V13" s="1237" t="s">
        <v>1139</v>
      </c>
      <c r="W13" s="1238" t="e">
        <f t="shared" si="2"/>
        <v>#N/A</v>
      </c>
      <c r="X13" s="1239"/>
      <c r="Y13" s="4550"/>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37"/>
      <c r="Q14" s="1137">
        <f t="shared" si="6"/>
        <v>111</v>
      </c>
      <c r="R14" s="1237" t="s">
        <v>1139</v>
      </c>
      <c r="S14" s="1238">
        <f t="shared" si="0"/>
        <v>100</v>
      </c>
      <c r="T14" s="1237" t="s">
        <v>1139</v>
      </c>
      <c r="U14" s="1238">
        <f t="shared" si="1"/>
        <v>100</v>
      </c>
      <c r="V14" s="1237" t="s">
        <v>1139</v>
      </c>
      <c r="W14" s="1238">
        <f t="shared" si="2"/>
        <v>100</v>
      </c>
      <c r="X14" s="1239"/>
      <c r="Y14" s="4550"/>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37"/>
      <c r="Q15" s="1137">
        <f t="shared" si="6"/>
        <v>111</v>
      </c>
      <c r="R15" s="1237" t="s">
        <v>1139</v>
      </c>
      <c r="S15" s="1238">
        <f t="shared" si="0"/>
        <v>100</v>
      </c>
      <c r="T15" s="1237" t="s">
        <v>1139</v>
      </c>
      <c r="U15" s="1238">
        <f t="shared" si="1"/>
        <v>100</v>
      </c>
      <c r="V15" s="1237" t="s">
        <v>1139</v>
      </c>
      <c r="W15" s="1238">
        <f t="shared" si="2"/>
        <v>100</v>
      </c>
      <c r="X15" s="1239"/>
      <c r="Y15" s="4550"/>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37"/>
      <c r="Q16" s="1137">
        <f t="shared" si="6"/>
        <v>111</v>
      </c>
      <c r="R16" s="1237" t="s">
        <v>1139</v>
      </c>
      <c r="S16" s="1238">
        <f t="shared" si="0"/>
        <v>100</v>
      </c>
      <c r="T16" s="1237" t="s">
        <v>1139</v>
      </c>
      <c r="U16" s="1238">
        <f t="shared" si="1"/>
        <v>100</v>
      </c>
      <c r="V16" s="1237" t="s">
        <v>1139</v>
      </c>
      <c r="W16" s="1238">
        <f t="shared" si="2"/>
        <v>100</v>
      </c>
      <c r="X16" s="1239"/>
      <c r="Y16" s="4550"/>
      <c r="Z16" s="1241">
        <f t="shared" si="7"/>
        <v>111</v>
      </c>
      <c r="AA16" s="1241">
        <f t="shared" si="3"/>
        <v>1</v>
      </c>
      <c r="AB16" s="1241">
        <f t="shared" si="4"/>
        <v>1</v>
      </c>
      <c r="AC16" s="1241">
        <f t="shared" si="5"/>
        <v>1</v>
      </c>
    </row>
    <row r="17" spans="1:29" ht="15">
      <c r="A17" s="1279" t="s">
        <v>1151</v>
      </c>
      <c r="B17" s="1280" t="s">
        <v>2272</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46" t="s">
        <v>1154</v>
      </c>
      <c r="Q17" s="988" t="str">
        <f t="shared" si="6"/>
        <v>产业集聚程度</v>
      </c>
      <c r="R17" s="1286" t="s">
        <v>1139</v>
      </c>
      <c r="S17" s="1287">
        <f t="shared" si="0"/>
        <v>100</v>
      </c>
      <c r="T17" s="1286" t="s">
        <v>1139</v>
      </c>
      <c r="U17" s="1287">
        <f t="shared" si="1"/>
        <v>100</v>
      </c>
      <c r="V17" s="1286" t="s">
        <v>1139</v>
      </c>
      <c r="W17" s="1287">
        <f t="shared" si="2"/>
        <v>100</v>
      </c>
      <c r="X17" s="1220"/>
      <c r="Y17" s="4551" t="s">
        <v>1154</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47"/>
      <c r="Q18" s="988"/>
      <c r="R18" s="1286"/>
      <c r="S18" s="1287"/>
      <c r="T18" s="1286"/>
      <c r="U18" s="1287"/>
      <c r="V18" s="1286"/>
      <c r="W18" s="1287"/>
      <c r="X18" s="1220"/>
      <c r="Y18" s="4552"/>
      <c r="Z18" s="1288"/>
      <c r="AA18" s="1288">
        <v>1</v>
      </c>
      <c r="AB18" s="1288">
        <v>1</v>
      </c>
      <c r="AC18" s="1288">
        <v>1</v>
      </c>
    </row>
    <row r="19" spans="1:29" ht="15">
      <c r="A19" s="1259"/>
      <c r="B19" s="1296" t="s">
        <v>1158</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47"/>
      <c r="Q19" s="988" t="str">
        <f>B19</f>
        <v>交通便捷度</v>
      </c>
      <c r="R19" s="1286" t="s">
        <v>1139</v>
      </c>
      <c r="S19" s="1287">
        <f>F19</f>
        <v>100</v>
      </c>
      <c r="T19" s="1286" t="s">
        <v>1139</v>
      </c>
      <c r="U19" s="1287">
        <f>H19</f>
        <v>100</v>
      </c>
      <c r="V19" s="1286" t="s">
        <v>1139</v>
      </c>
      <c r="W19" s="1287">
        <f>J19</f>
        <v>100</v>
      </c>
      <c r="X19" s="1220"/>
      <c r="Y19" s="4552"/>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47"/>
      <c r="Q20" s="988"/>
      <c r="R20" s="1286"/>
      <c r="S20" s="1287"/>
      <c r="T20" s="1286"/>
      <c r="U20" s="1287"/>
      <c r="V20" s="1286"/>
      <c r="W20" s="1287"/>
      <c r="X20" s="1220"/>
      <c r="Y20" s="4552"/>
      <c r="Z20" s="1288"/>
      <c r="AA20" s="1288">
        <v>1</v>
      </c>
      <c r="AB20" s="1288">
        <v>1</v>
      </c>
      <c r="AC20" s="1288">
        <v>1</v>
      </c>
    </row>
    <row r="21" spans="1:29" ht="28.8">
      <c r="A21" s="1259"/>
      <c r="B21" s="1296" t="s">
        <v>1161</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47"/>
      <c r="Q21" s="988" t="str">
        <f t="shared" ref="Q21:Q36" si="8">B21</f>
        <v>区域土地利用方向</v>
      </c>
      <c r="R21" s="1286" t="s">
        <v>1139</v>
      </c>
      <c r="S21" s="1287">
        <f>F21</f>
        <v>100</v>
      </c>
      <c r="T21" s="1286" t="s">
        <v>1139</v>
      </c>
      <c r="U21" s="1287">
        <f>H21</f>
        <v>100</v>
      </c>
      <c r="V21" s="1286" t="s">
        <v>1139</v>
      </c>
      <c r="W21" s="1287">
        <f>J21</f>
        <v>100</v>
      </c>
      <c r="X21" s="1220"/>
      <c r="Y21" s="4552"/>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47"/>
      <c r="Q22" s="988"/>
      <c r="R22" s="1286"/>
      <c r="S22" s="1287"/>
      <c r="T22" s="1286"/>
      <c r="U22" s="1287"/>
      <c r="V22" s="1286"/>
      <c r="W22" s="1287"/>
      <c r="X22" s="1220"/>
      <c r="Y22" s="4552"/>
      <c r="Z22" s="1288"/>
      <c r="AA22" s="1288"/>
      <c r="AB22" s="1288"/>
      <c r="AC22" s="1288"/>
    </row>
    <row r="23" spans="1:29" ht="15">
      <c r="A23" s="1221"/>
      <c r="B23" s="1296" t="s">
        <v>2279</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47"/>
      <c r="Q23" s="988" t="str">
        <f t="shared" si="8"/>
        <v>环境状况</v>
      </c>
      <c r="R23" s="1286" t="s">
        <v>1139</v>
      </c>
      <c r="S23" s="1287">
        <f>F23</f>
        <v>100</v>
      </c>
      <c r="T23" s="1286" t="s">
        <v>1139</v>
      </c>
      <c r="U23" s="1287">
        <f>H23</f>
        <v>100</v>
      </c>
      <c r="V23" s="1286" t="s">
        <v>1139</v>
      </c>
      <c r="W23" s="1287">
        <f>J23</f>
        <v>100</v>
      </c>
      <c r="X23" s="1220"/>
      <c r="Y23" s="4552"/>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47"/>
      <c r="Q24" s="988"/>
      <c r="R24" s="1286"/>
      <c r="S24" s="1287"/>
      <c r="T24" s="1286"/>
      <c r="U24" s="1287"/>
      <c r="V24" s="1286"/>
      <c r="W24" s="1287"/>
      <c r="X24" s="1220"/>
      <c r="Y24" s="4552"/>
      <c r="Z24" s="1288"/>
      <c r="AA24" s="1288">
        <v>1</v>
      </c>
      <c r="AB24" s="1288">
        <v>1</v>
      </c>
      <c r="AC24" s="1288">
        <v>1</v>
      </c>
    </row>
    <row r="25" spans="1:29" s="1186" customFormat="1" ht="15">
      <c r="A25" s="1306"/>
      <c r="B25" s="1307" t="s">
        <v>1165</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47"/>
      <c r="Q25" s="1137" t="str">
        <f t="shared" si="8"/>
        <v>公共配套设施</v>
      </c>
      <c r="R25" s="1237" t="s">
        <v>1139</v>
      </c>
      <c r="S25" s="1238">
        <f>F25</f>
        <v>100</v>
      </c>
      <c r="T25" s="1237" t="s">
        <v>1139</v>
      </c>
      <c r="U25" s="1238">
        <f>H25</f>
        <v>100</v>
      </c>
      <c r="V25" s="1237" t="s">
        <v>1139</v>
      </c>
      <c r="W25" s="1238">
        <f>J25</f>
        <v>100</v>
      </c>
      <c r="X25" s="1239"/>
      <c r="Y25" s="4552"/>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47"/>
      <c r="Q26" s="1137"/>
      <c r="R26" s="1237"/>
      <c r="S26" s="1238"/>
      <c r="T26" s="1237"/>
      <c r="U26" s="1238"/>
      <c r="V26" s="1237"/>
      <c r="W26" s="1238"/>
      <c r="X26" s="1239"/>
      <c r="Y26" s="4552"/>
      <c r="Z26" s="1241"/>
      <c r="AA26" s="1241">
        <v>1</v>
      </c>
      <c r="AB26" s="1241">
        <v>1</v>
      </c>
      <c r="AC26" s="1241">
        <v>1</v>
      </c>
    </row>
    <row r="27" spans="1:29" s="1186" customFormat="1" ht="15">
      <c r="A27" s="1306"/>
      <c r="B27" s="1307" t="s">
        <v>1167</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47"/>
      <c r="Q27" s="1137" t="str">
        <f t="shared" ref="Q27" si="9">B27</f>
        <v>基础设施水平</v>
      </c>
      <c r="R27" s="1237" t="s">
        <v>1139</v>
      </c>
      <c r="S27" s="1238">
        <f>F27</f>
        <v>100</v>
      </c>
      <c r="T27" s="1237" t="s">
        <v>1139</v>
      </c>
      <c r="U27" s="1238">
        <f>H27</f>
        <v>100</v>
      </c>
      <c r="V27" s="1237" t="s">
        <v>1139</v>
      </c>
      <c r="W27" s="1238">
        <f>J27</f>
        <v>100</v>
      </c>
      <c r="X27" s="1239"/>
      <c r="Y27" s="4552"/>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47"/>
      <c r="Q28" s="1137"/>
      <c r="R28" s="1237"/>
      <c r="S28" s="1238"/>
      <c r="T28" s="1237"/>
      <c r="U28" s="1238"/>
      <c r="V28" s="1237"/>
      <c r="W28" s="1238"/>
      <c r="X28" s="1239"/>
      <c r="Y28" s="4552"/>
      <c r="Z28" s="1241"/>
      <c r="AA28" s="1241">
        <v>1</v>
      </c>
      <c r="AB28" s="1241">
        <v>1</v>
      </c>
      <c r="AC28" s="1241">
        <v>1</v>
      </c>
    </row>
    <row r="29" spans="1:29" ht="15">
      <c r="A29" s="1259"/>
      <c r="B29" s="1302" t="s">
        <v>1168</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47"/>
      <c r="Q29" s="988" t="str">
        <f t="shared" si="8"/>
        <v>临街状况</v>
      </c>
      <c r="R29" s="1286" t="s">
        <v>1139</v>
      </c>
      <c r="S29" s="1287">
        <f t="shared" ref="S29:S42" si="10">F29</f>
        <v>100</v>
      </c>
      <c r="T29" s="1286" t="s">
        <v>1139</v>
      </c>
      <c r="U29" s="1287">
        <f t="shared" ref="U29:U42" si="11">H29</f>
        <v>100</v>
      </c>
      <c r="V29" s="1286" t="s">
        <v>1139</v>
      </c>
      <c r="W29" s="1287">
        <f t="shared" ref="W29:W42" si="12">J29</f>
        <v>100</v>
      </c>
      <c r="X29" s="1220"/>
      <c r="Y29" s="4552"/>
      <c r="Z29" s="1288" t="str">
        <f t="shared" ref="Z29:Z42" si="13">Q29</f>
        <v>临街状况</v>
      </c>
      <c r="AA29" s="1288">
        <f t="shared" si="3"/>
        <v>1</v>
      </c>
      <c r="AB29" s="1288">
        <f t="shared" si="4"/>
        <v>1</v>
      </c>
      <c r="AC29" s="1288">
        <f t="shared" si="5"/>
        <v>1</v>
      </c>
    </row>
    <row r="30" spans="1:29" ht="28.8">
      <c r="A30" s="1259"/>
      <c r="B30" s="1307" t="s">
        <v>1171</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47"/>
      <c r="Q30" s="988" t="str">
        <f t="shared" si="8"/>
        <v>毗邻道路的类型与等级</v>
      </c>
      <c r="R30" s="1286" t="s">
        <v>1139</v>
      </c>
      <c r="S30" s="1287">
        <f t="shared" si="10"/>
        <v>100</v>
      </c>
      <c r="T30" s="1286" t="s">
        <v>1139</v>
      </c>
      <c r="U30" s="1287">
        <f t="shared" si="11"/>
        <v>100</v>
      </c>
      <c r="V30" s="1286" t="s">
        <v>1139</v>
      </c>
      <c r="W30" s="1287">
        <f t="shared" si="12"/>
        <v>100</v>
      </c>
      <c r="X30" s="1220"/>
      <c r="Y30" s="4552"/>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47"/>
      <c r="Q31" s="988"/>
      <c r="R31" s="1286"/>
      <c r="S31" s="1287"/>
      <c r="T31" s="1286"/>
      <c r="U31" s="1287"/>
      <c r="V31" s="1286"/>
      <c r="W31" s="1287"/>
      <c r="X31" s="1220"/>
      <c r="Y31" s="4552"/>
      <c r="Z31" s="1288"/>
      <c r="AA31" s="1288">
        <v>1</v>
      </c>
      <c r="AB31" s="1288">
        <v>1</v>
      </c>
      <c r="AC31" s="1288">
        <v>1</v>
      </c>
    </row>
    <row r="32" spans="1:29" ht="15">
      <c r="A32" s="1259"/>
      <c r="B32" s="1314" t="s">
        <v>1172</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47"/>
      <c r="Q32" s="988" t="str">
        <f t="shared" si="8"/>
        <v>土地级别</v>
      </c>
      <c r="R32" s="1286" t="s">
        <v>1139</v>
      </c>
      <c r="S32" s="1287">
        <f t="shared" si="10"/>
        <v>100</v>
      </c>
      <c r="T32" s="1286" t="s">
        <v>1139</v>
      </c>
      <c r="U32" s="1287">
        <f t="shared" si="11"/>
        <v>100</v>
      </c>
      <c r="V32" s="1286" t="s">
        <v>1139</v>
      </c>
      <c r="W32" s="1287">
        <f t="shared" si="12"/>
        <v>100</v>
      </c>
      <c r="X32" s="1220"/>
      <c r="Y32" s="4552"/>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47"/>
      <c r="Q33" s="988">
        <f t="shared" si="8"/>
        <v>111</v>
      </c>
      <c r="R33" s="1286" t="s">
        <v>1139</v>
      </c>
      <c r="S33" s="1287">
        <f t="shared" si="10"/>
        <v>100</v>
      </c>
      <c r="T33" s="1286" t="s">
        <v>1139</v>
      </c>
      <c r="U33" s="1287">
        <f t="shared" si="11"/>
        <v>100</v>
      </c>
      <c r="V33" s="1286" t="s">
        <v>1139</v>
      </c>
      <c r="W33" s="1287">
        <f t="shared" si="12"/>
        <v>100</v>
      </c>
      <c r="X33" s="1220"/>
      <c r="Y33" s="4552"/>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48" t="s">
        <v>1173</v>
      </c>
      <c r="Q34" s="988">
        <f t="shared" si="8"/>
        <v>111</v>
      </c>
      <c r="R34" s="1286" t="s">
        <v>1139</v>
      </c>
      <c r="S34" s="1287">
        <f t="shared" si="10"/>
        <v>100</v>
      </c>
      <c r="T34" s="1286" t="s">
        <v>1139</v>
      </c>
      <c r="U34" s="1287">
        <f t="shared" si="11"/>
        <v>100</v>
      </c>
      <c r="V34" s="1286" t="s">
        <v>1139</v>
      </c>
      <c r="W34" s="1287">
        <f t="shared" si="12"/>
        <v>100</v>
      </c>
      <c r="X34" s="1220"/>
      <c r="Y34" s="4553" t="s">
        <v>1173</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49"/>
      <c r="Q35" s="988">
        <f t="shared" si="8"/>
        <v>111</v>
      </c>
      <c r="R35" s="1328" t="s">
        <v>1139</v>
      </c>
      <c r="S35" s="1329">
        <f t="shared" si="10"/>
        <v>100</v>
      </c>
      <c r="T35" s="1328" t="s">
        <v>1139</v>
      </c>
      <c r="U35" s="1329">
        <f t="shared" si="11"/>
        <v>100</v>
      </c>
      <c r="V35" s="1328" t="s">
        <v>1139</v>
      </c>
      <c r="W35" s="1329">
        <f t="shared" si="12"/>
        <v>100</v>
      </c>
      <c r="X35" s="1330"/>
      <c r="Y35" s="4553"/>
      <c r="Z35" s="1331">
        <f t="shared" si="13"/>
        <v>111</v>
      </c>
      <c r="AA35" s="1288">
        <f t="shared" si="3"/>
        <v>1</v>
      </c>
      <c r="AB35" s="1288">
        <f t="shared" si="4"/>
        <v>1</v>
      </c>
      <c r="AC35" s="1288">
        <f t="shared" si="5"/>
        <v>1</v>
      </c>
    </row>
    <row r="36" spans="1:31" ht="15">
      <c r="A36" s="1279" t="s">
        <v>1174</v>
      </c>
      <c r="B36" s="1332" t="s">
        <v>1175</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49"/>
      <c r="Q36" s="988" t="str">
        <f t="shared" si="8"/>
        <v>宗地面积</v>
      </c>
      <c r="R36" s="1286" t="s">
        <v>1139</v>
      </c>
      <c r="S36" s="1287" t="e">
        <f t="shared" si="10"/>
        <v>#N/A</v>
      </c>
      <c r="T36" s="1286" t="s">
        <v>1139</v>
      </c>
      <c r="U36" s="1287" t="e">
        <f t="shared" si="11"/>
        <v>#N/A</v>
      </c>
      <c r="V36" s="1286" t="s">
        <v>1139</v>
      </c>
      <c r="W36" s="1287" t="e">
        <f t="shared" si="12"/>
        <v>#N/A</v>
      </c>
      <c r="X36" s="1220"/>
      <c r="Y36" s="4553"/>
      <c r="Z36" s="1288" t="str">
        <f t="shared" si="13"/>
        <v>宗地面积</v>
      </c>
      <c r="AA36" s="1288" t="e">
        <f t="shared" si="3"/>
        <v>#N/A</v>
      </c>
      <c r="AB36" s="1288" t="e">
        <f t="shared" si="4"/>
        <v>#N/A</v>
      </c>
      <c r="AC36" s="1288" t="e">
        <f t="shared" si="5"/>
        <v>#N/A</v>
      </c>
    </row>
    <row r="37" spans="1:31" ht="15">
      <c r="A37" s="1337"/>
      <c r="B37" s="1251" t="s">
        <v>1176</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49"/>
      <c r="Q37" s="988" t="str">
        <f t="shared" ref="Q37:Q42" si="14">B37</f>
        <v>宗地形状</v>
      </c>
      <c r="R37" s="1286" t="s">
        <v>1139</v>
      </c>
      <c r="S37" s="1287">
        <f t="shared" si="10"/>
        <v>100</v>
      </c>
      <c r="T37" s="1286" t="s">
        <v>1139</v>
      </c>
      <c r="U37" s="1287">
        <f t="shared" si="11"/>
        <v>100</v>
      </c>
      <c r="V37" s="1286" t="s">
        <v>1139</v>
      </c>
      <c r="W37" s="1287">
        <f t="shared" si="12"/>
        <v>100</v>
      </c>
      <c r="X37" s="1220"/>
      <c r="Y37" s="4553"/>
      <c r="Z37" s="1288" t="str">
        <f t="shared" si="13"/>
        <v>宗地形状</v>
      </c>
      <c r="AA37" s="1288">
        <f t="shared" si="3"/>
        <v>1</v>
      </c>
      <c r="AB37" s="1288">
        <f t="shared" si="4"/>
        <v>1</v>
      </c>
      <c r="AC37" s="1288">
        <f t="shared" si="5"/>
        <v>1</v>
      </c>
    </row>
    <row r="38" spans="1:31" s="1186" customFormat="1" ht="15">
      <c r="A38" s="1339"/>
      <c r="B38" s="1251" t="s">
        <v>1179</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49"/>
      <c r="Q38" s="988" t="str">
        <f t="shared" si="14"/>
        <v>宗地开发程度</v>
      </c>
      <c r="R38" s="1237" t="s">
        <v>1139</v>
      </c>
      <c r="S38" s="1238">
        <f t="shared" si="10"/>
        <v>100</v>
      </c>
      <c r="T38" s="1237" t="s">
        <v>1139</v>
      </c>
      <c r="U38" s="1238">
        <f t="shared" si="11"/>
        <v>100</v>
      </c>
      <c r="V38" s="1237" t="s">
        <v>1139</v>
      </c>
      <c r="W38" s="1238">
        <f t="shared" si="12"/>
        <v>100</v>
      </c>
      <c r="X38" s="1239"/>
      <c r="Y38" s="4553"/>
      <c r="Z38" s="1241" t="str">
        <f t="shared" si="13"/>
        <v>宗地开发程度</v>
      </c>
      <c r="AA38" s="1241">
        <f t="shared" si="3"/>
        <v>1</v>
      </c>
      <c r="AB38" s="1241">
        <f t="shared" si="4"/>
        <v>1</v>
      </c>
      <c r="AC38" s="1241">
        <f t="shared" si="5"/>
        <v>1</v>
      </c>
    </row>
    <row r="39" spans="1:31" ht="15">
      <c r="A39" s="1337"/>
      <c r="B39" s="1251" t="s">
        <v>1180</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49" t="s">
        <v>1173</v>
      </c>
      <c r="Q39" s="988" t="str">
        <f t="shared" si="14"/>
        <v>工程地质条件</v>
      </c>
      <c r="R39" s="1286" t="s">
        <v>1139</v>
      </c>
      <c r="S39" s="1287">
        <f t="shared" si="10"/>
        <v>100</v>
      </c>
      <c r="T39" s="1286" t="s">
        <v>1139</v>
      </c>
      <c r="U39" s="1287">
        <f t="shared" si="11"/>
        <v>100</v>
      </c>
      <c r="V39" s="1286" t="s">
        <v>1139</v>
      </c>
      <c r="W39" s="1287">
        <f t="shared" si="12"/>
        <v>100</v>
      </c>
      <c r="X39" s="1220"/>
      <c r="Y39" s="4553" t="s">
        <v>1173</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49"/>
      <c r="Q40" s="988">
        <f t="shared" si="14"/>
        <v>111</v>
      </c>
      <c r="R40" s="1286" t="s">
        <v>1139</v>
      </c>
      <c r="S40" s="1287">
        <f t="shared" si="10"/>
        <v>100</v>
      </c>
      <c r="T40" s="1286" t="s">
        <v>1139</v>
      </c>
      <c r="U40" s="1287">
        <f t="shared" si="11"/>
        <v>100</v>
      </c>
      <c r="V40" s="1286" t="s">
        <v>1139</v>
      </c>
      <c r="W40" s="1287">
        <f t="shared" si="12"/>
        <v>100</v>
      </c>
      <c r="X40" s="1220"/>
      <c r="Y40" s="4553"/>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49"/>
      <c r="Q41" s="988">
        <f t="shared" si="14"/>
        <v>111</v>
      </c>
      <c r="R41" s="1286" t="s">
        <v>1139</v>
      </c>
      <c r="S41" s="1287">
        <f t="shared" si="10"/>
        <v>100</v>
      </c>
      <c r="T41" s="1286" t="s">
        <v>1139</v>
      </c>
      <c r="U41" s="1287">
        <f t="shared" si="11"/>
        <v>100</v>
      </c>
      <c r="V41" s="1286" t="s">
        <v>1139</v>
      </c>
      <c r="W41" s="1287">
        <f t="shared" si="12"/>
        <v>100</v>
      </c>
      <c r="X41" s="1220"/>
      <c r="Y41" s="4553"/>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49"/>
      <c r="Q42" s="988">
        <f t="shared" si="14"/>
        <v>111</v>
      </c>
      <c r="R42" s="1328" t="s">
        <v>1139</v>
      </c>
      <c r="S42" s="1329">
        <f t="shared" si="10"/>
        <v>100</v>
      </c>
      <c r="T42" s="1328" t="s">
        <v>1139</v>
      </c>
      <c r="U42" s="1329">
        <f t="shared" si="11"/>
        <v>100</v>
      </c>
      <c r="V42" s="1328" t="s">
        <v>1139</v>
      </c>
      <c r="W42" s="1329">
        <f t="shared" si="12"/>
        <v>100</v>
      </c>
      <c r="X42" s="1330"/>
      <c r="Y42" s="4553"/>
      <c r="Z42" s="1331">
        <f t="shared" si="13"/>
        <v>111</v>
      </c>
      <c r="AA42" s="1288">
        <f t="shared" si="3"/>
        <v>1</v>
      </c>
      <c r="AB42" s="1288">
        <f t="shared" si="4"/>
        <v>1</v>
      </c>
      <c r="AC42" s="1288">
        <f t="shared" si="5"/>
        <v>1</v>
      </c>
    </row>
    <row r="43" spans="1:31" ht="14.4">
      <c r="A43" s="1345" t="s">
        <v>1181</v>
      </c>
      <c r="B43" s="1346" t="s">
        <v>2280</v>
      </c>
      <c r="C43" s="1347" t="s">
        <v>124</v>
      </c>
      <c r="D43" s="1348"/>
      <c r="E43" s="1349"/>
      <c r="F43" s="1350"/>
      <c r="G43" s="1351"/>
      <c r="H43" s="1352"/>
      <c r="I43" s="1349"/>
      <c r="J43" s="1352"/>
      <c r="K43" s="1353"/>
      <c r="L43" s="1354"/>
      <c r="M43" s="1219"/>
      <c r="N43" s="1219"/>
      <c r="O43" s="1219"/>
      <c r="P43" s="4537" t="str">
        <f>A43</f>
        <v>成交单价</v>
      </c>
      <c r="Q43" s="4537"/>
      <c r="R43" s="4538">
        <f>E43</f>
        <v>0</v>
      </c>
      <c r="S43" s="4538"/>
      <c r="T43" s="4538">
        <f>G43</f>
        <v>0</v>
      </c>
      <c r="U43" s="4538"/>
      <c r="V43" s="4538">
        <f>I43</f>
        <v>0</v>
      </c>
      <c r="W43" s="4538"/>
      <c r="X43" s="1355"/>
      <c r="Y43" s="1356"/>
      <c r="Z43" s="1355"/>
      <c r="AA43" s="1355"/>
      <c r="AB43" s="1355"/>
      <c r="AC43" s="1355"/>
    </row>
    <row r="44" spans="1:31" ht="14.4">
      <c r="A44" s="1357" t="s">
        <v>1183</v>
      </c>
      <c r="B44" s="1358"/>
      <c r="C44" s="1359" t="e">
        <f>R45</f>
        <v>#DIV/0!</v>
      </c>
      <c r="D44" s="1360" t="s">
        <v>2185</v>
      </c>
      <c r="E44" s="1359" t="e">
        <f>R44</f>
        <v>#DIV/0!</v>
      </c>
      <c r="F44" s="1361"/>
      <c r="G44" s="1362" t="e">
        <f>T44</f>
        <v>#DIV/0!</v>
      </c>
      <c r="H44" s="1361"/>
      <c r="I44" s="1359" t="e">
        <f>V44</f>
        <v>#DIV/0!</v>
      </c>
      <c r="J44" s="1361"/>
      <c r="K44" s="1363">
        <f>F44+H44+J44</f>
        <v>0</v>
      </c>
      <c r="L44" s="1354"/>
      <c r="M44" s="1219"/>
      <c r="N44" s="1219"/>
      <c r="O44" s="1219"/>
      <c r="P44" s="4537" t="str">
        <f>A44</f>
        <v>比较价值（元/平方米）</v>
      </c>
      <c r="Q44" s="4537"/>
      <c r="R44" s="4538" t="e">
        <f>ROUND(PRODUCT(R43,AA9:AA42),0)</f>
        <v>#DIV/0!</v>
      </c>
      <c r="S44" s="4538"/>
      <c r="T44" s="4538" t="e">
        <f>ROUND(PRODUCT(T43,AB9:AB42),0)</f>
        <v>#DIV/0!</v>
      </c>
      <c r="U44" s="4538"/>
      <c r="V44" s="4538" t="e">
        <f>ROUND(PRODUCT(V43,AC9:AC42),0)</f>
        <v>#DIV/0!</v>
      </c>
      <c r="W44" s="4538"/>
      <c r="X44" s="1355"/>
      <c r="Y44" s="1355"/>
      <c r="Z44" s="1355"/>
      <c r="AA44" s="1355"/>
      <c r="AB44" s="1355"/>
      <c r="AC44" s="1355"/>
    </row>
    <row r="45" spans="1:31" ht="14.4">
      <c r="A45" s="1364" t="s">
        <v>2186</v>
      </c>
      <c r="B45" s="1365"/>
      <c r="C45" s="1366" t="e">
        <f>R45</f>
        <v>#DIV/0!</v>
      </c>
      <c r="D45" s="1367"/>
      <c r="E45" s="1367"/>
      <c r="F45" s="1367"/>
      <c r="G45" s="1367"/>
      <c r="H45" s="1367"/>
      <c r="I45" s="1367"/>
      <c r="J45" s="1367"/>
      <c r="K45" s="1368"/>
      <c r="L45" s="1354"/>
      <c r="M45" s="1219"/>
      <c r="N45" s="1219"/>
      <c r="O45" s="1219"/>
      <c r="P45" s="4539" t="str">
        <f>A45</f>
        <v>估价对象XX用房的比较价值（楼面单价，元/平方米）</v>
      </c>
      <c r="Q45" s="4540"/>
      <c r="R45" s="4541" t="e">
        <f>ROUND(IF(D44="简单平均",AVERAGE(R44:W44),R44*F44+T44*H44+V44*J44),0)</f>
        <v>#DIV/0!</v>
      </c>
      <c r="S45" s="4541"/>
      <c r="T45" s="4541"/>
      <c r="U45" s="4541"/>
      <c r="V45" s="4541"/>
      <c r="W45" s="4541"/>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1186</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1187</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1188</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1189</v>
      </c>
      <c r="B52" s="1382" t="s">
        <v>1190</v>
      </c>
      <c r="C52" s="1383" t="s">
        <v>1191</v>
      </c>
      <c r="D52" s="1384" t="s">
        <v>1192</v>
      </c>
      <c r="E52" s="1385" t="s">
        <v>1193</v>
      </c>
      <c r="F52" s="1386" t="s">
        <v>1194</v>
      </c>
      <c r="G52" s="4514" t="s">
        <v>1195</v>
      </c>
      <c r="H52" s="4515"/>
      <c r="I52" s="745" t="s">
        <v>2281</v>
      </c>
      <c r="J52" s="745">
        <f>项目基本情况!F35</f>
        <v>0</v>
      </c>
      <c r="K52" s="1388" t="s">
        <v>1197</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1198</v>
      </c>
      <c r="B53" s="1390" t="e">
        <f>C45</f>
        <v>#DIV/0!</v>
      </c>
      <c r="C53" s="1064">
        <v>1</v>
      </c>
      <c r="D53" s="1391">
        <v>1</v>
      </c>
      <c r="E53" s="1392">
        <f>'数据-汇总表'!E8+'数据-汇总表'!E9</f>
        <v>16229.82</v>
      </c>
      <c r="F53" s="1393" t="e">
        <f t="shared" ref="F53:F62" si="15">ROUND(B53*E53/10000,0)</f>
        <v>#DIV/0!</v>
      </c>
      <c r="G53" s="4516"/>
      <c r="H53" s="4517"/>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1199</v>
      </c>
      <c r="B54" s="1390" t="e">
        <f>ROUND($C$45*C54*D54,0)</f>
        <v>#DIV/0!</v>
      </c>
      <c r="C54" s="852">
        <f t="shared" ref="C54:C62" si="16">IF($C$52="北京市系数",I54,J54)</f>
        <v>0.6</v>
      </c>
      <c r="D54" s="1397">
        <v>0.25</v>
      </c>
      <c r="E54" s="1398"/>
      <c r="F54" s="1393" t="e">
        <f t="shared" si="15"/>
        <v>#DIV/0!</v>
      </c>
      <c r="G54" s="1399" t="s">
        <v>1200</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1201</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1202</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1203</v>
      </c>
      <c r="B58" s="1390" t="e">
        <f t="shared" si="17"/>
        <v>#DIV/0!</v>
      </c>
      <c r="C58" s="852">
        <f t="shared" si="16"/>
        <v>0.25</v>
      </c>
      <c r="D58" s="1397">
        <v>0.25</v>
      </c>
      <c r="E58" s="1404">
        <f>'数据-汇总表'!E11</f>
        <v>0</v>
      </c>
      <c r="F58" s="1393" t="e">
        <f t="shared" si="15"/>
        <v>#DIV/0!</v>
      </c>
      <c r="G58" s="1405" t="s">
        <v>1204</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1205</v>
      </c>
      <c r="B59" s="1390" t="e">
        <f t="shared" si="17"/>
        <v>#DIV/0!</v>
      </c>
      <c r="C59" s="852">
        <f t="shared" si="16"/>
        <v>0.25</v>
      </c>
      <c r="D59" s="1397">
        <v>0.25</v>
      </c>
      <c r="E59" s="1404">
        <f>'数据-汇总表'!E12</f>
        <v>0</v>
      </c>
      <c r="F59" s="1393" t="e">
        <f t="shared" si="15"/>
        <v>#DIV/0!</v>
      </c>
      <c r="G59" s="1406" t="s">
        <v>1206</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1207</v>
      </c>
      <c r="B60" s="1390" t="e">
        <f t="shared" si="17"/>
        <v>#DIV/0!</v>
      </c>
      <c r="C60" s="852">
        <f t="shared" si="16"/>
        <v>0.15</v>
      </c>
      <c r="D60" s="1397">
        <v>0.25</v>
      </c>
      <c r="E60" s="1404">
        <f>'数据-汇总表'!E13</f>
        <v>9602.89</v>
      </c>
      <c r="F60" s="1393" t="e">
        <f t="shared" si="15"/>
        <v>#DIV/0!</v>
      </c>
      <c r="G60" s="1406" t="s">
        <v>1208</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1209</v>
      </c>
      <c r="B61" s="1390" t="e">
        <f t="shared" si="17"/>
        <v>#DIV/0!</v>
      </c>
      <c r="C61" s="852">
        <f t="shared" si="16"/>
        <v>0.15</v>
      </c>
      <c r="D61" s="1397">
        <v>0.25</v>
      </c>
      <c r="E61" s="1404">
        <f>'数据-汇总表'!E14</f>
        <v>0</v>
      </c>
      <c r="F61" s="1393" t="e">
        <f t="shared" si="15"/>
        <v>#DIV/0!</v>
      </c>
      <c r="G61" s="1405" t="s">
        <v>1200</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1210</v>
      </c>
      <c r="B62" s="1390" t="e">
        <f t="shared" si="17"/>
        <v>#DIV/0!</v>
      </c>
      <c r="C62" s="852">
        <f t="shared" si="16"/>
        <v>0.15</v>
      </c>
      <c r="D62" s="1397">
        <v>0.25</v>
      </c>
      <c r="E62" s="1404">
        <f>'数据-汇总表'!E15</f>
        <v>0</v>
      </c>
      <c r="F62" s="1393" t="e">
        <f t="shared" si="15"/>
        <v>#DIV/0!</v>
      </c>
      <c r="G62" s="1407" t="s">
        <v>1204</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1211</v>
      </c>
      <c r="B63" s="1410" t="s">
        <v>1212</v>
      </c>
      <c r="C63" s="1410" t="s">
        <v>1212</v>
      </c>
      <c r="D63" s="1410" t="s">
        <v>1212</v>
      </c>
      <c r="E63" s="1411">
        <f>IF(B43="楼面地价",SUM(E53:E62),'数据-汇总表'!D3)</f>
        <v>11094.04</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1213</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1214</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2282</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1216</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1140</v>
      </c>
      <c r="B70" s="1444"/>
      <c r="C70" s="1445" t="s">
        <v>1217</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1218</v>
      </c>
      <c r="B72" s="1454" t="s">
        <v>1144</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1147</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1148</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1151</v>
      </c>
      <c r="B85" s="1454" t="s">
        <v>2272</v>
      </c>
      <c r="C85" s="1501" t="s">
        <v>1219</v>
      </c>
      <c r="D85" s="1501" t="s">
        <v>1220</v>
      </c>
      <c r="E85" s="1501" t="s">
        <v>1221</v>
      </c>
      <c r="F85" s="1501" t="s">
        <v>1222</v>
      </c>
      <c r="G85" s="1501" t="s">
        <v>1223</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1158</v>
      </c>
      <c r="C87" s="1506" t="s">
        <v>1219</v>
      </c>
      <c r="D87" s="1506" t="s">
        <v>1220</v>
      </c>
      <c r="E87" s="1506" t="s">
        <v>1221</v>
      </c>
      <c r="F87" s="1506" t="s">
        <v>1222</v>
      </c>
      <c r="G87" s="1506" t="s">
        <v>1223</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1161</v>
      </c>
      <c r="C89" s="1501" t="s">
        <v>1219</v>
      </c>
      <c r="D89" s="1501" t="s">
        <v>1220</v>
      </c>
      <c r="E89" s="1501" t="s">
        <v>1221</v>
      </c>
      <c r="F89" s="1501" t="s">
        <v>1222</v>
      </c>
      <c r="G89" s="1501" t="s">
        <v>1223</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1163</v>
      </c>
      <c r="C91" s="1501" t="s">
        <v>1219</v>
      </c>
      <c r="D91" s="1501" t="s">
        <v>1220</v>
      </c>
      <c r="E91" s="1501" t="s">
        <v>1221</v>
      </c>
      <c r="F91" s="1501" t="s">
        <v>1222</v>
      </c>
      <c r="G91" s="1501" t="s">
        <v>1223</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1165</v>
      </c>
      <c r="C93" s="1501" t="s">
        <v>1219</v>
      </c>
      <c r="D93" s="1501" t="s">
        <v>1220</v>
      </c>
      <c r="E93" s="1501" t="s">
        <v>1221</v>
      </c>
      <c r="F93" s="1501" t="s">
        <v>1222</v>
      </c>
      <c r="G93" s="1501" t="s">
        <v>1223</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1167</v>
      </c>
      <c r="C95" s="1295" t="s">
        <v>1224</v>
      </c>
      <c r="D95" s="1295" t="s">
        <v>1225</v>
      </c>
      <c r="E95" s="1295" t="s">
        <v>1226</v>
      </c>
      <c r="F95" s="1295" t="s">
        <v>1227</v>
      </c>
      <c r="G95" s="1295" t="s">
        <v>1228</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1229</v>
      </c>
      <c r="D97" s="1466" t="s">
        <v>1230</v>
      </c>
      <c r="E97" s="1466" t="s">
        <v>1231</v>
      </c>
      <c r="F97" s="1466" t="s">
        <v>1232</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1171</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1172</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1174</v>
      </c>
      <c r="B109" s="1454" t="s">
        <v>1175</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1176</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1179</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1180</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4"/>
      <c r="C2" s="4304"/>
      <c r="D2" s="4304"/>
      <c r="E2" s="4304"/>
    </row>
    <row r="3" spans="1:5" ht="17.399999999999999">
      <c r="A3" s="4305" t="str">
        <f>IF(项目基本情况!B9="房地产市场价值","估价结果一览表（市场价值不需“结果表-1”）","估价结果一览表")</f>
        <v>估价结果一览表</v>
      </c>
      <c r="B3" s="4305"/>
      <c r="C3" s="4305"/>
      <c r="D3" s="4305"/>
      <c r="E3" s="4305"/>
    </row>
    <row r="4" spans="1:5" ht="17.399999999999999">
      <c r="A4" s="4246"/>
      <c r="B4" s="4306" t="s">
        <v>95</v>
      </c>
      <c r="C4" s="4306"/>
      <c r="D4" s="4306"/>
      <c r="E4" s="4246"/>
    </row>
    <row r="5" spans="1:5" ht="15.6">
      <c r="B5" s="4298" t="s">
        <v>96</v>
      </c>
      <c r="C5" s="4247" t="s">
        <v>97</v>
      </c>
      <c r="D5" s="4248">
        <f ca="1">结果表!H101</f>
        <v>58418.090400000001</v>
      </c>
    </row>
    <row r="6" spans="1:5" ht="31.2">
      <c r="B6" s="4298"/>
      <c r="C6" s="4247" t="s">
        <v>98</v>
      </c>
      <c r="D6" s="4248" t="str">
        <f ca="1">NUMBERSTRING(INT(D5*10000),2)&amp;"元整"</f>
        <v>伍亿捌仟肆佰壹拾捌万零玖佰零肆元整</v>
      </c>
    </row>
    <row r="7" spans="1:5" ht="15.6">
      <c r="B7" s="4299"/>
      <c r="C7" s="4249" t="s">
        <v>99</v>
      </c>
      <c r="D7" s="4250">
        <f ca="1">结果表!H102</f>
        <v>8754</v>
      </c>
    </row>
    <row r="8" spans="1:5" ht="15.6">
      <c r="B8" s="4300" t="str">
        <f>结果表!E103</f>
        <v>2.估价师知悉的法定优先受偿款</v>
      </c>
      <c r="C8" s="4251" t="s">
        <v>100</v>
      </c>
      <c r="D8" s="4250">
        <f>结果表!H103</f>
        <v>849</v>
      </c>
    </row>
    <row r="9" spans="1:5" ht="15.6">
      <c r="B9" s="4302"/>
      <c r="C9" s="4247" t="s">
        <v>98</v>
      </c>
      <c r="D9" s="4248" t="str">
        <f>NUMBERSTRING(INT(D8*10000),2)&amp;"元整"</f>
        <v>捌佰肆拾玖万元整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849</v>
      </c>
    </row>
    <row r="13" spans="1:5" ht="15.6">
      <c r="B13" s="4297" t="str">
        <f>结果表!E107</f>
        <v>3.房地产抵押价值</v>
      </c>
      <c r="C13" s="4255" t="s">
        <v>97</v>
      </c>
      <c r="D13" s="4256">
        <f ca="1">结果表!H107</f>
        <v>57569.090400000001</v>
      </c>
    </row>
    <row r="14" spans="1:5" ht="31.2">
      <c r="B14" s="4298"/>
      <c r="C14" s="4247" t="s">
        <v>98</v>
      </c>
      <c r="D14" s="4248" t="str">
        <f ca="1">NUMBERSTRING(INT(D13*10000),2)&amp;"元整"</f>
        <v>伍亿柒仟伍佰陆拾玖万零玖佰零肆元整</v>
      </c>
    </row>
    <row r="15" spans="1:5" ht="15.6">
      <c r="B15" s="4299"/>
      <c r="C15" s="4249" t="s">
        <v>99</v>
      </c>
      <c r="D15" s="4257">
        <f ca="1">结果表!H108</f>
        <v>22285</v>
      </c>
    </row>
    <row r="16" spans="1:5" ht="15.6">
      <c r="B16" s="4300" t="str">
        <f>结果表!E109</f>
        <v>——</v>
      </c>
      <c r="C16" s="4255" t="s">
        <v>97</v>
      </c>
      <c r="D16" s="4258" t="str">
        <f>结果表!H109</f>
        <v>——</v>
      </c>
    </row>
    <row r="17" spans="1:5" ht="15.6">
      <c r="B17" s="4301"/>
      <c r="C17" s="4247" t="s">
        <v>98</v>
      </c>
      <c r="D17" s="4248" t="e">
        <f>NUMBERSTRING(INT(D16*10000),2)&amp;"元整"</f>
        <v>#VALUE!</v>
      </c>
    </row>
    <row r="18" spans="1:5" ht="15.6">
      <c r="B18" s="4302"/>
      <c r="C18" s="4249" t="s">
        <v>99</v>
      </c>
      <c r="D18" s="4257" t="str">
        <f>结果表!H110</f>
        <v>——</v>
      </c>
    </row>
    <row r="19" spans="1:5" ht="15.6">
      <c r="B19" s="4297" t="str">
        <f>结果表!E111</f>
        <v>——</v>
      </c>
      <c r="C19" s="4255" t="s">
        <v>97</v>
      </c>
      <c r="D19" s="4250" t="str">
        <f>结果表!H111</f>
        <v>——</v>
      </c>
    </row>
    <row r="20" spans="1:5" ht="15.6">
      <c r="B20" s="4298"/>
      <c r="C20" s="4247" t="s">
        <v>98</v>
      </c>
      <c r="D20" s="4248" t="e">
        <f>NUMBERSTRING(INT(D19*10000),2)&amp;"元整"</f>
        <v>#VALUE!</v>
      </c>
    </row>
    <row r="21" spans="1:5" ht="15.6">
      <c r="B21" s="4303"/>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2283</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2284</v>
      </c>
      <c r="D2" s="1176" t="s">
        <v>2285</v>
      </c>
      <c r="E2" s="1178">
        <f ca="1">SUMIF(E6:E13,"&lt;&gt;#ref!",E6:E13)</f>
        <v>0</v>
      </c>
      <c r="F2" s="1175"/>
      <c r="G2" s="1175"/>
      <c r="H2" s="1175"/>
      <c r="I2" s="1175"/>
      <c r="J2" s="1175"/>
      <c r="K2" s="1175"/>
      <c r="L2" s="1175"/>
      <c r="M2" s="1175"/>
      <c r="N2" s="1175"/>
      <c r="O2" s="1175"/>
      <c r="P2" s="1175"/>
    </row>
    <row r="3" spans="1:16" ht="15.6">
      <c r="A3" s="1176" t="s">
        <v>2286</v>
      </c>
      <c r="B3" s="1177" t="e">
        <f ca="1">ROUND(B2*10000/E2,0)</f>
        <v>#DIV/0!</v>
      </c>
      <c r="C3" s="1176" t="s">
        <v>2287</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2288</v>
      </c>
      <c r="B5" s="1181" t="s">
        <v>2289</v>
      </c>
      <c r="C5" s="1182"/>
      <c r="D5" s="1175"/>
      <c r="E5" s="1183" t="s">
        <v>2290</v>
      </c>
      <c r="F5" s="1175"/>
      <c r="G5" s="1175"/>
      <c r="H5" s="1175"/>
      <c r="I5" s="1175"/>
      <c r="J5" s="1175"/>
      <c r="K5" s="1175"/>
      <c r="L5" s="1175"/>
      <c r="M5" s="1175"/>
      <c r="N5" s="1175"/>
      <c r="O5" s="1175"/>
      <c r="P5" s="1175"/>
    </row>
    <row r="6" spans="1:16" ht="15.6">
      <c r="A6" s="1184" t="s">
        <v>2291</v>
      </c>
      <c r="B6" s="1177" t="e">
        <f ca="1">SUMIF(INDIRECT("'"&amp;A6&amp;"'"&amp;"!A:A"),"总价",INDIRECT("'"&amp;A6&amp;"'"&amp;"!B:B"))</f>
        <v>#DIV/0!</v>
      </c>
      <c r="C6" s="1176" t="s">
        <v>2284</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2284</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2284</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2284</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2284</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2284</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2284</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2284</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2292</v>
      </c>
      <c r="B1" s="372"/>
      <c r="C1" s="375" t="s">
        <v>1119</v>
      </c>
      <c r="D1" s="780">
        <f>SUM(D33:D34,D37:D42)</f>
        <v>0</v>
      </c>
      <c r="E1" s="781"/>
      <c r="F1" s="781"/>
      <c r="G1" s="781"/>
      <c r="H1" s="781"/>
      <c r="I1" s="781"/>
      <c r="J1" s="781"/>
      <c r="K1" s="773"/>
      <c r="L1" s="782" t="s">
        <v>2293</v>
      </c>
      <c r="M1" s="783">
        <f>SUMPRODUCT((区片价!B5:B9=I2)*(区片价!C3:G3=E2)*(区片价!C5:G9))</f>
        <v>0</v>
      </c>
      <c r="N1" s="784">
        <f>SUMPRODUCT((因素修正幅度!B5:B9=I2)*(因素修正幅度!C3:G3=E2)*(因素修正幅度!C5:G9))</f>
        <v>0</v>
      </c>
      <c r="O1" s="774"/>
      <c r="P1" s="774"/>
      <c r="Q1" s="773"/>
      <c r="R1" s="785" t="s">
        <v>2294</v>
      </c>
      <c r="S1" s="785" t="s">
        <v>2295</v>
      </c>
      <c r="T1" s="785" t="s">
        <v>2296</v>
      </c>
      <c r="U1" s="785" t="s">
        <v>2297</v>
      </c>
      <c r="V1" s="785" t="s">
        <v>2298</v>
      </c>
      <c r="W1" s="786"/>
      <c r="X1" s="786"/>
      <c r="Y1" s="786"/>
      <c r="Z1" s="786"/>
      <c r="AA1" s="786"/>
      <c r="AB1" s="786"/>
      <c r="AC1" s="787"/>
      <c r="AD1" s="788"/>
      <c r="AE1" s="788"/>
      <c r="AF1" s="788"/>
      <c r="AG1" s="788"/>
      <c r="AH1" s="788"/>
      <c r="AI1" s="788"/>
      <c r="AJ1" s="789"/>
    </row>
    <row r="2" spans="1:36" ht="15.6">
      <c r="A2" s="375" t="s">
        <v>1117</v>
      </c>
      <c r="B2" s="549" t="e">
        <f>C30</f>
        <v>#DIV/0!</v>
      </c>
      <c r="C2" s="790" t="s">
        <v>1409</v>
      </c>
      <c r="D2" s="791" t="s">
        <v>2299</v>
      </c>
      <c r="E2" s="792"/>
      <c r="F2" s="791" t="s">
        <v>2300</v>
      </c>
      <c r="G2" s="793">
        <f>IF(E2="商业",项目基本情况!B37,IF(E2="办公",项目基本情况!C37,IF(E2="住宅",项目基本情况!D37,IF(E2="工业",项目基本情况!E37,项目基本情况!F37))))</f>
        <v>0</v>
      </c>
      <c r="H2" s="791" t="s">
        <v>2301</v>
      </c>
      <c r="I2" s="793">
        <f>IF(E2="商业",项目基本情况!B38,IF(E2="办公",项目基本情况!C38,IF(E2="住宅",项目基本情况!D38,IF(E2="工业",项目基本情况!E38,项目基本情况!F38))))</f>
        <v>0</v>
      </c>
      <c r="J2" s="781"/>
      <c r="K2" s="773"/>
      <c r="L2" s="794" t="s">
        <v>2302</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1118</v>
      </c>
      <c r="B3" s="549" t="e">
        <f>ROUND(B2*10000/D1,0)</f>
        <v>#DIV/0!</v>
      </c>
      <c r="C3" s="790" t="s">
        <v>1121</v>
      </c>
      <c r="D3" s="791" t="s">
        <v>2303</v>
      </c>
      <c r="E3" s="798"/>
      <c r="F3" s="799"/>
      <c r="G3" s="800">
        <f>IF(F3="宗地容积率",'数据-汇总表'!I4,IF(F3="估价对象容积率",'数据-汇总表'!I6,'数据-汇总表'!I7))</f>
        <v>1.6</v>
      </c>
      <c r="H3" s="791" t="s">
        <v>2304</v>
      </c>
      <c r="I3" s="801"/>
      <c r="J3" s="781" t="s">
        <v>2305</v>
      </c>
      <c r="K3" s="773"/>
      <c r="L3" s="794" t="s">
        <v>2306</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892</v>
      </c>
      <c r="B4" s="803" t="e">
        <f>ROUND(B2*10000/F1,0)</f>
        <v>#DIV/0!</v>
      </c>
      <c r="C4" s="804" t="s">
        <v>2307</v>
      </c>
      <c r="D4" s="803" t="e">
        <f>ROUND(B2/(F1/666.67),0)</f>
        <v>#DIV/0!</v>
      </c>
      <c r="E4" s="804" t="s">
        <v>2308</v>
      </c>
      <c r="F4" s="805"/>
      <c r="G4" s="805"/>
      <c r="H4" s="805"/>
      <c r="I4" s="805"/>
      <c r="J4" s="806"/>
      <c r="K4" s="773"/>
      <c r="L4" s="794" t="s">
        <v>2309</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1004</v>
      </c>
      <c r="B5" s="808" t="s">
        <v>2310</v>
      </c>
      <c r="C5" s="809" t="e">
        <f>ROUND(IF(E2="商业",C6*C7*C17+C20,(IF(E2="住宅",C6*C13*C17+C20,IF(E2="办公",C6*C12*C17+C20,C6+C20)))),0)</f>
        <v>#DIV/0!</v>
      </c>
      <c r="D5" s="810" t="e">
        <f>ROUND(C6*C17+C20,0)</f>
        <v>#DIV/0!</v>
      </c>
      <c r="E5" s="811"/>
      <c r="F5" s="812"/>
      <c r="G5" s="813"/>
      <c r="H5" s="813"/>
      <c r="I5" s="813"/>
      <c r="J5" s="814"/>
      <c r="K5" s="815"/>
      <c r="L5" s="794" t="s">
        <v>2311</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1518</v>
      </c>
      <c r="B6" s="820" t="s">
        <v>2312</v>
      </c>
      <c r="C6" s="821">
        <f>SUMIF(L1:L12,G2,M1:M12)</f>
        <v>0</v>
      </c>
      <c r="D6" s="822"/>
      <c r="E6" s="823"/>
      <c r="F6" s="823"/>
      <c r="G6" s="824"/>
      <c r="H6" s="824"/>
      <c r="I6" s="824"/>
      <c r="J6" s="825"/>
      <c r="K6" s="826"/>
      <c r="L6" s="794" t="s">
        <v>2313</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1424</v>
      </c>
      <c r="B7" s="828" t="s">
        <v>2314</v>
      </c>
      <c r="C7" s="829" t="e">
        <f>IF(C8="不临65条商业街",1,ROUND(1+(1.6*E8+1.2*E9+0.8*E10+0.4*E11)*C9,4))</f>
        <v>#DIV/0!</v>
      </c>
      <c r="D7" s="830" t="s">
        <v>2315</v>
      </c>
      <c r="E7" s="831"/>
      <c r="F7" s="832"/>
      <c r="G7" s="833"/>
      <c r="H7" s="833"/>
      <c r="I7" s="833"/>
      <c r="J7" s="834"/>
      <c r="K7" s="826"/>
      <c r="L7" s="794" t="s">
        <v>2316</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2317</v>
      </c>
      <c r="X7" s="837">
        <f>G2</f>
        <v>0</v>
      </c>
      <c r="Y7" s="838" t="s">
        <v>2318</v>
      </c>
      <c r="Z7" s="839">
        <f>G3</f>
        <v>1.6</v>
      </c>
      <c r="AA7" s="786"/>
      <c r="AB7" s="786"/>
      <c r="AC7" s="787"/>
      <c r="AD7" s="788"/>
      <c r="AE7" s="788"/>
      <c r="AF7" s="788"/>
      <c r="AG7" s="788"/>
      <c r="AH7" s="788"/>
      <c r="AI7" s="788"/>
      <c r="AJ7" s="789"/>
    </row>
    <row r="8" spans="1:36" ht="15">
      <c r="A8" s="840"/>
      <c r="B8" s="791" t="s">
        <v>2319</v>
      </c>
      <c r="C8" s="841"/>
      <c r="D8" s="842" t="s">
        <v>2320</v>
      </c>
      <c r="E8" s="843" t="e">
        <f>ROUND(C11/E7,4)</f>
        <v>#DIV/0!</v>
      </c>
      <c r="F8" s="844" t="s">
        <v>2321</v>
      </c>
      <c r="G8" s="845"/>
      <c r="H8" s="845"/>
      <c r="I8" s="845"/>
      <c r="J8" s="846"/>
      <c r="K8" s="773"/>
      <c r="L8" s="794" t="s">
        <v>2322</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78" t="s">
        <v>2323</v>
      </c>
      <c r="X8" s="4679"/>
      <c r="Y8" s="847" t="s">
        <v>2324</v>
      </c>
      <c r="Z8" s="847" t="s">
        <v>2325</v>
      </c>
      <c r="AA8" s="847" t="s">
        <v>2326</v>
      </c>
      <c r="AB8" s="847" t="s">
        <v>2327</v>
      </c>
      <c r="AC8" s="847" t="s">
        <v>2328</v>
      </c>
      <c r="AD8" s="847" t="s">
        <v>2329</v>
      </c>
      <c r="AE8" s="847" t="s">
        <v>2330</v>
      </c>
      <c r="AF8" s="847" t="s">
        <v>2331</v>
      </c>
      <c r="AG8" s="847" t="s">
        <v>2332</v>
      </c>
      <c r="AH8" s="847" t="s">
        <v>2333</v>
      </c>
      <c r="AI8" s="847" t="s">
        <v>2334</v>
      </c>
      <c r="AJ8" s="847" t="s">
        <v>2335</v>
      </c>
    </row>
    <row r="9" spans="1:36" ht="15">
      <c r="A9" s="840"/>
      <c r="B9" s="791" t="s">
        <v>2336</v>
      </c>
      <c r="C9" s="848">
        <f>SUMIF(修正!C73:C140,C8,修正!E73:E140)</f>
        <v>0</v>
      </c>
      <c r="D9" s="793" t="s">
        <v>2337</v>
      </c>
      <c r="E9" s="793" t="e">
        <f>ROUND(C11/E7,4)</f>
        <v>#DIV/0!</v>
      </c>
      <c r="F9" s="844" t="s">
        <v>2338</v>
      </c>
      <c r="G9" s="845"/>
      <c r="H9" s="845"/>
      <c r="I9" s="845"/>
      <c r="J9" s="846"/>
      <c r="K9" s="773"/>
      <c r="L9" s="794" t="s">
        <v>2339</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2"/>
      <c r="X9" s="849" t="s">
        <v>2340</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2341</v>
      </c>
      <c r="C10" s="852">
        <f>SUMIF(修正!C73:C140,C8,修正!F73:F140)</f>
        <v>0</v>
      </c>
      <c r="D10" s="793" t="s">
        <v>2342</v>
      </c>
      <c r="E10" s="793" t="e">
        <f>ROUND(C11/E7,4)</f>
        <v>#DIV/0!</v>
      </c>
      <c r="F10" s="844" t="s">
        <v>2343</v>
      </c>
      <c r="G10" s="845"/>
      <c r="H10" s="845"/>
      <c r="I10" s="845"/>
      <c r="J10" s="846"/>
      <c r="K10" s="773"/>
      <c r="L10" s="794" t="s">
        <v>2344</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2"/>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2345</v>
      </c>
      <c r="C11" s="857">
        <f>C10/4</f>
        <v>0</v>
      </c>
      <c r="D11" s="858" t="s">
        <v>2346</v>
      </c>
      <c r="E11" s="858" t="e">
        <f>ROUND(C11/E7,4)</f>
        <v>#DIV/0!</v>
      </c>
      <c r="F11" s="859" t="s">
        <v>2347</v>
      </c>
      <c r="G11" s="860"/>
      <c r="H11" s="860"/>
      <c r="I11" s="860"/>
      <c r="J11" s="861"/>
      <c r="K11" s="773"/>
      <c r="L11" s="794" t="s">
        <v>2348</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2349</v>
      </c>
      <c r="B12" s="864" t="s">
        <v>2350</v>
      </c>
      <c r="C12" s="865"/>
      <c r="D12" s="866" t="s">
        <v>2351</v>
      </c>
      <c r="E12" s="867" t="s">
        <v>2352</v>
      </c>
      <c r="F12" s="868"/>
      <c r="G12" s="869"/>
      <c r="H12" s="869"/>
      <c r="I12" s="869"/>
      <c r="J12" s="870"/>
      <c r="K12" s="773"/>
      <c r="L12" s="871" t="s">
        <v>2353</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1658</v>
      </c>
      <c r="B13" s="873" t="s">
        <v>2354</v>
      </c>
      <c r="C13" s="874">
        <f>ROUND(C16*D16*E16*F16*G16*H16*I16*J16,4)</f>
        <v>0</v>
      </c>
      <c r="D13" s="875" t="s">
        <v>2355</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2356</v>
      </c>
      <c r="C14" s="884" t="s">
        <v>2357</v>
      </c>
      <c r="D14" s="885" t="s">
        <v>2358</v>
      </c>
      <c r="E14" s="886" t="s">
        <v>2359</v>
      </c>
      <c r="F14" s="887" t="s">
        <v>2360</v>
      </c>
      <c r="G14" s="887" t="s">
        <v>2360</v>
      </c>
      <c r="H14" s="887" t="s">
        <v>2360</v>
      </c>
      <c r="I14" s="887" t="s">
        <v>2360</v>
      </c>
      <c r="J14" s="887" t="s">
        <v>2360</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2361</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2131</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1620</v>
      </c>
      <c r="B17" s="901" t="s">
        <v>2362</v>
      </c>
      <c r="C17" s="902">
        <f>ROUND(IF(OR(E2="工业",E2="公共服务"),1,IF(AND(E18=0,E19=0),1,IF(AND(E18=J24,E19=G19),0.8,IF(E19=0,1+E17*(-0.2),1+E17*G17*(-0.2))))),4)</f>
        <v>1</v>
      </c>
      <c r="D17" s="903" t="s">
        <v>2363</v>
      </c>
      <c r="E17" s="904" t="e">
        <f>ROUND(G18/I18,2)</f>
        <v>#DIV/0!</v>
      </c>
      <c r="F17" s="903" t="s">
        <v>2364</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2365</v>
      </c>
      <c r="E18" s="911"/>
      <c r="F18" s="912" t="s">
        <v>2366</v>
      </c>
      <c r="G18" s="913">
        <f>ROUND(1-(1/(POWER(1+G24,E18))),4)</f>
        <v>0</v>
      </c>
      <c r="H18" s="912" t="s">
        <v>2367</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2368</v>
      </c>
      <c r="E19" s="923"/>
      <c r="F19" s="924" t="s">
        <v>2369</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684" t="s">
        <v>1621</v>
      </c>
      <c r="B20" s="929" t="s">
        <v>2370</v>
      </c>
      <c r="C20" s="930" t="e">
        <f>ROUND(IF(F21="与级别开发程度一致",0,(G21-E21)/C21),0)</f>
        <v>#DIV/0!</v>
      </c>
      <c r="D20" s="931" t="s">
        <v>2371</v>
      </c>
      <c r="E20" s="932"/>
      <c r="F20" s="4680" t="s">
        <v>2372</v>
      </c>
      <c r="G20" s="4681"/>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685"/>
      <c r="B21" s="937" t="s">
        <v>2373</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1020</v>
      </c>
      <c r="B22" s="947" t="s">
        <v>2374</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1025</v>
      </c>
      <c r="B23" s="954" t="s">
        <v>2375</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2376</v>
      </c>
      <c r="E23" s="957">
        <v>44197</v>
      </c>
      <c r="F23" s="956" t="s">
        <v>2377</v>
      </c>
      <c r="G23" s="958">
        <f>'数据-取费表'!B2</f>
        <v>46125</v>
      </c>
      <c r="H23" s="959"/>
      <c r="I23" s="960" t="str">
        <f>IF(H23="季度增幅（自定义）",SUMIF(N25:N28,E2,O25:O28),"")</f>
        <v/>
      </c>
      <c r="J23" s="961"/>
      <c r="K23" s="916"/>
      <c r="L23" s="962" t="s">
        <v>2378</v>
      </c>
      <c r="M23" s="963">
        <f>ROUND(SUMIF(地价!B2:G2,E2,地价!B16:G16),0)</f>
        <v>0</v>
      </c>
      <c r="N23" s="964" t="s">
        <v>2379</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1028</v>
      </c>
      <c r="B24" s="967" t="s">
        <v>2380</v>
      </c>
      <c r="C24" s="968" t="e">
        <f>ROUND(POWER(1+G24,J24-I24)*(POWER(1+G24,I24)-1)/(POWER(1+G24,J24)-1),4)</f>
        <v>#DIV/0!</v>
      </c>
      <c r="D24" s="969" t="s">
        <v>2381</v>
      </c>
      <c r="E24" s="970">
        <f>存贷款利率!E28/100</f>
        <v>4.3499999999999997E-2</v>
      </c>
      <c r="F24" s="969" t="s">
        <v>2382</v>
      </c>
      <c r="G24" s="971">
        <f>SUMIF(M30:Q30,E2,M33:Q33)</f>
        <v>0</v>
      </c>
      <c r="H24" s="969" t="s">
        <v>2383</v>
      </c>
      <c r="I24" s="972" t="e">
        <f>SUMIF('数据-取费表'!C6:C15,E2,'数据-取费表'!F6:F15)/COUNTIF('数据-取费表'!C6:C15,E2)</f>
        <v>#DIV/0!</v>
      </c>
      <c r="J24" s="973">
        <f>IF(E2="住宅",70,IF(E2="商业",40,50))</f>
        <v>50</v>
      </c>
      <c r="K24" s="916"/>
      <c r="L24" s="974" t="s">
        <v>2384</v>
      </c>
      <c r="M24" s="975">
        <f>ROUND(SUMPRODUCT((地价!A4:A16=YEAR(G23)&amp;"-"&amp;ROUNDUP(MONTH(G23)/3,0))*(地价!B2:G2=E2)*(地价!B4:G16)),0)</f>
        <v>0</v>
      </c>
      <c r="N24" s="976" t="s">
        <v>2385</v>
      </c>
      <c r="O24" s="977" t="s">
        <v>2386</v>
      </c>
      <c r="P24" s="978" t="s">
        <v>2387</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1054</v>
      </c>
      <c r="B25" s="980"/>
      <c r="C25" s="981">
        <f>IF(B25="容积率修正",IF(G3&lt;10,D26,J26),C27)</f>
        <v>0</v>
      </c>
      <c r="D25" s="982"/>
      <c r="E25" s="982"/>
      <c r="F25" s="982"/>
      <c r="G25" s="982"/>
      <c r="H25" s="982"/>
      <c r="I25" s="982"/>
      <c r="J25" s="983"/>
      <c r="K25" s="916"/>
      <c r="L25" s="918"/>
      <c r="M25" s="918"/>
      <c r="N25" s="984" t="s">
        <v>2388</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2389</v>
      </c>
      <c r="B26" s="988" t="s">
        <v>2390</v>
      </c>
      <c r="C26" s="988" t="s">
        <v>2391</v>
      </c>
      <c r="D26" s="989">
        <f>IF(E26=G26,F26,IF(G3&lt;10,ROUND(F26+(H26-F26)*(G3-E26)/(G26-E26),4),"——"))</f>
        <v>0</v>
      </c>
      <c r="E26" s="989">
        <f>ROUNDDOWN(G3,1)</f>
        <v>1.6</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1.6</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2392</v>
      </c>
      <c r="J26" s="990" t="str">
        <f>IF(G3&gt;=10,D115,"——")</f>
        <v>——</v>
      </c>
      <c r="K26" s="916"/>
      <c r="L26" s="918"/>
      <c r="M26" s="918"/>
      <c r="N26" s="984" t="s">
        <v>2393</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2394</v>
      </c>
      <c r="B27" s="991" t="s">
        <v>2395</v>
      </c>
      <c r="C27" s="992">
        <f>ROUND(IF(I3&lt;6,SUMPRODUCT((B106:B110=I3)*(C105:N105=G2)*(C106:N110)),SUMIF(C105:N105,G2,C112:N112)),4)</f>
        <v>0</v>
      </c>
      <c r="D27" s="781"/>
      <c r="E27" s="781"/>
      <c r="F27" s="993"/>
      <c r="G27" s="994"/>
      <c r="H27" s="995"/>
      <c r="I27" s="996"/>
      <c r="J27" s="997"/>
      <c r="K27" s="773"/>
      <c r="L27" s="774"/>
      <c r="M27" s="774"/>
      <c r="N27" s="984" t="s">
        <v>2396</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2397</v>
      </c>
      <c r="B28" s="954" t="s">
        <v>2398</v>
      </c>
      <c r="C28" s="998">
        <f>SUMIF(A47:A101,E2,B47:B101)</f>
        <v>0</v>
      </c>
      <c r="D28" s="999"/>
      <c r="E28" s="1000"/>
      <c r="F28" s="1000"/>
      <c r="G28" s="1000"/>
      <c r="H28" s="1000"/>
      <c r="I28" s="1000"/>
      <c r="J28" s="1001"/>
      <c r="K28" s="916"/>
      <c r="L28" s="918"/>
      <c r="M28" s="918"/>
      <c r="N28" s="1002" t="s">
        <v>2399</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2400</v>
      </c>
      <c r="B29" s="1005" t="s">
        <v>2401</v>
      </c>
      <c r="C29" s="1006"/>
      <c r="D29" s="833"/>
      <c r="E29" s="833"/>
      <c r="F29" s="1007"/>
      <c r="G29" s="833"/>
      <c r="H29" s="833"/>
      <c r="I29" s="833"/>
      <c r="J29" s="834"/>
      <c r="K29" s="773"/>
      <c r="L29" s="774"/>
      <c r="M29" s="774"/>
      <c r="N29" s="1008" t="s">
        <v>2402</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2403</v>
      </c>
      <c r="C30" s="1012" t="e">
        <f>IF(B25="容积率修正",E33+SUM(I37:I42),SUM(V2:V16)+SUM(I37:I42))</f>
        <v>#DIV/0!</v>
      </c>
      <c r="D30" s="1013" t="s">
        <v>2404</v>
      </c>
      <c r="E30" s="781"/>
      <c r="F30" s="1014"/>
      <c r="G30" s="781"/>
      <c r="H30" s="781"/>
      <c r="I30" s="781"/>
      <c r="J30" s="1015"/>
      <c r="K30" s="773"/>
      <c r="L30" s="1016" t="s">
        <v>2299</v>
      </c>
      <c r="M30" s="1017" t="s">
        <v>2405</v>
      </c>
      <c r="N30" s="1017" t="s">
        <v>2406</v>
      </c>
      <c r="O30" s="1017" t="s">
        <v>2407</v>
      </c>
      <c r="P30" s="1017" t="s">
        <v>2408</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2409</v>
      </c>
      <c r="C31" s="1019" t="e">
        <f>E34+SUM(I37:I42)</f>
        <v>#DIV/0!</v>
      </c>
      <c r="D31" s="1020"/>
      <c r="E31" s="1021"/>
      <c r="F31" s="1022"/>
      <c r="G31" s="1021"/>
      <c r="H31" s="1021"/>
      <c r="I31" s="1021"/>
      <c r="J31" s="1023"/>
      <c r="K31" s="773"/>
      <c r="L31" s="1024" t="s">
        <v>2410</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2411</v>
      </c>
      <c r="C32" s="1029" t="s">
        <v>1485</v>
      </c>
      <c r="D32" s="1029" t="s">
        <v>644</v>
      </c>
      <c r="E32" s="1030" t="s">
        <v>2412</v>
      </c>
      <c r="F32" s="1031"/>
      <c r="G32" s="877"/>
      <c r="H32" s="877"/>
      <c r="I32" s="877"/>
      <c r="J32" s="878"/>
      <c r="K32" s="773"/>
      <c r="L32" s="1032" t="s">
        <v>2382</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2413</v>
      </c>
      <c r="C33" s="1012" t="e">
        <f>ROUND(C5*C22*C23*C24*C25*C28,0)</f>
        <v>#DIV/0!</v>
      </c>
      <c r="D33" s="1037"/>
      <c r="E33" s="1038" t="e">
        <f>ROUND(C33*D33/10000,0)</f>
        <v>#DIV/0!</v>
      </c>
      <c r="F33" s="1039" t="s">
        <v>2414</v>
      </c>
      <c r="G33" s="1040"/>
      <c r="H33" s="1040"/>
      <c r="I33" s="1040"/>
      <c r="J33" s="1041"/>
      <c r="K33" s="773"/>
      <c r="L33" s="1042" t="s">
        <v>2415</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2416</v>
      </c>
      <c r="C34" s="1046" t="e">
        <f>ROUND(IF(E2="工业",C33*M42,IF(B25="楼层修正",SUM(V2:V16)*M41*10000/D34,C33*M41)),0)</f>
        <v>#DIV/0!</v>
      </c>
      <c r="D34" s="1047"/>
      <c r="E34" s="1038" t="e">
        <f>ROUND(IF(B25="楼层修正",SUM(V2:V16)*M40,C34*D34/10000),0)</f>
        <v>#DIV/0!</v>
      </c>
      <c r="F34" s="1048" t="s">
        <v>2417</v>
      </c>
      <c r="G34" s="1049"/>
      <c r="H34" s="1049"/>
      <c r="I34" s="1049"/>
      <c r="J34" s="1050"/>
      <c r="K34" s="773"/>
      <c r="L34" s="1042" t="s">
        <v>2418</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2419</v>
      </c>
      <c r="C35" s="1053" t="s">
        <v>2420</v>
      </c>
      <c r="D35" s="877"/>
      <c r="E35" s="1054"/>
      <c r="F35" s="1054"/>
      <c r="G35" s="875" t="s">
        <v>2417</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1485</v>
      </c>
      <c r="D36" s="1058" t="s">
        <v>644</v>
      </c>
      <c r="E36" s="1058" t="s">
        <v>2412</v>
      </c>
      <c r="F36" s="780" t="s">
        <v>2421</v>
      </c>
      <c r="G36" s="1059" t="s">
        <v>1485</v>
      </c>
      <c r="H36" s="1059" t="s">
        <v>644</v>
      </c>
      <c r="I36" s="1059" t="s">
        <v>2412</v>
      </c>
      <c r="J36" s="423"/>
      <c r="K36" s="1060" t="s">
        <v>2422</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6"/>
      <c r="B37" s="1063" t="s">
        <v>2423</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2424</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7"/>
      <c r="B38" s="1069" t="s">
        <v>2425</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7"/>
      <c r="B39" s="1069" t="s">
        <v>2426</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2427</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2428</v>
      </c>
      <c r="M40" s="1074"/>
      <c r="Z40" s="906"/>
      <c r="AA40" s="906"/>
      <c r="AB40" s="906"/>
      <c r="AC40" s="906"/>
      <c r="AD40" s="906"/>
      <c r="AE40" s="906"/>
      <c r="AF40" s="906"/>
      <c r="AG40" s="906"/>
      <c r="AH40" s="906"/>
      <c r="AI40" s="906"/>
      <c r="AJ40" s="906"/>
    </row>
    <row r="41" spans="1:37" s="773" customFormat="1">
      <c r="A41" s="1070"/>
      <c r="B41" s="1069" t="s">
        <v>2429</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2430</v>
      </c>
      <c r="M41" s="1076">
        <v>0.25</v>
      </c>
      <c r="Z41" s="906"/>
      <c r="AA41" s="906"/>
      <c r="AB41" s="906"/>
      <c r="AC41" s="906"/>
      <c r="AD41" s="906"/>
      <c r="AE41" s="906"/>
      <c r="AF41" s="906"/>
      <c r="AG41" s="906"/>
      <c r="AH41" s="906"/>
      <c r="AI41" s="906"/>
      <c r="AJ41" s="906"/>
    </row>
    <row r="42" spans="1:37" s="773" customFormat="1">
      <c r="A42" s="1044"/>
      <c r="B42" s="1077" t="s">
        <v>2431</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2408</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2432</v>
      </c>
      <c r="C44" s="780" t="e">
        <f>ROUND(POWER(1+E44,H44-G44)*(POWER(1+E44,G44)-1)/(POWER(1+E44,H44)-1),4)</f>
        <v>#DIV/0!</v>
      </c>
      <c r="D44" s="1084" t="s">
        <v>2382</v>
      </c>
      <c r="E44" s="1085">
        <f>G24</f>
        <v>0</v>
      </c>
      <c r="F44" s="1084" t="s">
        <v>2383</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2433</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2434</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2435</v>
      </c>
      <c r="B49" s="1097" t="s">
        <v>2436</v>
      </c>
      <c r="C49" s="1097" t="s">
        <v>2437</v>
      </c>
      <c r="D49" s="1097" t="s">
        <v>2438</v>
      </c>
      <c r="E49" s="1098" t="s">
        <v>2439</v>
      </c>
      <c r="F49" s="1099" t="s">
        <v>2440</v>
      </c>
      <c r="G49" s="1097" t="s">
        <v>2131</v>
      </c>
      <c r="H49" s="1100" t="s">
        <v>2441</v>
      </c>
      <c r="I49" s="1097" t="s">
        <v>2442</v>
      </c>
      <c r="J49" s="1101" t="s">
        <v>1219</v>
      </c>
      <c r="K49" s="1101" t="s">
        <v>1220</v>
      </c>
      <c r="L49" s="1101" t="s">
        <v>1221</v>
      </c>
      <c r="M49" s="1101" t="s">
        <v>1222</v>
      </c>
      <c r="N49" s="1101" t="s">
        <v>1223</v>
      </c>
      <c r="AA49" s="906"/>
      <c r="AB49" s="906"/>
      <c r="AC49" s="906"/>
      <c r="AD49" s="906"/>
      <c r="AE49" s="906"/>
      <c r="AF49" s="906"/>
      <c r="AG49" s="906"/>
      <c r="AH49" s="906"/>
      <c r="AI49" s="906"/>
      <c r="AJ49" s="906"/>
      <c r="AK49" s="906"/>
    </row>
    <row r="50" spans="1:37" s="773" customFormat="1" ht="25.2">
      <c r="A50" s="1096" t="s">
        <v>2443</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2444</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2445</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2446</v>
      </c>
      <c r="B53" s="1113" t="s">
        <v>2447</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2448</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2449</v>
      </c>
      <c r="B55" s="1114" t="s">
        <v>2450</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2451</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2452</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2453</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2454</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2435</v>
      </c>
      <c r="B60" s="1097"/>
      <c r="C60" s="1097" t="s">
        <v>2437</v>
      </c>
      <c r="D60" s="1097" t="s">
        <v>2438</v>
      </c>
      <c r="E60" s="1098" t="s">
        <v>2439</v>
      </c>
      <c r="F60" s="1099" t="s">
        <v>2455</v>
      </c>
      <c r="G60" s="1097" t="s">
        <v>2131</v>
      </c>
      <c r="H60" s="1100" t="s">
        <v>2441</v>
      </c>
      <c r="I60" s="1097" t="s">
        <v>2442</v>
      </c>
      <c r="J60" s="1101" t="s">
        <v>1219</v>
      </c>
      <c r="K60" s="1101" t="s">
        <v>1220</v>
      </c>
      <c r="L60" s="1101" t="s">
        <v>1221</v>
      </c>
      <c r="M60" s="1101" t="s">
        <v>1222</v>
      </c>
      <c r="N60" s="1101" t="s">
        <v>1223</v>
      </c>
      <c r="AA60" s="906"/>
      <c r="AB60" s="906"/>
      <c r="AC60" s="906"/>
      <c r="AD60" s="906"/>
      <c r="AE60" s="906"/>
      <c r="AF60" s="906"/>
      <c r="AG60" s="906"/>
      <c r="AH60" s="906"/>
      <c r="AI60" s="906"/>
      <c r="AJ60" s="906"/>
      <c r="AK60" s="906"/>
    </row>
    <row r="61" spans="1:37" s="773" customFormat="1" ht="24">
      <c r="A61" s="1096" t="s">
        <v>2456</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2444</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2445</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2446</v>
      </c>
      <c r="B64" s="1113" t="s">
        <v>2447</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2448</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2449</v>
      </c>
      <c r="B66" s="1114" t="s">
        <v>2450</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2451</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2452</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2453</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2457</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2435</v>
      </c>
      <c r="B71" s="1097"/>
      <c r="C71" s="1097" t="s">
        <v>2437</v>
      </c>
      <c r="D71" s="1097" t="s">
        <v>2438</v>
      </c>
      <c r="E71" s="1098" t="s">
        <v>2439</v>
      </c>
      <c r="F71" s="1099" t="s">
        <v>2455</v>
      </c>
      <c r="G71" s="1097" t="s">
        <v>2131</v>
      </c>
      <c r="H71" s="1100" t="s">
        <v>2441</v>
      </c>
      <c r="I71" s="1097" t="s">
        <v>2442</v>
      </c>
      <c r="J71" s="1101" t="s">
        <v>1219</v>
      </c>
      <c r="K71" s="1101" t="s">
        <v>1220</v>
      </c>
      <c r="L71" s="1101" t="s">
        <v>1221</v>
      </c>
      <c r="M71" s="1101" t="s">
        <v>1222</v>
      </c>
      <c r="N71" s="1101" t="s">
        <v>1223</v>
      </c>
      <c r="AA71" s="906"/>
      <c r="AB71" s="906"/>
      <c r="AC71" s="906"/>
      <c r="AD71" s="906"/>
      <c r="AE71" s="906"/>
      <c r="AF71" s="906"/>
      <c r="AG71" s="906"/>
      <c r="AH71" s="906"/>
      <c r="AI71" s="906"/>
      <c r="AJ71" s="906"/>
      <c r="AK71" s="906"/>
    </row>
    <row r="72" spans="1:37" s="773" customFormat="1" ht="26.4">
      <c r="A72" s="1096" t="s">
        <v>2458</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2444</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2445</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2459</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2451</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2452</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2449</v>
      </c>
      <c r="B78" s="1114" t="s">
        <v>2450</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2453</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2460</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2461</v>
      </c>
      <c r="B81" s="1121">
        <f>1+E83</f>
        <v>1</v>
      </c>
      <c r="C81" s="1093"/>
      <c r="D81" s="1093"/>
      <c r="E81" s="1094"/>
      <c r="F81" s="1095"/>
      <c r="G81" s="879"/>
      <c r="H81" s="879"/>
      <c r="I81" s="879"/>
      <c r="J81" s="880"/>
      <c r="K81" s="880"/>
      <c r="L81" s="880"/>
      <c r="M81" s="880"/>
      <c r="N81" s="880"/>
      <c r="Z81" s="777"/>
      <c r="AA81" s="775"/>
      <c r="AG81" s="779"/>
      <c r="AK81" s="775"/>
    </row>
    <row r="82" spans="1:37" ht="25.2">
      <c r="A82" s="1096" t="s">
        <v>2435</v>
      </c>
      <c r="B82" s="1097"/>
      <c r="C82" s="1097" t="s">
        <v>2437</v>
      </c>
      <c r="D82" s="1097" t="s">
        <v>2438</v>
      </c>
      <c r="E82" s="1098" t="s">
        <v>2439</v>
      </c>
      <c r="F82" s="1099" t="s">
        <v>2455</v>
      </c>
      <c r="G82" s="1097" t="s">
        <v>2131</v>
      </c>
      <c r="H82" s="1100" t="s">
        <v>2441</v>
      </c>
      <c r="I82" s="1097" t="s">
        <v>2442</v>
      </c>
      <c r="J82" s="1101" t="s">
        <v>1219</v>
      </c>
      <c r="K82" s="1101" t="s">
        <v>1220</v>
      </c>
      <c r="L82" s="1101" t="s">
        <v>1221</v>
      </c>
      <c r="M82" s="1101" t="s">
        <v>1222</v>
      </c>
      <c r="N82" s="1101" t="s">
        <v>1223</v>
      </c>
      <c r="Z82" s="777"/>
      <c r="AA82" s="775"/>
      <c r="AG82" s="779"/>
      <c r="AK82" s="775"/>
    </row>
    <row r="83" spans="1:37" ht="24">
      <c r="A83" s="1096" t="s">
        <v>2462</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2444</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2445</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2459</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2451</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2452</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2449</v>
      </c>
      <c r="B89" s="1114" t="s">
        <v>2463</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2464</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2435</v>
      </c>
      <c r="B92" s="908"/>
      <c r="C92" s="908" t="s">
        <v>2437</v>
      </c>
      <c r="D92" s="908" t="s">
        <v>2438</v>
      </c>
      <c r="E92" s="1134" t="s">
        <v>2439</v>
      </c>
      <c r="F92" s="1135" t="s">
        <v>2455</v>
      </c>
      <c r="G92" s="908" t="s">
        <v>2131</v>
      </c>
      <c r="H92" s="1136" t="s">
        <v>2441</v>
      </c>
      <c r="I92" s="908" t="s">
        <v>2442</v>
      </c>
      <c r="J92" s="1137" t="s">
        <v>1219</v>
      </c>
      <c r="K92" s="1137" t="s">
        <v>1220</v>
      </c>
      <c r="L92" s="1137" t="s">
        <v>1221</v>
      </c>
      <c r="M92" s="1137" t="s">
        <v>1222</v>
      </c>
      <c r="N92" s="1137" t="s">
        <v>1223</v>
      </c>
    </row>
    <row r="93" spans="1:37" ht="24">
      <c r="A93" s="1112" t="s">
        <v>2465</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2444</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2445</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2446</v>
      </c>
      <c r="B96" s="1146" t="s">
        <v>2447</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2448</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2449</v>
      </c>
      <c r="B98" s="1147" t="s">
        <v>2450</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2451</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2452</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2453</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2" t="s">
        <v>2466</v>
      </c>
      <c r="B103" s="4682"/>
      <c r="C103" s="4682"/>
      <c r="D103" s="4682"/>
      <c r="E103" s="4682"/>
      <c r="F103" s="4682"/>
      <c r="G103" s="4682"/>
      <c r="H103" s="4682"/>
      <c r="I103" s="4682"/>
      <c r="J103" s="4682"/>
      <c r="K103" s="1150"/>
      <c r="L103" s="1150"/>
      <c r="M103" s="1150"/>
      <c r="N103" s="1150"/>
    </row>
    <row r="104" spans="1:14">
      <c r="A104" s="4688" t="s">
        <v>2467</v>
      </c>
      <c r="B104" s="4688" t="s">
        <v>2468</v>
      </c>
      <c r="C104" s="1152" t="s">
        <v>2469</v>
      </c>
      <c r="D104" s="1040"/>
      <c r="E104" s="1040"/>
      <c r="F104" s="1040"/>
      <c r="G104" s="1040"/>
      <c r="H104" s="1040"/>
      <c r="I104" s="1040"/>
      <c r="J104" s="1040"/>
      <c r="K104" s="1040"/>
      <c r="L104" s="1040"/>
      <c r="M104" s="1040"/>
      <c r="N104" s="1153"/>
    </row>
    <row r="105" spans="1:14">
      <c r="A105" s="4688"/>
      <c r="B105" s="4688"/>
      <c r="C105" s="1151" t="s">
        <v>2324</v>
      </c>
      <c r="D105" s="1151" t="s">
        <v>2325</v>
      </c>
      <c r="E105" s="1151" t="s">
        <v>2326</v>
      </c>
      <c r="F105" s="1151" t="s">
        <v>2327</v>
      </c>
      <c r="G105" s="1151" t="s">
        <v>2328</v>
      </c>
      <c r="H105" s="1151" t="s">
        <v>2329</v>
      </c>
      <c r="I105" s="1151" t="s">
        <v>2330</v>
      </c>
      <c r="J105" s="1151" t="s">
        <v>2331</v>
      </c>
      <c r="K105" s="1151" t="s">
        <v>2332</v>
      </c>
      <c r="L105" s="1151" t="s">
        <v>2333</v>
      </c>
      <c r="M105" s="1151" t="s">
        <v>2334</v>
      </c>
      <c r="N105" s="1151" t="s">
        <v>2335</v>
      </c>
    </row>
    <row r="106" spans="1:14">
      <c r="A106" s="4689" t="s">
        <v>2470</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0"/>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0"/>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0"/>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0"/>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0"/>
      <c r="B111" s="1151" t="s">
        <v>2340</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1"/>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3" t="s">
        <v>2471</v>
      </c>
      <c r="B113" s="4683"/>
      <c r="C113" s="4683"/>
      <c r="D113" s="4683"/>
      <c r="E113" s="4683"/>
      <c r="F113" s="4683"/>
      <c r="G113" s="4683"/>
      <c r="H113" s="4683"/>
      <c r="I113" s="4683"/>
      <c r="J113" s="4683"/>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2472</v>
      </c>
      <c r="B116" s="1160">
        <f>G3</f>
        <v>1.6</v>
      </c>
      <c r="C116" s="1161" t="s">
        <v>2473</v>
      </c>
      <c r="D116" s="1162">
        <f>SUMPRODUCT((A118:A122=F116)*(B117:M117=H116)*B118:M122)</f>
        <v>0</v>
      </c>
      <c r="E116" s="1161" t="s">
        <v>2299</v>
      </c>
      <c r="F116" s="1163">
        <f>E2</f>
        <v>0</v>
      </c>
      <c r="G116" s="1161" t="s">
        <v>2300</v>
      </c>
      <c r="H116" s="1163">
        <f>G2</f>
        <v>0</v>
      </c>
      <c r="I116" s="1164"/>
      <c r="J116" s="1165"/>
      <c r="K116" s="1165"/>
      <c r="L116" s="1165"/>
      <c r="M116" s="1165"/>
      <c r="N116" s="1158"/>
    </row>
    <row r="117" spans="1:14">
      <c r="A117" s="1016"/>
      <c r="B117" s="1166" t="s">
        <v>2474</v>
      </c>
      <c r="C117" s="1166" t="s">
        <v>2475</v>
      </c>
      <c r="D117" s="1166" t="s">
        <v>2476</v>
      </c>
      <c r="E117" s="1166" t="s">
        <v>2477</v>
      </c>
      <c r="F117" s="1166" t="s">
        <v>2478</v>
      </c>
      <c r="G117" s="1166" t="s">
        <v>2479</v>
      </c>
      <c r="H117" s="1167" t="s">
        <v>2480</v>
      </c>
      <c r="I117" s="1167" t="s">
        <v>2481</v>
      </c>
      <c r="J117" s="1166" t="s">
        <v>2482</v>
      </c>
      <c r="K117" s="1166" t="s">
        <v>2483</v>
      </c>
      <c r="L117" s="1166" t="s">
        <v>2484</v>
      </c>
      <c r="M117" s="1168" t="s">
        <v>2485</v>
      </c>
      <c r="N117" s="1158"/>
    </row>
    <row r="118" spans="1:14">
      <c r="A118" s="1024" t="s">
        <v>2405</v>
      </c>
      <c r="B118" s="1156">
        <f>ROUND(0.9968-0.011*B116,4)</f>
        <v>0.97919999999999996</v>
      </c>
      <c r="C118" s="1156">
        <f>B118</f>
        <v>0.97919999999999996</v>
      </c>
      <c r="D118" s="1156">
        <f>ROUND(0.949-0.014*B116,4)</f>
        <v>0.92659999999999998</v>
      </c>
      <c r="E118" s="1156">
        <f>D118</f>
        <v>0.92659999999999998</v>
      </c>
      <c r="F118" s="1156">
        <f>E118</f>
        <v>0.92659999999999998</v>
      </c>
      <c r="G118" s="1156">
        <f>F118</f>
        <v>0.92659999999999998</v>
      </c>
      <c r="H118" s="1156">
        <f>G118</f>
        <v>0.92659999999999998</v>
      </c>
      <c r="I118" s="1156">
        <f>ROUND(0.8486-0.018*B116,4)</f>
        <v>0.81979999999999997</v>
      </c>
      <c r="J118" s="1156">
        <f t="shared" ref="J118:M122" si="35">I118</f>
        <v>0.81979999999999997</v>
      </c>
      <c r="K118" s="1156">
        <f t="shared" si="35"/>
        <v>0.81979999999999997</v>
      </c>
      <c r="L118" s="1156">
        <f t="shared" si="35"/>
        <v>0.81979999999999997</v>
      </c>
      <c r="M118" s="1169">
        <f t="shared" si="35"/>
        <v>0.81979999999999997</v>
      </c>
      <c r="N118" s="1158"/>
    </row>
    <row r="119" spans="1:14">
      <c r="A119" s="1024" t="s">
        <v>2406</v>
      </c>
      <c r="B119" s="1156">
        <f>ROUND(0.993-0.0112*B116,4)</f>
        <v>0.97509999999999997</v>
      </c>
      <c r="C119" s="1156">
        <f>B119</f>
        <v>0.97509999999999997</v>
      </c>
      <c r="D119" s="1156">
        <f>ROUND(0.9415-0.0142*B116,4)</f>
        <v>0.91879999999999995</v>
      </c>
      <c r="E119" s="1156">
        <f t="shared" ref="E119:H120" si="36">D119</f>
        <v>0.91879999999999995</v>
      </c>
      <c r="F119" s="1156">
        <f t="shared" si="36"/>
        <v>0.91879999999999995</v>
      </c>
      <c r="G119" s="1156">
        <f t="shared" si="36"/>
        <v>0.91879999999999995</v>
      </c>
      <c r="H119" s="1156">
        <f t="shared" si="36"/>
        <v>0.91879999999999995</v>
      </c>
      <c r="I119" s="1156">
        <f>ROUND(0.838-0.0182*B116,4)</f>
        <v>0.80889999999999995</v>
      </c>
      <c r="J119" s="1156">
        <f t="shared" si="35"/>
        <v>0.80889999999999995</v>
      </c>
      <c r="K119" s="1156">
        <f t="shared" si="35"/>
        <v>0.80889999999999995</v>
      </c>
      <c r="L119" s="1156">
        <f t="shared" si="35"/>
        <v>0.80889999999999995</v>
      </c>
      <c r="M119" s="1169">
        <f t="shared" si="35"/>
        <v>0.80889999999999995</v>
      </c>
      <c r="N119" s="1158"/>
    </row>
    <row r="120" spans="1:14">
      <c r="A120" s="1024" t="s">
        <v>2407</v>
      </c>
      <c r="B120" s="1156">
        <f>ROUND(0.9448-0.0115*B116,4)</f>
        <v>0.9264</v>
      </c>
      <c r="C120" s="1156">
        <f>B120</f>
        <v>0.9264</v>
      </c>
      <c r="D120" s="1156">
        <f>ROUND(0.937-0.0145*B116,4)</f>
        <v>0.91379999999999995</v>
      </c>
      <c r="E120" s="1156">
        <f t="shared" si="36"/>
        <v>0.91379999999999995</v>
      </c>
      <c r="F120" s="1156">
        <f t="shared" si="36"/>
        <v>0.91379999999999995</v>
      </c>
      <c r="G120" s="1156">
        <f t="shared" si="36"/>
        <v>0.91379999999999995</v>
      </c>
      <c r="H120" s="1156">
        <f t="shared" si="36"/>
        <v>0.91379999999999995</v>
      </c>
      <c r="I120" s="1156">
        <f>ROUND(0.7965-0.0185*B116,4)</f>
        <v>0.76690000000000003</v>
      </c>
      <c r="J120" s="1156">
        <f t="shared" si="35"/>
        <v>0.76690000000000003</v>
      </c>
      <c r="K120" s="1156">
        <f t="shared" si="35"/>
        <v>0.76690000000000003</v>
      </c>
      <c r="L120" s="1156">
        <f t="shared" si="35"/>
        <v>0.76690000000000003</v>
      </c>
      <c r="M120" s="1169">
        <f t="shared" si="35"/>
        <v>0.76690000000000003</v>
      </c>
      <c r="N120" s="1158"/>
    </row>
    <row r="121" spans="1:14">
      <c r="A121" s="1024" t="s">
        <v>2408</v>
      </c>
      <c r="B121" s="1156">
        <f>ROUND(0.7836-0.012*B116,4)</f>
        <v>0.76439999999999997</v>
      </c>
      <c r="C121" s="1156">
        <f>B121</f>
        <v>0.76439999999999997</v>
      </c>
      <c r="D121" s="1156">
        <f>ROUND(0.753-0.015*B116,4)</f>
        <v>0.72899999999999998</v>
      </c>
      <c r="E121" s="1156">
        <f>D121</f>
        <v>0.72899999999999998</v>
      </c>
      <c r="F121" s="1156">
        <f>E121</f>
        <v>0.72899999999999998</v>
      </c>
      <c r="G121" s="1156">
        <f>ROUND(0.6612-0.018*B116,4)</f>
        <v>0.63239999999999996</v>
      </c>
      <c r="H121" s="1156">
        <f>G121</f>
        <v>0.63239999999999996</v>
      </c>
      <c r="I121" s="1156">
        <f>ROUND(0.5905-0.019*B116,4)</f>
        <v>0.56010000000000004</v>
      </c>
      <c r="J121" s="1156">
        <f t="shared" si="35"/>
        <v>0.56010000000000004</v>
      </c>
      <c r="K121" s="1156">
        <f t="shared" si="35"/>
        <v>0.56010000000000004</v>
      </c>
      <c r="L121" s="1156">
        <f t="shared" si="35"/>
        <v>0.56010000000000004</v>
      </c>
      <c r="M121" s="1169">
        <f t="shared" si="35"/>
        <v>0.56010000000000004</v>
      </c>
      <c r="N121" s="1158"/>
    </row>
    <row r="122" spans="1:14">
      <c r="A122" s="1170" t="s">
        <v>231</v>
      </c>
      <c r="B122" s="1171">
        <f>ROUND(0.9404-0.0106*B116,4)</f>
        <v>0.9234</v>
      </c>
      <c r="C122" s="1171">
        <f>B122</f>
        <v>0.9234</v>
      </c>
      <c r="D122" s="1171">
        <f>ROUND(0.8955-0.0135*B116,4)</f>
        <v>0.87390000000000001</v>
      </c>
      <c r="E122" s="1171">
        <f t="shared" ref="E122:H122" si="37">D122</f>
        <v>0.87390000000000001</v>
      </c>
      <c r="F122" s="1171">
        <f t="shared" si="37"/>
        <v>0.87390000000000001</v>
      </c>
      <c r="G122" s="1171">
        <f t="shared" si="37"/>
        <v>0.87390000000000001</v>
      </c>
      <c r="H122" s="1171">
        <f t="shared" si="37"/>
        <v>0.87390000000000001</v>
      </c>
      <c r="I122" s="1171">
        <f>ROUND(0.7632-0.0166*B116,4)</f>
        <v>0.73660000000000003</v>
      </c>
      <c r="J122" s="1171">
        <f t="shared" si="35"/>
        <v>0.73660000000000003</v>
      </c>
      <c r="K122" s="1171">
        <f t="shared" si="35"/>
        <v>0.73660000000000003</v>
      </c>
      <c r="L122" s="1171">
        <f t="shared" si="35"/>
        <v>0.73660000000000003</v>
      </c>
      <c r="M122" s="1172">
        <f t="shared" si="35"/>
        <v>0.73660000000000003</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1117</v>
      </c>
      <c r="B2" s="549">
        <f ca="1">C34</f>
        <v>-17162</v>
      </c>
      <c r="C2" s="668" t="s">
        <v>1584</v>
      </c>
      <c r="D2" s="668"/>
      <c r="E2" s="665"/>
      <c r="F2" s="665"/>
      <c r="G2" s="665"/>
      <c r="H2" s="665"/>
      <c r="I2" s="665"/>
      <c r="J2" s="665"/>
      <c r="K2" s="665"/>
    </row>
    <row r="3" spans="1:33" ht="18" customHeight="1">
      <c r="A3" s="378" t="s">
        <v>1118</v>
      </c>
      <c r="B3" s="549">
        <f ca="1">ROUND(B2*10000/IF(C1="",'数据-汇总表'!E3,INDIRECT("'数据-取费表'!K"&amp;$K$1)),0)</f>
        <v>-6644</v>
      </c>
      <c r="C3" s="668" t="s">
        <v>1585</v>
      </c>
      <c r="D3" s="668"/>
      <c r="E3" s="665"/>
      <c r="F3" s="665"/>
      <c r="G3" s="665"/>
      <c r="H3" s="665"/>
      <c r="I3" s="665"/>
      <c r="J3" s="665"/>
      <c r="K3" s="665"/>
    </row>
    <row r="4" spans="1:33" ht="18" customHeight="1">
      <c r="A4" s="550" t="s">
        <v>1120</v>
      </c>
      <c r="B4" s="547">
        <f ca="1">ROUND(B2*10000/IF(C1="",'数据-汇总表'!D3,INDIRECT("'数据-取费表'!R"&amp;$K$1)),0)</f>
        <v>-15470</v>
      </c>
      <c r="C4" s="669" t="s">
        <v>1121</v>
      </c>
      <c r="D4" s="668"/>
      <c r="E4" s="665"/>
      <c r="F4" s="665"/>
      <c r="G4" s="665"/>
      <c r="H4" s="665"/>
      <c r="I4" s="665"/>
      <c r="J4" s="665"/>
      <c r="K4" s="665"/>
    </row>
    <row r="5" spans="1:33" ht="18" customHeight="1">
      <c r="A5" s="374"/>
      <c r="B5" s="551">
        <f ca="1">ROUND(B2/(IF(C1="",'数据-汇总表'!D3,INDIRECT("'数据-取费表'!R"&amp;$K$1))/666.67),0)</f>
        <v>-1031</v>
      </c>
      <c r="C5" s="670" t="s">
        <v>1122</v>
      </c>
      <c r="D5" s="668"/>
      <c r="E5" s="665"/>
      <c r="F5" s="665"/>
      <c r="G5" s="665"/>
      <c r="H5" s="665"/>
      <c r="I5" s="665"/>
      <c r="J5" s="665"/>
      <c r="K5" s="665"/>
    </row>
    <row r="6" spans="1:33" s="649" customFormat="1" ht="16.5" customHeight="1">
      <c r="A6" s="671" t="s">
        <v>2486</v>
      </c>
      <c r="B6" s="672"/>
      <c r="C6" s="4571" t="s">
        <v>1589</v>
      </c>
      <c r="D6" s="4571"/>
      <c r="E6" s="4571"/>
      <c r="F6" s="4571"/>
      <c r="G6" s="4571"/>
      <c r="H6" s="4571"/>
      <c r="I6" s="4571"/>
      <c r="J6" s="4571"/>
      <c r="K6" s="4572"/>
    </row>
    <row r="7" spans="1:33" s="650" customFormat="1" ht="14.4">
      <c r="A7" s="673" t="s">
        <v>1590</v>
      </c>
      <c r="B7" s="674" t="s">
        <v>1591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1010</v>
      </c>
      <c r="B8" s="679" t="s">
        <v>1592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1016</v>
      </c>
      <c r="B9" s="679" t="s">
        <v>1593</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1594</v>
      </c>
      <c r="B10" s="686" t="s">
        <v>1410</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3" t="s">
        <v>2487</v>
      </c>
      <c r="B11" s="4694"/>
      <c r="C11" s="4694"/>
      <c r="D11" s="4694"/>
      <c r="E11" s="4694"/>
      <c r="F11" s="4694"/>
      <c r="G11" s="4694"/>
      <c r="H11" s="4694"/>
      <c r="I11" s="4694"/>
      <c r="J11" s="4694"/>
      <c r="K11" s="4695"/>
    </row>
    <row r="12" spans="1:33" s="653" customFormat="1" ht="13.5" customHeight="1">
      <c r="A12" s="691" t="s">
        <v>999</v>
      </c>
      <c r="B12" s="692" t="s">
        <v>1591</v>
      </c>
      <c r="C12" s="693" t="s">
        <v>1410</v>
      </c>
      <c r="D12" s="692" t="s">
        <v>1597</v>
      </c>
      <c r="E12" s="692" t="s">
        <v>1598</v>
      </c>
      <c r="F12" s="692" t="s">
        <v>1599</v>
      </c>
      <c r="G12" s="694" t="s">
        <v>1414</v>
      </c>
      <c r="H12" s="695"/>
      <c r="I12" s="695"/>
      <c r="J12" s="695"/>
      <c r="K12" s="696"/>
    </row>
    <row r="13" spans="1:33" s="654" customFormat="1" ht="13.5" customHeight="1">
      <c r="A13" s="673">
        <v>1</v>
      </c>
      <c r="B13" s="697" t="s">
        <v>2488</v>
      </c>
      <c r="C13" s="698">
        <f>SUM(C10:K10)</f>
        <v>0</v>
      </c>
      <c r="D13" s="699"/>
      <c r="E13" s="699"/>
      <c r="F13" s="700"/>
      <c r="G13" s="701"/>
      <c r="H13" s="702"/>
      <c r="I13" s="702"/>
      <c r="J13" s="702"/>
      <c r="K13" s="703"/>
    </row>
    <row r="14" spans="1:33" s="654" customFormat="1" ht="13.5" customHeight="1">
      <c r="A14" s="673">
        <v>2</v>
      </c>
      <c r="B14" s="704" t="s">
        <v>2489</v>
      </c>
      <c r="C14" s="698">
        <v>0</v>
      </c>
      <c r="D14" s="704"/>
      <c r="E14" s="704"/>
      <c r="F14" s="705">
        <v>0</v>
      </c>
      <c r="G14" s="706" t="s">
        <v>2490</v>
      </c>
      <c r="H14" s="702"/>
      <c r="I14" s="702"/>
      <c r="J14" s="702"/>
      <c r="K14" s="703"/>
    </row>
    <row r="15" spans="1:33" s="655" customFormat="1" ht="13.5" customHeight="1">
      <c r="A15" s="673">
        <v>3</v>
      </c>
      <c r="B15" s="707" t="s">
        <v>2491</v>
      </c>
      <c r="C15" s="593">
        <f ca="1">C32-C33</f>
        <v>17162</v>
      </c>
      <c r="D15" s="707"/>
      <c r="E15" s="708"/>
      <c r="F15" s="709"/>
      <c r="G15" s="710" t="s">
        <v>1506</v>
      </c>
      <c r="H15" s="711"/>
      <c r="I15" s="711"/>
      <c r="J15" s="711"/>
      <c r="K15" s="712"/>
    </row>
    <row r="16" spans="1:33" s="655" customFormat="1" ht="13.5" customHeight="1">
      <c r="A16" s="713" t="s">
        <v>2389</v>
      </c>
      <c r="B16" s="714" t="s">
        <v>1487</v>
      </c>
      <c r="C16" s="715">
        <f ca="1">SUM(C17:C22)</f>
        <v>13759</v>
      </c>
      <c r="D16" s="714"/>
      <c r="E16" s="714"/>
      <c r="F16" s="716"/>
      <c r="G16" s="717"/>
      <c r="H16" s="702"/>
      <c r="I16" s="702"/>
      <c r="J16" s="702"/>
      <c r="K16" s="703"/>
    </row>
    <row r="17" spans="1:33" s="655" customFormat="1" ht="13.5" customHeight="1">
      <c r="A17" s="718" t="s">
        <v>2492</v>
      </c>
      <c r="B17" s="719" t="s">
        <v>1426</v>
      </c>
      <c r="C17" s="720">
        <f ca="1">IF(C1="",'数据-取费表'!M16,INDIRECT("'数据-取费表'!M"&amp;$K$1)+INDIRECT("'数据-取费表'!ap"&amp;$K$1))</f>
        <v>12052</v>
      </c>
      <c r="D17" s="721"/>
      <c r="E17" s="722"/>
      <c r="F17" s="723"/>
      <c r="G17" s="724"/>
      <c r="H17" s="702"/>
      <c r="I17" s="702"/>
      <c r="J17" s="702"/>
      <c r="K17" s="703"/>
    </row>
    <row r="18" spans="1:33" s="655" customFormat="1" ht="13.5" customHeight="1">
      <c r="A18" s="718" t="s">
        <v>2493</v>
      </c>
      <c r="B18" s="725" t="s">
        <v>1428</v>
      </c>
      <c r="C18" s="720">
        <f ca="1">ROUND(C17*F18,0)</f>
        <v>362</v>
      </c>
      <c r="D18" s="714"/>
      <c r="E18" s="714"/>
      <c r="F18" s="726">
        <f>'数据-取费表'!B33</f>
        <v>0.03</v>
      </c>
      <c r="G18" s="717"/>
      <c r="H18" s="702"/>
      <c r="I18" s="702"/>
      <c r="J18" s="702"/>
      <c r="K18" s="703"/>
    </row>
    <row r="19" spans="1:33" s="655" customFormat="1" ht="13.5" customHeight="1">
      <c r="A19" s="718" t="s">
        <v>2494</v>
      </c>
      <c r="B19" s="727" t="s">
        <v>1431</v>
      </c>
      <c r="C19" s="720">
        <f ca="1">ROUND(IF(C1="",SUMIF('数据-取费表'!C:C,"住宅",'数据-取费表'!M:M)*F19,IF(INDIRECT("'数据-取费表'!c"&amp;$K$1)="住宅",INDIRECT("'数据-取费表'!M"&amp;$K$1)*F19,0)),0)</f>
        <v>406</v>
      </c>
      <c r="D19" s="728"/>
      <c r="E19" s="728"/>
      <c r="F19" s="726">
        <f>'数据-取费表'!B34</f>
        <v>0.05</v>
      </c>
      <c r="G19" s="729"/>
      <c r="H19" s="702"/>
      <c r="I19" s="702"/>
      <c r="J19" s="702"/>
      <c r="K19" s="703"/>
    </row>
    <row r="20" spans="1:33" s="655" customFormat="1" ht="13.5" customHeight="1">
      <c r="A20" s="718" t="s">
        <v>2495</v>
      </c>
      <c r="B20" s="727" t="s">
        <v>2496</v>
      </c>
      <c r="C20" s="720">
        <f ca="1">ROUND(D20*E20/10000,0)</f>
        <v>517</v>
      </c>
      <c r="D20" s="730">
        <f ca="1">IF(C1="",'数据-汇总表'!E3,INDIRECT("'数据-取费表'!K"&amp;$K$1)+INDIRECT("'数据-取费表'!S"&amp;$K$1))</f>
        <v>25832.71</v>
      </c>
      <c r="E20" s="731">
        <f>'数据-取费表'!B35</f>
        <v>200</v>
      </c>
      <c r="F20" s="730"/>
      <c r="G20" s="729"/>
      <c r="H20" s="702"/>
      <c r="I20" s="702"/>
      <c r="J20" s="711"/>
      <c r="K20" s="712"/>
    </row>
    <row r="21" spans="1:33" s="655" customFormat="1" ht="13.5" customHeight="1">
      <c r="A21" s="718" t="s">
        <v>2497</v>
      </c>
      <c r="B21" s="732" t="s">
        <v>1450</v>
      </c>
      <c r="C21" s="720">
        <f ca="1">ROUND(C17*F21,0)</f>
        <v>181</v>
      </c>
      <c r="D21" s="728"/>
      <c r="E21" s="728"/>
      <c r="F21" s="726">
        <f>'数据-取费表'!B36</f>
        <v>1.4999999999999999E-2</v>
      </c>
      <c r="G21" s="729"/>
      <c r="H21" s="733"/>
      <c r="I21" s="733"/>
      <c r="J21" s="733"/>
      <c r="K21" s="734"/>
    </row>
    <row r="22" spans="1:33" s="655" customFormat="1" ht="13.5" customHeight="1">
      <c r="A22" s="718" t="s">
        <v>2498</v>
      </c>
      <c r="B22" s="732" t="s">
        <v>1453</v>
      </c>
      <c r="C22" s="720">
        <f ca="1">ROUND(C17*F22,0)</f>
        <v>241</v>
      </c>
      <c r="D22" s="728"/>
      <c r="E22" s="728"/>
      <c r="F22" s="726">
        <f>'数据-取费表'!B37</f>
        <v>0.02</v>
      </c>
      <c r="G22" s="729"/>
      <c r="H22" s="733"/>
      <c r="I22" s="733"/>
      <c r="J22" s="733"/>
      <c r="K22" s="734"/>
    </row>
    <row r="23" spans="1:33" s="656" customFormat="1" ht="13.5" customHeight="1">
      <c r="A23" s="713" t="s">
        <v>2394</v>
      </c>
      <c r="B23" s="714" t="s">
        <v>1654</v>
      </c>
      <c r="C23" s="735">
        <f ca="1">ROUND(C16*F23,0)</f>
        <v>275</v>
      </c>
      <c r="D23" s="736"/>
      <c r="E23" s="736"/>
      <c r="F23" s="737">
        <f>'数据-取费表'!B38</f>
        <v>0.02</v>
      </c>
      <c r="G23" s="738" t="s">
        <v>2499</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2500</v>
      </c>
      <c r="B24" s="714" t="s">
        <v>1657</v>
      </c>
      <c r="C24" s="735" t="str">
        <f>F24&amp;"V建"</f>
        <v>0.03V建</v>
      </c>
      <c r="D24" s="736"/>
      <c r="E24" s="736"/>
      <c r="F24" s="737">
        <f>'数据-取费表'!B39</f>
        <v>0.03</v>
      </c>
      <c r="G24" s="738" t="s">
        <v>2501</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2502</v>
      </c>
      <c r="B25" s="714" t="s">
        <v>1461</v>
      </c>
      <c r="C25" s="739" t="str">
        <f ca="1">C26&amp;"+"&amp;C27&amp;"V建"</f>
        <v>562+0.0008V建</v>
      </c>
      <c r="D25" s="740"/>
      <c r="E25" s="740"/>
      <c r="F25" s="726">
        <f ca="1">'数据-取费表'!B41</f>
        <v>3.1899999999999998E-2</v>
      </c>
      <c r="G25" s="741" t="s">
        <v>2503</v>
      </c>
      <c r="H25" s="742"/>
      <c r="I25" s="742"/>
      <c r="J25" s="742"/>
      <c r="K25" s="743"/>
    </row>
    <row r="26" spans="1:33" s="656" customFormat="1" ht="13.5" customHeight="1">
      <c r="A26" s="718" t="s">
        <v>2492</v>
      </c>
      <c r="B26" s="732" t="s">
        <v>2504</v>
      </c>
      <c r="C26" s="739">
        <f ca="1">ROUND(IF('数据-取费表'!B20&lt;=1,(C16+C23)*F25*'数据-取费表'!B20/2,(C23+C16)*(POWER((1+F25),'数据-取费表'!B20/2)-1)),0)</f>
        <v>562</v>
      </c>
      <c r="D26" s="740"/>
      <c r="E26" s="740"/>
      <c r="F26" s="730"/>
      <c r="G26" s="741" t="s">
        <v>2505</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2493</v>
      </c>
      <c r="B27" s="732" t="s">
        <v>2506</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1620</v>
      </c>
      <c r="B28" s="714" t="s">
        <v>1469</v>
      </c>
      <c r="C28" s="747" t="str">
        <f ca="1">C29&amp;"+"&amp;C30&amp;"V建"</f>
        <v>1965+0.0042V建</v>
      </c>
      <c r="D28" s="748"/>
      <c r="E28" s="748"/>
      <c r="F28" s="749">
        <f ca="1">IF(C1="",'数据-取费表'!Q16,INDIRECT("'数据-取费表'!q"&amp;$K$1))</f>
        <v>0.14000000000000001</v>
      </c>
      <c r="G28" s="4696" t="s">
        <v>2507</v>
      </c>
      <c r="H28" s="702"/>
      <c r="I28" s="702"/>
      <c r="J28" s="702"/>
      <c r="K28" s="703"/>
    </row>
    <row r="29" spans="1:33" s="655" customFormat="1" ht="13.5" customHeight="1">
      <c r="A29" s="718" t="s">
        <v>2492</v>
      </c>
      <c r="B29" s="732" t="s">
        <v>2508</v>
      </c>
      <c r="C29" s="750">
        <f ca="1">ROUND((C16+C23)*F28,0)</f>
        <v>1965</v>
      </c>
      <c r="D29" s="748"/>
      <c r="E29" s="748"/>
      <c r="F29" s="751"/>
      <c r="G29" s="4696"/>
      <c r="H29" s="752"/>
      <c r="I29" s="752"/>
      <c r="J29" s="752"/>
      <c r="K29" s="753"/>
    </row>
    <row r="30" spans="1:33" s="657" customFormat="1" ht="13.5" customHeight="1">
      <c r="A30" s="718" t="s">
        <v>2493</v>
      </c>
      <c r="B30" s="732" t="s">
        <v>2509</v>
      </c>
      <c r="C30" s="720">
        <f ca="1">ROUND(F24*F28,4)</f>
        <v>4.1999999999999997E-3</v>
      </c>
      <c r="D30" s="754"/>
      <c r="E30" s="740"/>
      <c r="F30" s="730"/>
      <c r="G30" s="755"/>
      <c r="H30" s="711"/>
      <c r="I30" s="711"/>
      <c r="J30" s="711"/>
      <c r="K30" s="712"/>
    </row>
    <row r="31" spans="1:33" s="657" customFormat="1" ht="13.5" customHeight="1">
      <c r="A31" s="713" t="s">
        <v>1621</v>
      </c>
      <c r="B31" s="714" t="s">
        <v>1656</v>
      </c>
      <c r="C31" s="720">
        <v>0</v>
      </c>
      <c r="D31" s="756"/>
      <c r="E31" s="757"/>
      <c r="F31" s="730"/>
      <c r="G31" s="758" t="s">
        <v>1498</v>
      </c>
      <c r="H31" s="711"/>
      <c r="I31" s="711"/>
      <c r="J31" s="711"/>
      <c r="K31" s="712"/>
    </row>
    <row r="32" spans="1:33" s="655" customFormat="1" ht="13.5" customHeight="1">
      <c r="A32" s="713" t="s">
        <v>1499</v>
      </c>
      <c r="B32" s="714" t="s">
        <v>2510</v>
      </c>
      <c r="C32" s="715">
        <f ca="1">ROUND((C16+C23+C26+C29)/(1-F24-C27-C30),0)</f>
        <v>17162</v>
      </c>
      <c r="D32" s="756"/>
      <c r="E32" s="757"/>
      <c r="F32" s="730"/>
      <c r="G32" s="759" t="s">
        <v>1501</v>
      </c>
      <c r="H32" s="760"/>
      <c r="I32" s="760"/>
      <c r="J32" s="760"/>
      <c r="K32" s="761"/>
    </row>
    <row r="33" spans="1:11" s="658" customFormat="1" ht="13.5" customHeight="1">
      <c r="A33" s="713" t="s">
        <v>1502</v>
      </c>
      <c r="B33" s="762" t="s">
        <v>1476</v>
      </c>
      <c r="C33" s="763">
        <f ca="1">ROUND(C32*(1-F33),0)</f>
        <v>0</v>
      </c>
      <c r="D33" s="764"/>
      <c r="E33" s="745"/>
      <c r="F33" s="737">
        <f>IF('数据-取费表'!B24=0,'数据-取费表'!N16,1)</f>
        <v>1</v>
      </c>
      <c r="G33" s="710" t="s">
        <v>1503</v>
      </c>
      <c r="H33" s="752"/>
      <c r="I33" s="752"/>
      <c r="J33" s="752"/>
      <c r="K33" s="753"/>
    </row>
    <row r="34" spans="1:11" s="654" customFormat="1" ht="15.6">
      <c r="A34" s="765">
        <v>4</v>
      </c>
      <c r="B34" s="766" t="s">
        <v>2511</v>
      </c>
      <c r="C34" s="767">
        <f ca="1">C13-C15</f>
        <v>-17162</v>
      </c>
      <c r="D34" s="766"/>
      <c r="E34" s="766"/>
      <c r="F34" s="768"/>
      <c r="G34" s="769" t="s">
        <v>2512</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1117</v>
      </c>
      <c r="B2" s="547">
        <f ca="1">C34</f>
        <v>1180</v>
      </c>
      <c r="C2" s="374" t="s">
        <v>1409</v>
      </c>
      <c r="D2" s="374"/>
      <c r="E2" s="548"/>
      <c r="F2" s="374"/>
      <c r="G2" s="374"/>
    </row>
    <row r="3" spans="1:7" s="363" customFormat="1" ht="15.6">
      <c r="A3" s="378" t="s">
        <v>1118</v>
      </c>
      <c r="B3" s="549">
        <f ca="1">ROUND(B2*10000/(IF(C1="",'数据-汇总表'!E3,INDIRECT("'数据-取费表'!k"&amp;$G$1))),0)</f>
        <v>457</v>
      </c>
      <c r="C3" s="374" t="s">
        <v>1121</v>
      </c>
      <c r="D3" s="374"/>
      <c r="E3" s="548"/>
      <c r="F3" s="374"/>
      <c r="G3" s="374"/>
    </row>
    <row r="4" spans="1:7" s="363" customFormat="1" ht="15.6">
      <c r="A4" s="550" t="s">
        <v>1120</v>
      </c>
      <c r="B4" s="547">
        <f ca="1">ROUND(B2*10000/'数据-汇总表'!D3,0)</f>
        <v>1064</v>
      </c>
      <c r="C4" s="375" t="s">
        <v>1121</v>
      </c>
      <c r="D4" s="374"/>
      <c r="E4" s="548"/>
      <c r="F4" s="374"/>
      <c r="G4" s="374"/>
    </row>
    <row r="5" spans="1:7" s="363" customFormat="1" ht="15.6">
      <c r="A5" s="374"/>
      <c r="B5" s="551">
        <f ca="1">ROUND(B2/('数据-汇总表'!D3/666.67),0)</f>
        <v>71</v>
      </c>
      <c r="C5" s="552" t="s">
        <v>1122</v>
      </c>
      <c r="D5" s="374"/>
      <c r="E5" s="548"/>
      <c r="F5" s="374"/>
      <c r="G5" s="374"/>
    </row>
    <row r="6" spans="1:7" s="363" customFormat="1" ht="15.6">
      <c r="A6" s="553" t="s">
        <v>999</v>
      </c>
      <c r="B6" s="554" t="s">
        <v>1000</v>
      </c>
      <c r="C6" s="555" t="s">
        <v>1410</v>
      </c>
      <c r="D6" s="556" t="s">
        <v>1411</v>
      </c>
      <c r="E6" s="557" t="s">
        <v>1412</v>
      </c>
      <c r="F6" s="557" t="s">
        <v>1413</v>
      </c>
      <c r="G6" s="558" t="s">
        <v>1414</v>
      </c>
    </row>
    <row r="7" spans="1:7" s="364" customFormat="1" ht="15.6">
      <c r="A7" s="559" t="s">
        <v>1415</v>
      </c>
      <c r="B7" s="560" t="s">
        <v>2513</v>
      </c>
      <c r="C7" s="561">
        <f>IF(G7="征收国有地",C8,IF(G7="征收集体地",C11,C17))</f>
        <v>0</v>
      </c>
      <c r="D7" s="562"/>
      <c r="E7" s="562"/>
      <c r="F7" s="562"/>
      <c r="G7" s="563"/>
    </row>
    <row r="8" spans="1:7" s="365" customFormat="1">
      <c r="A8" s="564" t="s">
        <v>1518</v>
      </c>
      <c r="B8" s="565" t="s">
        <v>2514</v>
      </c>
      <c r="C8" s="566">
        <f>C9+C10</f>
        <v>0</v>
      </c>
      <c r="D8" s="567"/>
      <c r="E8" s="567"/>
      <c r="F8" s="567"/>
      <c r="G8" s="568"/>
    </row>
    <row r="9" spans="1:7" s="365" customFormat="1">
      <c r="A9" s="569" t="s">
        <v>1420</v>
      </c>
      <c r="B9" s="405" t="s">
        <v>2515</v>
      </c>
      <c r="C9" s="570">
        <f>ROUND(D9*E9/10000,0)</f>
        <v>0</v>
      </c>
      <c r="D9" s="571"/>
      <c r="E9" s="571"/>
      <c r="F9" s="567"/>
      <c r="G9" s="572"/>
    </row>
    <row r="10" spans="1:7" s="365" customFormat="1">
      <c r="A10" s="569" t="s">
        <v>1422</v>
      </c>
      <c r="B10" s="405" t="s">
        <v>2516</v>
      </c>
      <c r="C10" s="570">
        <f>ROUND(D10*E10/10000,0)</f>
        <v>0</v>
      </c>
      <c r="D10" s="571"/>
      <c r="E10" s="571"/>
      <c r="F10" s="567"/>
      <c r="G10" s="572"/>
    </row>
    <row r="11" spans="1:7" s="365" customFormat="1" ht="14.4">
      <c r="A11" s="573" t="s">
        <v>1424</v>
      </c>
      <c r="B11" s="574" t="s">
        <v>2517</v>
      </c>
      <c r="C11" s="421">
        <f>C12+C15+C16</f>
        <v>0</v>
      </c>
      <c r="D11" s="567"/>
      <c r="E11" s="567"/>
      <c r="F11" s="567"/>
      <c r="G11" s="572"/>
    </row>
    <row r="12" spans="1:7" s="365" customFormat="1">
      <c r="A12" s="569" t="s">
        <v>1420</v>
      </c>
      <c r="B12" s="405" t="s">
        <v>2518</v>
      </c>
      <c r="C12" s="405">
        <f>C13+C14</f>
        <v>0</v>
      </c>
      <c r="D12" s="575"/>
      <c r="E12" s="575"/>
      <c r="F12" s="567"/>
      <c r="G12" s="576" t="s">
        <v>2519</v>
      </c>
    </row>
    <row r="13" spans="1:7" s="365" customFormat="1">
      <c r="A13" s="577" t="s">
        <v>1435</v>
      </c>
      <c r="B13" s="578" t="s">
        <v>2520</v>
      </c>
      <c r="C13" s="570">
        <f>ROUND(D13*E13/10000,0)</f>
        <v>0</v>
      </c>
      <c r="D13" s="571"/>
      <c r="E13" s="571"/>
      <c r="F13" s="567"/>
      <c r="G13" s="579" t="s">
        <v>2521</v>
      </c>
    </row>
    <row r="14" spans="1:7" s="365" customFormat="1">
      <c r="A14" s="577" t="s">
        <v>1444</v>
      </c>
      <c r="B14" s="578" t="s">
        <v>2522</v>
      </c>
      <c r="C14" s="571">
        <v>0</v>
      </c>
      <c r="D14" s="575"/>
      <c r="E14" s="575"/>
      <c r="F14" s="567"/>
      <c r="G14" s="579"/>
    </row>
    <row r="15" spans="1:7" s="365" customFormat="1">
      <c r="A15" s="569" t="s">
        <v>1422</v>
      </c>
      <c r="B15" s="405" t="s">
        <v>2523</v>
      </c>
      <c r="C15" s="570">
        <f t="shared" ref="C15" si="0">ROUND(D15*E15/10000,0)</f>
        <v>0</v>
      </c>
      <c r="D15" s="571"/>
      <c r="E15" s="571"/>
      <c r="F15" s="567"/>
      <c r="G15" s="579" t="s">
        <v>2524</v>
      </c>
    </row>
    <row r="16" spans="1:7" s="365" customFormat="1">
      <c r="A16" s="569" t="s">
        <v>2525</v>
      </c>
      <c r="B16" s="580" t="s">
        <v>2526</v>
      </c>
      <c r="C16" s="570">
        <f>C13*F16</f>
        <v>0</v>
      </c>
      <c r="D16" s="571"/>
      <c r="E16" s="571"/>
      <c r="F16" s="581">
        <v>0.25</v>
      </c>
      <c r="G16" s="582" t="s">
        <v>2527</v>
      </c>
    </row>
    <row r="17" spans="1:9" s="365" customFormat="1" ht="14.4">
      <c r="A17" s="573" t="s">
        <v>2349</v>
      </c>
      <c r="B17" s="565" t="s">
        <v>2528</v>
      </c>
      <c r="C17" s="583">
        <f>C18+C19</f>
        <v>0</v>
      </c>
      <c r="D17" s="584"/>
      <c r="E17" s="585"/>
      <c r="F17" s="586"/>
      <c r="G17" s="587"/>
    </row>
    <row r="18" spans="1:9" s="365" customFormat="1">
      <c r="A18" s="588" t="s">
        <v>1420</v>
      </c>
      <c r="B18" s="580" t="s">
        <v>1421</v>
      </c>
      <c r="C18" s="589"/>
      <c r="D18" s="590"/>
      <c r="E18" s="585"/>
      <c r="F18" s="591"/>
      <c r="G18" s="592" t="s">
        <v>2529</v>
      </c>
    </row>
    <row r="19" spans="1:9" s="365" customFormat="1">
      <c r="A19" s="588" t="s">
        <v>1422</v>
      </c>
      <c r="B19" s="580" t="s">
        <v>1423</v>
      </c>
      <c r="C19" s="583">
        <f>ROUND(C18*F19,0)</f>
        <v>0</v>
      </c>
      <c r="D19" s="584"/>
      <c r="E19" s="585"/>
      <c r="F19" s="586">
        <f>IF(项目基本情况!B8="出让",0,'数据-取费表'!B49+'数据-取费表'!B50)</f>
        <v>3.0499999999999999E-2</v>
      </c>
      <c r="G19" s="587"/>
    </row>
    <row r="20" spans="1:9" s="542" customFormat="1" ht="15.6">
      <c r="A20" s="559" t="s">
        <v>1364</v>
      </c>
      <c r="B20" s="560" t="s">
        <v>2530</v>
      </c>
      <c r="C20" s="593">
        <f ca="1">C21+C24+C25</f>
        <v>1034</v>
      </c>
      <c r="D20" s="594"/>
      <c r="E20" s="595"/>
      <c r="F20" s="596"/>
      <c r="G20" s="597"/>
    </row>
    <row r="21" spans="1:9" s="366" customFormat="1" ht="14.4">
      <c r="A21" s="598" t="s">
        <v>1418</v>
      </c>
      <c r="B21" s="599" t="s">
        <v>1436</v>
      </c>
      <c r="C21" s="566">
        <f>IF(G21="已包含在土地购买价格中","0",IF(C1="",'数据-取费表'!B29,IF(G22="全部缴纳",C22+C23,H22)))</f>
        <v>0</v>
      </c>
      <c r="D21" s="600"/>
      <c r="E21" s="601"/>
      <c r="F21" s="602"/>
      <c r="G21" s="603"/>
    </row>
    <row r="22" spans="1:9" s="365" customFormat="1">
      <c r="A22" s="604" t="s">
        <v>2492</v>
      </c>
      <c r="B22" s="605" t="s">
        <v>1439</v>
      </c>
      <c r="C22" s="606">
        <f ca="1">ROUND(D22*E22/10000,0)</f>
        <v>227</v>
      </c>
      <c r="D22" s="607">
        <f ca="1">IF(C1="",'数据-汇总表'!E5,IF(INDIRECT("'数据-取费表'!c"&amp;$G$1)="住宅",INDIRECT("'数据-取费表'!k"&amp;$G$1),0))</f>
        <v>16229.82</v>
      </c>
      <c r="E22" s="607">
        <f>'数据-取费表'!B27</f>
        <v>140</v>
      </c>
      <c r="F22" s="586"/>
      <c r="G22" s="608"/>
      <c r="H22" s="609"/>
      <c r="I22" s="610" t="s">
        <v>1441</v>
      </c>
    </row>
    <row r="23" spans="1:9" s="365" customFormat="1">
      <c r="A23" s="604" t="s">
        <v>2493</v>
      </c>
      <c r="B23" s="605" t="s">
        <v>1443</v>
      </c>
      <c r="C23" s="606">
        <f ca="1">ROUND(D23*E23/10000,0)</f>
        <v>163</v>
      </c>
      <c r="D23" s="607">
        <f ca="1">IF(C1="",'数据-汇总表'!E6,IF(INDIRECT("'数据-取费表'!c"&amp;$G$1)="住宅",INDIRECT("'数据-取费表'!s"&amp;$G$1),INDIRECT("'数据-取费表'!k"&amp;$G$1)+INDIRECT("'数据-取费表'!s"&amp;$G$1)))</f>
        <v>9602.89</v>
      </c>
      <c r="E23" s="607">
        <f>'数据-取费表'!B28</f>
        <v>170</v>
      </c>
      <c r="F23" s="586"/>
      <c r="G23" s="611"/>
    </row>
    <row r="24" spans="1:9" s="365" customFormat="1" ht="14.4">
      <c r="A24" s="573" t="s">
        <v>1424</v>
      </c>
      <c r="B24" s="612" t="s">
        <v>1540</v>
      </c>
      <c r="C24" s="566">
        <f ca="1">IF(G24="已包含在土地取得成本中","0",ROUND(D24*E24/10000,0))</f>
        <v>517</v>
      </c>
      <c r="D24" s="613">
        <f ca="1">D22+D23</f>
        <v>25832.71</v>
      </c>
      <c r="E24" s="613">
        <f>'数据-取费表'!B31</f>
        <v>200</v>
      </c>
      <c r="F24" s="614"/>
      <c r="G24" s="603"/>
    </row>
    <row r="25" spans="1:9" s="365" customFormat="1" ht="14.4">
      <c r="A25" s="573" t="s">
        <v>2349</v>
      </c>
      <c r="B25" s="612" t="s">
        <v>2531</v>
      </c>
      <c r="C25" s="566">
        <f ca="1">ROUND(E25*D25/10000,0)</f>
        <v>517</v>
      </c>
      <c r="D25" s="613">
        <f ca="1">D24</f>
        <v>25832.71</v>
      </c>
      <c r="E25" s="613">
        <f>'数据-取费表'!B35</f>
        <v>200</v>
      </c>
      <c r="F25" s="602"/>
      <c r="G25" s="615"/>
    </row>
    <row r="26" spans="1:9" s="364" customFormat="1" ht="15.6">
      <c r="A26" s="559" t="s">
        <v>1478</v>
      </c>
      <c r="B26" s="560" t="s">
        <v>2532</v>
      </c>
      <c r="C26" s="547">
        <f>C27+C28</f>
        <v>0</v>
      </c>
      <c r="D26" s="616"/>
      <c r="E26" s="616"/>
      <c r="F26" s="602"/>
      <c r="G26" s="617"/>
    </row>
    <row r="27" spans="1:9" s="365" customFormat="1">
      <c r="A27" s="564" t="s">
        <v>1518</v>
      </c>
      <c r="B27" s="618" t="s">
        <v>2533</v>
      </c>
      <c r="C27" s="566">
        <f>ROUND(E27*D27/10000,0)</f>
        <v>0</v>
      </c>
      <c r="D27" s="619"/>
      <c r="E27" s="620">
        <v>25</v>
      </c>
      <c r="F27" s="602"/>
      <c r="G27" s="582" t="s">
        <v>2534</v>
      </c>
    </row>
    <row r="28" spans="1:9" s="365" customFormat="1">
      <c r="A28" s="621" t="s">
        <v>1424</v>
      </c>
      <c r="B28" s="618" t="s">
        <v>2535</v>
      </c>
      <c r="C28" s="566">
        <f>ROUND(E28*D28/10000,0)</f>
        <v>0</v>
      </c>
      <c r="D28" s="619"/>
      <c r="E28" s="620">
        <v>60.1</v>
      </c>
      <c r="F28" s="602"/>
      <c r="G28" s="582" t="s">
        <v>2536</v>
      </c>
    </row>
    <row r="29" spans="1:9" s="542" customFormat="1" ht="15.6">
      <c r="A29" s="559" t="s">
        <v>1722</v>
      </c>
      <c r="B29" s="560" t="s">
        <v>2052</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1729</v>
      </c>
      <c r="B30" s="560" t="s">
        <v>1659</v>
      </c>
      <c r="C30" s="627">
        <f ca="1">ROUND((C7+C20+C26)*F30,0)</f>
        <v>145</v>
      </c>
      <c r="D30" s="623"/>
      <c r="E30" s="624"/>
      <c r="F30" s="628">
        <f ca="1">IF(C1="",'数据-取费表'!Q16,INDIRECT("'数据-取费表'!q"&amp;$G$1))</f>
        <v>0.14000000000000001</v>
      </c>
      <c r="G30" s="626"/>
    </row>
    <row r="31" spans="1:9" s="365" customFormat="1" ht="15.6">
      <c r="A31" s="629" t="s">
        <v>1734</v>
      </c>
      <c r="B31" s="560" t="s">
        <v>2537</v>
      </c>
      <c r="C31" s="561">
        <f ca="1">C7+C20+C29+C30</f>
        <v>1179</v>
      </c>
      <c r="D31" s="630"/>
      <c r="E31" s="630"/>
      <c r="F31" s="631"/>
      <c r="G31" s="632" t="s">
        <v>2538</v>
      </c>
    </row>
    <row r="32" spans="1:9" s="365" customFormat="1" ht="15.6">
      <c r="A32" s="629" t="s">
        <v>2539</v>
      </c>
      <c r="B32" s="560" t="s">
        <v>2540</v>
      </c>
      <c r="C32" s="633">
        <f ca="1">ROUND(C31*F32,0)</f>
        <v>118</v>
      </c>
      <c r="D32" s="411"/>
      <c r="E32" s="412"/>
      <c r="F32" s="634">
        <v>0.1</v>
      </c>
      <c r="G32" s="635"/>
    </row>
    <row r="33" spans="1:14" s="365" customFormat="1" ht="15.6">
      <c r="A33" s="636">
        <v>8</v>
      </c>
      <c r="B33" s="560" t="s">
        <v>2541</v>
      </c>
      <c r="C33" s="561">
        <f ca="1">C31+C32</f>
        <v>1297</v>
      </c>
      <c r="D33" s="630"/>
      <c r="E33" s="630"/>
      <c r="F33" s="637"/>
      <c r="G33" s="632" t="s">
        <v>2542</v>
      </c>
    </row>
    <row r="34" spans="1:14" s="366" customFormat="1" ht="15.6">
      <c r="A34" s="638">
        <v>9</v>
      </c>
      <c r="B34" s="639" t="s">
        <v>2543</v>
      </c>
      <c r="C34" s="561">
        <f ca="1">ROUND(C33*F34,0)</f>
        <v>1180</v>
      </c>
      <c r="D34" s="640"/>
      <c r="E34" s="640"/>
      <c r="F34" s="641">
        <f>'数据-取费表'!AS16</f>
        <v>0.91</v>
      </c>
      <c r="G34" s="632" t="s">
        <v>2544</v>
      </c>
    </row>
    <row r="35" spans="1:14" s="365" customFormat="1"/>
    <row r="36" spans="1:14" s="365" customFormat="1"/>
    <row r="41" spans="1:14">
      <c r="J41" s="642" t="s">
        <v>2545</v>
      </c>
    </row>
    <row r="42" spans="1:14">
      <c r="J42" s="642" t="s">
        <v>2546</v>
      </c>
    </row>
    <row r="43" spans="1:14">
      <c r="J43" s="643" t="s">
        <v>2547</v>
      </c>
      <c r="K43" s="643"/>
      <c r="L43" s="644"/>
      <c r="M43" s="644"/>
      <c r="N43" s="644"/>
    </row>
    <row r="44" spans="1:14" ht="26.4">
      <c r="J44" s="4704" t="s">
        <v>2548</v>
      </c>
      <c r="K44" s="4705"/>
      <c r="L44" s="4706"/>
      <c r="M44" s="645" t="s">
        <v>2549</v>
      </c>
      <c r="N44" s="645" t="s">
        <v>2550</v>
      </c>
    </row>
    <row r="45" spans="1:14">
      <c r="J45" s="4704" t="s">
        <v>2551</v>
      </c>
      <c r="K45" s="4705"/>
      <c r="L45" s="4706"/>
      <c r="M45" s="645" t="s">
        <v>2552</v>
      </c>
      <c r="N45" s="4698" t="s">
        <v>2553</v>
      </c>
    </row>
    <row r="46" spans="1:14">
      <c r="J46" s="4704" t="s">
        <v>2554</v>
      </c>
      <c r="K46" s="4705"/>
      <c r="L46" s="4706"/>
      <c r="M46" s="4701" t="s">
        <v>2555</v>
      </c>
      <c r="N46" s="4699"/>
    </row>
    <row r="47" spans="1:14">
      <c r="J47" s="4704" t="s">
        <v>2556</v>
      </c>
      <c r="K47" s="4705"/>
      <c r="L47" s="4706"/>
      <c r="M47" s="4703"/>
      <c r="N47" s="4699"/>
    </row>
    <row r="48" spans="1:14">
      <c r="J48" s="4698" t="s">
        <v>2557</v>
      </c>
      <c r="K48" s="4701"/>
      <c r="L48" s="645" t="s">
        <v>2558</v>
      </c>
      <c r="M48" s="4701" t="s">
        <v>2559</v>
      </c>
      <c r="N48" s="4699"/>
    </row>
    <row r="49" spans="10:15">
      <c r="J49" s="4699"/>
      <c r="K49" s="4702"/>
      <c r="L49" s="645" t="s">
        <v>2560</v>
      </c>
      <c r="M49" s="4702"/>
      <c r="N49" s="4699"/>
    </row>
    <row r="50" spans="10:15">
      <c r="J50" s="4699"/>
      <c r="K50" s="4703"/>
      <c r="L50" s="645" t="s">
        <v>2561</v>
      </c>
      <c r="M50" s="4702"/>
      <c r="N50" s="4699"/>
    </row>
    <row r="51" spans="10:15">
      <c r="J51" s="4699"/>
      <c r="K51" s="4698" t="s">
        <v>2562</v>
      </c>
      <c r="L51" s="645" t="s">
        <v>2563</v>
      </c>
      <c r="M51" s="4702"/>
      <c r="N51" s="4699"/>
    </row>
    <row r="52" spans="10:15">
      <c r="J52" s="4700"/>
      <c r="K52" s="4699"/>
      <c r="L52" s="645" t="s">
        <v>2564</v>
      </c>
      <c r="M52" s="4702"/>
      <c r="N52" s="4699"/>
    </row>
    <row r="53" spans="10:15">
      <c r="J53" s="4701"/>
      <c r="K53" s="4699"/>
      <c r="L53" s="645" t="s">
        <v>2565</v>
      </c>
      <c r="M53" s="4702"/>
      <c r="N53" s="4699"/>
    </row>
    <row r="54" spans="10:15">
      <c r="J54" s="4702"/>
      <c r="K54" s="4699"/>
      <c r="L54" s="645" t="s">
        <v>2566</v>
      </c>
      <c r="M54" s="4702"/>
      <c r="N54" s="4699"/>
    </row>
    <row r="55" spans="10:15">
      <c r="J55" s="4702"/>
      <c r="K55" s="4699"/>
      <c r="L55" s="645" t="s">
        <v>2567</v>
      </c>
      <c r="M55" s="4702"/>
      <c r="N55" s="4699"/>
    </row>
    <row r="56" spans="10:15">
      <c r="J56" s="4702"/>
      <c r="K56" s="4699"/>
      <c r="L56" s="645" t="s">
        <v>2568</v>
      </c>
      <c r="M56" s="4703"/>
      <c r="N56" s="4699"/>
    </row>
    <row r="57" spans="10:15">
      <c r="J57" s="4703"/>
      <c r="K57" s="4700"/>
      <c r="L57" s="645" t="s">
        <v>2569</v>
      </c>
      <c r="M57" s="646" t="s">
        <v>2570</v>
      </c>
      <c r="N57" s="4700"/>
    </row>
    <row r="60" spans="10:15">
      <c r="J60" s="644" t="s">
        <v>2571</v>
      </c>
      <c r="K60" s="644"/>
      <c r="L60" s="644"/>
      <c r="M60" s="644"/>
      <c r="N60" s="644"/>
      <c r="O60" s="644"/>
    </row>
    <row r="61" spans="10:15">
      <c r="J61" s="643" t="s">
        <v>999</v>
      </c>
      <c r="K61" s="643" t="s">
        <v>1000</v>
      </c>
      <c r="L61" s="643" t="s">
        <v>2572</v>
      </c>
      <c r="M61" s="643" t="s">
        <v>2573</v>
      </c>
      <c r="N61" s="643" t="s">
        <v>2574</v>
      </c>
      <c r="O61" s="643" t="s">
        <v>2562</v>
      </c>
    </row>
    <row r="62" spans="10:15">
      <c r="J62" s="643" t="s">
        <v>2575</v>
      </c>
      <c r="K62" s="647" t="s">
        <v>2576</v>
      </c>
      <c r="L62" s="643" t="s">
        <v>2577</v>
      </c>
      <c r="M62" s="643" t="s">
        <v>2577</v>
      </c>
      <c r="N62" s="643" t="s">
        <v>2578</v>
      </c>
      <c r="O62" s="643" t="s">
        <v>2578</v>
      </c>
    </row>
    <row r="63" spans="10:15">
      <c r="J63" s="643" t="s">
        <v>2579</v>
      </c>
      <c r="K63" s="643" t="s">
        <v>2580</v>
      </c>
      <c r="L63" s="643" t="s">
        <v>2581</v>
      </c>
      <c r="M63" s="643" t="s">
        <v>2581</v>
      </c>
      <c r="N63" s="643" t="s">
        <v>2582</v>
      </c>
      <c r="O63" s="643" t="s">
        <v>2582</v>
      </c>
    </row>
    <row r="67" spans="10:15">
      <c r="J67" s="644" t="s">
        <v>2583</v>
      </c>
      <c r="K67" s="644"/>
      <c r="L67" s="644"/>
      <c r="M67" s="644"/>
      <c r="N67" s="644"/>
      <c r="O67" s="644"/>
    </row>
    <row r="68" spans="10:15">
      <c r="J68" s="643" t="s">
        <v>999</v>
      </c>
      <c r="K68" s="643" t="s">
        <v>2584</v>
      </c>
      <c r="L68" s="4707" t="s">
        <v>2585</v>
      </c>
      <c r="M68" s="4707"/>
      <c r="N68" s="4707"/>
      <c r="O68" s="643" t="s">
        <v>2550</v>
      </c>
    </row>
    <row r="69" spans="10:15" ht="26.4">
      <c r="J69" s="643" t="s">
        <v>2586</v>
      </c>
      <c r="K69" s="648" t="s">
        <v>2587</v>
      </c>
      <c r="L69" s="4697" t="s">
        <v>2588</v>
      </c>
      <c r="M69" s="4697"/>
      <c r="N69" s="4697"/>
      <c r="O69" s="643"/>
    </row>
    <row r="70" spans="10:15" ht="26.4">
      <c r="J70" s="643" t="s">
        <v>2589</v>
      </c>
      <c r="K70" s="648" t="s">
        <v>2590</v>
      </c>
      <c r="L70" s="4697" t="s">
        <v>2591</v>
      </c>
      <c r="M70" s="4697"/>
      <c r="N70" s="4697"/>
      <c r="O70" s="643"/>
    </row>
    <row r="71" spans="10:15" ht="26.4">
      <c r="J71" s="643" t="s">
        <v>2592</v>
      </c>
      <c r="K71" s="648" t="s">
        <v>2593</v>
      </c>
      <c r="L71" s="4697" t="s">
        <v>2594</v>
      </c>
      <c r="M71" s="4697"/>
      <c r="N71" s="4697"/>
      <c r="O71" s="643"/>
    </row>
    <row r="72" spans="10:15" ht="27" customHeight="1">
      <c r="J72" s="643" t="s">
        <v>2595</v>
      </c>
      <c r="K72" s="648" t="s">
        <v>2530</v>
      </c>
      <c r="L72" s="4697" t="s">
        <v>2596</v>
      </c>
      <c r="M72" s="4697"/>
      <c r="N72" s="4697"/>
      <c r="O72" s="643"/>
    </row>
    <row r="73" spans="10:15" ht="30" customHeight="1">
      <c r="J73" s="643" t="s">
        <v>2597</v>
      </c>
      <c r="K73" s="648" t="s">
        <v>2598</v>
      </c>
      <c r="L73" s="4697" t="s">
        <v>2599</v>
      </c>
      <c r="M73" s="4697"/>
      <c r="N73" s="4697"/>
      <c r="O73" s="643" t="s">
        <v>2600</v>
      </c>
    </row>
    <row r="74" spans="10:15" ht="57.75" customHeight="1">
      <c r="J74" s="643" t="s">
        <v>2601</v>
      </c>
      <c r="K74" s="648" t="s">
        <v>2602</v>
      </c>
      <c r="L74" s="4697" t="s">
        <v>2603</v>
      </c>
      <c r="M74" s="4697"/>
      <c r="N74" s="4697"/>
      <c r="O74" s="643" t="s">
        <v>2604</v>
      </c>
    </row>
    <row r="75" spans="10:15" ht="32.25" customHeight="1">
      <c r="J75" s="643" t="s">
        <v>2605</v>
      </c>
      <c r="K75" s="648" t="s">
        <v>2606</v>
      </c>
      <c r="L75" s="4697" t="s">
        <v>2607</v>
      </c>
      <c r="M75" s="4697"/>
      <c r="N75" s="4697"/>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2608</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2609</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2610</v>
      </c>
      <c r="B18" s="502"/>
      <c r="C18" s="503"/>
      <c r="D18" s="503"/>
      <c r="E18" s="502"/>
      <c r="F18" s="503"/>
      <c r="G18" s="503"/>
    </row>
    <row r="19" spans="1:13" ht="19.5" customHeight="1">
      <c r="A19" s="504" t="s">
        <v>2611</v>
      </c>
      <c r="B19" s="505" t="s">
        <v>2612</v>
      </c>
      <c r="C19" s="505" t="s">
        <v>2613</v>
      </c>
      <c r="D19" s="506"/>
      <c r="E19" s="504" t="s">
        <v>2614</v>
      </c>
      <c r="F19" s="507"/>
      <c r="G19" s="507"/>
    </row>
    <row r="20" spans="1:13" ht="19.5" customHeight="1">
      <c r="A20" s="4712" t="s">
        <v>229</v>
      </c>
      <c r="B20" s="4718" t="s">
        <v>2615</v>
      </c>
      <c r="C20" s="508" t="s">
        <v>244</v>
      </c>
      <c r="D20" s="508"/>
      <c r="E20" s="509">
        <v>1</v>
      </c>
      <c r="F20" s="510" t="s">
        <v>2616</v>
      </c>
      <c r="G20" s="510"/>
    </row>
    <row r="21" spans="1:13" ht="19.5" customHeight="1">
      <c r="A21" s="4713"/>
      <c r="B21" s="4708"/>
      <c r="C21" s="511" t="s">
        <v>259</v>
      </c>
      <c r="D21" s="511"/>
      <c r="E21" s="512">
        <v>1</v>
      </c>
      <c r="F21" s="510" t="s">
        <v>2617</v>
      </c>
      <c r="G21" s="510"/>
    </row>
    <row r="22" spans="1:13" ht="19.5" customHeight="1">
      <c r="A22" s="4713"/>
      <c r="B22" s="4708"/>
      <c r="C22" s="511" t="s">
        <v>270</v>
      </c>
      <c r="D22" s="511"/>
      <c r="E22" s="512">
        <v>0.9</v>
      </c>
      <c r="F22" s="510" t="s">
        <v>2618</v>
      </c>
      <c r="G22" s="510"/>
    </row>
    <row r="23" spans="1:13" ht="19.5" customHeight="1">
      <c r="A23" s="4713"/>
      <c r="B23" s="4708"/>
      <c r="C23" s="511" t="s">
        <v>281</v>
      </c>
      <c r="D23" s="511"/>
      <c r="E23" s="512">
        <v>0.9</v>
      </c>
      <c r="F23" s="510" t="s">
        <v>2619</v>
      </c>
      <c r="G23" s="510"/>
    </row>
    <row r="24" spans="1:13" ht="19.5" customHeight="1">
      <c r="A24" s="4713"/>
      <c r="B24" s="4708"/>
      <c r="C24" s="511" t="s">
        <v>290</v>
      </c>
      <c r="D24" s="511"/>
      <c r="E24" s="512">
        <v>0.8</v>
      </c>
      <c r="F24" s="510" t="s">
        <v>2620</v>
      </c>
      <c r="G24" s="510"/>
    </row>
    <row r="25" spans="1:13" ht="19.5" customHeight="1">
      <c r="A25" s="4713"/>
      <c r="B25" s="4708"/>
      <c r="C25" s="511" t="s">
        <v>298</v>
      </c>
      <c r="D25" s="511"/>
      <c r="E25" s="512">
        <v>0.8</v>
      </c>
      <c r="F25" s="510"/>
      <c r="G25" s="510"/>
    </row>
    <row r="26" spans="1:13" ht="19.5" customHeight="1">
      <c r="A26" s="4713"/>
      <c r="B26" s="4708"/>
      <c r="C26" s="511" t="s">
        <v>306</v>
      </c>
      <c r="D26" s="511"/>
      <c r="E26" s="512">
        <v>0.43</v>
      </c>
      <c r="F26" s="510"/>
      <c r="G26" s="510"/>
    </row>
    <row r="27" spans="1:13" ht="19.5" customHeight="1">
      <c r="A27" s="4714"/>
      <c r="B27" s="4719"/>
      <c r="C27" s="513" t="s">
        <v>313</v>
      </c>
      <c r="D27" s="513"/>
      <c r="E27" s="514">
        <f>E26*0.9</f>
        <v>0.38700000000000001</v>
      </c>
      <c r="F27" s="510" t="s">
        <v>2621</v>
      </c>
      <c r="G27" s="510"/>
    </row>
    <row r="28" spans="1:13" ht="19.5" customHeight="1">
      <c r="A28" s="515" t="s">
        <v>230</v>
      </c>
      <c r="B28" s="516" t="s">
        <v>2615</v>
      </c>
      <c r="C28" s="517" t="s">
        <v>245</v>
      </c>
      <c r="D28" s="518"/>
      <c r="E28" s="519">
        <v>1</v>
      </c>
      <c r="F28" s="510" t="s">
        <v>2622</v>
      </c>
      <c r="G28" s="510"/>
    </row>
    <row r="29" spans="1:13" ht="19.5" customHeight="1">
      <c r="A29" s="4715" t="s">
        <v>231</v>
      </c>
      <c r="B29" s="4720" t="s">
        <v>231</v>
      </c>
      <c r="C29" s="520" t="s">
        <v>246</v>
      </c>
      <c r="D29" s="521"/>
      <c r="E29" s="509">
        <v>1</v>
      </c>
      <c r="F29" s="510" t="s">
        <v>2623</v>
      </c>
      <c r="G29" s="510"/>
    </row>
    <row r="30" spans="1:13" ht="19.5" customHeight="1">
      <c r="A30" s="4716"/>
      <c r="B30" s="4711"/>
      <c r="C30" s="522" t="s">
        <v>260</v>
      </c>
      <c r="D30" s="523"/>
      <c r="E30" s="512">
        <v>1</v>
      </c>
      <c r="F30" s="510" t="s">
        <v>2624</v>
      </c>
      <c r="G30" s="510"/>
    </row>
    <row r="31" spans="1:13" ht="19.5" customHeight="1">
      <c r="A31" s="4716"/>
      <c r="B31" s="4711"/>
      <c r="C31" s="522" t="s">
        <v>271</v>
      </c>
      <c r="D31" s="523"/>
      <c r="E31" s="512">
        <v>0.8</v>
      </c>
      <c r="F31" s="510" t="s">
        <v>2625</v>
      </c>
      <c r="G31" s="510"/>
    </row>
    <row r="32" spans="1:13" ht="19.5" customHeight="1">
      <c r="A32" s="4716"/>
      <c r="B32" s="4711"/>
      <c r="C32" s="522" t="s">
        <v>282</v>
      </c>
      <c r="D32" s="523"/>
      <c r="E32" s="512">
        <v>0.8</v>
      </c>
      <c r="F32" s="510" t="s">
        <v>2626</v>
      </c>
      <c r="G32" s="510"/>
    </row>
    <row r="33" spans="1:7" ht="19.5" customHeight="1">
      <c r="A33" s="4716"/>
      <c r="B33" s="4711"/>
      <c r="C33" s="522" t="s">
        <v>291</v>
      </c>
      <c r="D33" s="523"/>
      <c r="E33" s="512">
        <v>0.8</v>
      </c>
      <c r="F33" s="510" t="s">
        <v>2627</v>
      </c>
      <c r="G33" s="510"/>
    </row>
    <row r="34" spans="1:7" ht="19.5" customHeight="1">
      <c r="A34" s="4716"/>
      <c r="B34" s="4711"/>
      <c r="C34" s="522" t="s">
        <v>299</v>
      </c>
      <c r="D34" s="523"/>
      <c r="E34" s="512">
        <v>0.7</v>
      </c>
      <c r="F34" s="510" t="s">
        <v>2628</v>
      </c>
      <c r="G34" s="510"/>
    </row>
    <row r="35" spans="1:7" ht="19.5" customHeight="1">
      <c r="A35" s="4716"/>
      <c r="B35" s="4711"/>
      <c r="C35" s="522" t="s">
        <v>307</v>
      </c>
      <c r="D35" s="523"/>
      <c r="E35" s="512">
        <v>0.8</v>
      </c>
      <c r="F35" s="510" t="s">
        <v>2629</v>
      </c>
      <c r="G35" s="510"/>
    </row>
    <row r="36" spans="1:7" ht="19.5" customHeight="1">
      <c r="A36" s="4716"/>
      <c r="B36" s="4711"/>
      <c r="C36" s="522" t="s">
        <v>314</v>
      </c>
      <c r="D36" s="523"/>
      <c r="E36" s="512">
        <v>0.6</v>
      </c>
      <c r="F36" s="510" t="s">
        <v>2630</v>
      </c>
      <c r="G36" s="510"/>
    </row>
    <row r="37" spans="1:7" ht="19.5" customHeight="1">
      <c r="A37" s="4716"/>
      <c r="B37" s="4711"/>
      <c r="C37" s="522" t="s">
        <v>320</v>
      </c>
      <c r="D37" s="523"/>
      <c r="E37" s="512">
        <v>0.2</v>
      </c>
      <c r="F37" s="510" t="s">
        <v>2631</v>
      </c>
      <c r="G37" s="510"/>
    </row>
    <row r="38" spans="1:7" ht="19.5" customHeight="1">
      <c r="A38" s="4716"/>
      <c r="B38" s="4711"/>
      <c r="C38" s="522" t="s">
        <v>326</v>
      </c>
      <c r="D38" s="523"/>
      <c r="E38" s="512">
        <v>0.2</v>
      </c>
      <c r="F38" s="510" t="s">
        <v>2632</v>
      </c>
      <c r="G38" s="510"/>
    </row>
    <row r="39" spans="1:7" ht="19.5" customHeight="1">
      <c r="A39" s="4716"/>
      <c r="B39" s="4709" t="s">
        <v>2633</v>
      </c>
      <c r="C39" s="522" t="s">
        <v>332</v>
      </c>
      <c r="D39" s="523"/>
      <c r="E39" s="512">
        <v>0.6</v>
      </c>
      <c r="F39" s="510" t="s">
        <v>2634</v>
      </c>
      <c r="G39" s="510"/>
    </row>
    <row r="40" spans="1:7" ht="19.5" customHeight="1">
      <c r="A40" s="4716"/>
      <c r="B40" s="4711"/>
      <c r="C40" s="522" t="s">
        <v>338</v>
      </c>
      <c r="D40" s="523"/>
      <c r="E40" s="512">
        <v>0.6</v>
      </c>
      <c r="F40" s="510" t="s">
        <v>2635</v>
      </c>
      <c r="G40" s="510"/>
    </row>
    <row r="41" spans="1:7" ht="19.5" customHeight="1">
      <c r="A41" s="4717"/>
      <c r="B41" s="4721"/>
      <c r="C41" s="524" t="s">
        <v>342</v>
      </c>
      <c r="D41" s="525"/>
      <c r="E41" s="514">
        <v>0.6</v>
      </c>
      <c r="F41" s="510" t="s">
        <v>2636</v>
      </c>
      <c r="G41" s="510"/>
    </row>
    <row r="42" spans="1:7" ht="19.5" customHeight="1">
      <c r="A42" s="526" t="s">
        <v>232</v>
      </c>
      <c r="B42" s="527" t="s">
        <v>232</v>
      </c>
      <c r="C42" s="528" t="s">
        <v>247</v>
      </c>
      <c r="D42" s="529"/>
      <c r="E42" s="530">
        <v>1</v>
      </c>
      <c r="F42" s="510" t="s">
        <v>2637</v>
      </c>
      <c r="G42" s="510"/>
    </row>
    <row r="43" spans="1:7" ht="19.5" customHeight="1">
      <c r="A43" s="4712" t="s">
        <v>233</v>
      </c>
      <c r="B43" s="4720" t="s">
        <v>2638</v>
      </c>
      <c r="C43" s="520" t="s">
        <v>248</v>
      </c>
      <c r="D43" s="521"/>
      <c r="E43" s="509">
        <v>1</v>
      </c>
      <c r="F43" s="510" t="s">
        <v>2639</v>
      </c>
      <c r="G43" s="510"/>
    </row>
    <row r="44" spans="1:7" ht="19.5" customHeight="1">
      <c r="A44" s="4713"/>
      <c r="B44" s="4711"/>
      <c r="C44" s="522" t="s">
        <v>261</v>
      </c>
      <c r="D44" s="523"/>
      <c r="E44" s="512">
        <v>1</v>
      </c>
      <c r="F44" s="510" t="s">
        <v>2640</v>
      </c>
      <c r="G44" s="510"/>
    </row>
    <row r="45" spans="1:7" ht="19.5" customHeight="1">
      <c r="A45" s="4713"/>
      <c r="B45" s="4710"/>
      <c r="C45" s="522" t="s">
        <v>272</v>
      </c>
      <c r="D45" s="523"/>
      <c r="E45" s="512">
        <v>1.5</v>
      </c>
      <c r="F45" s="510" t="s">
        <v>2641</v>
      </c>
      <c r="G45" s="510"/>
    </row>
    <row r="46" spans="1:7" ht="19.5" customHeight="1">
      <c r="A46" s="4713"/>
      <c r="B46" s="511" t="s">
        <v>231</v>
      </c>
      <c r="C46" s="522" t="s">
        <v>283</v>
      </c>
      <c r="D46" s="523"/>
      <c r="E46" s="512">
        <v>2</v>
      </c>
      <c r="F46" s="510" t="s">
        <v>2642</v>
      </c>
      <c r="G46" s="510"/>
    </row>
    <row r="47" spans="1:7" ht="19.5" customHeight="1">
      <c r="A47" s="4713"/>
      <c r="B47" s="4709" t="s">
        <v>2643</v>
      </c>
      <c r="C47" s="522" t="s">
        <v>292</v>
      </c>
      <c r="D47" s="523"/>
      <c r="E47" s="512">
        <v>1</v>
      </c>
      <c r="F47" s="510" t="s">
        <v>2644</v>
      </c>
      <c r="G47" s="510"/>
    </row>
    <row r="48" spans="1:7" ht="19.5" customHeight="1">
      <c r="A48" s="4713"/>
      <c r="B48" s="4711"/>
      <c r="C48" s="522" t="s">
        <v>300</v>
      </c>
      <c r="D48" s="523"/>
      <c r="E48" s="512">
        <v>1</v>
      </c>
      <c r="F48" s="510" t="s">
        <v>2645</v>
      </c>
      <c r="G48" s="510"/>
    </row>
    <row r="49" spans="1:7" ht="19.5" customHeight="1">
      <c r="A49" s="4713"/>
      <c r="B49" s="4711"/>
      <c r="C49" s="522" t="s">
        <v>308</v>
      </c>
      <c r="D49" s="523"/>
      <c r="E49" s="512">
        <v>1</v>
      </c>
      <c r="F49" s="510" t="s">
        <v>2646</v>
      </c>
      <c r="G49" s="510"/>
    </row>
    <row r="50" spans="1:7" ht="19.5" customHeight="1">
      <c r="A50" s="4713"/>
      <c r="B50" s="4711"/>
      <c r="C50" s="522" t="s">
        <v>315</v>
      </c>
      <c r="D50" s="523"/>
      <c r="E50" s="512">
        <v>1</v>
      </c>
      <c r="F50" s="510" t="s">
        <v>2647</v>
      </c>
      <c r="G50" s="510"/>
    </row>
    <row r="51" spans="1:7" ht="19.5" customHeight="1">
      <c r="A51" s="4713"/>
      <c r="B51" s="4711"/>
      <c r="C51" s="522" t="s">
        <v>321</v>
      </c>
      <c r="D51" s="523"/>
      <c r="E51" s="512">
        <v>1</v>
      </c>
      <c r="F51" s="510" t="s">
        <v>2648</v>
      </c>
      <c r="G51" s="510"/>
    </row>
    <row r="52" spans="1:7" ht="19.5" customHeight="1">
      <c r="A52" s="4713"/>
      <c r="B52" s="4711"/>
      <c r="C52" s="522" t="s">
        <v>327</v>
      </c>
      <c r="D52" s="523"/>
      <c r="E52" s="512">
        <v>1</v>
      </c>
      <c r="F52" s="510" t="s">
        <v>2649</v>
      </c>
      <c r="G52" s="510"/>
    </row>
    <row r="53" spans="1:7" ht="19.5" customHeight="1">
      <c r="A53" s="4714"/>
      <c r="B53" s="4721"/>
      <c r="C53" s="524" t="s">
        <v>333</v>
      </c>
      <c r="D53" s="525"/>
      <c r="E53" s="514">
        <v>1</v>
      </c>
      <c r="F53" s="510" t="s">
        <v>2650</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2651</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2552</v>
      </c>
      <c r="F58" s="536" t="s">
        <v>2552</v>
      </c>
      <c r="G58" s="536" t="s">
        <v>2552</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2652</v>
      </c>
      <c r="E72" s="539"/>
      <c r="F72" s="539"/>
    </row>
    <row r="73" spans="1:7" ht="19.5" customHeight="1">
      <c r="A73" s="511" t="s">
        <v>999</v>
      </c>
      <c r="B73" s="511" t="s">
        <v>2653</v>
      </c>
      <c r="C73" s="511" t="s">
        <v>2654</v>
      </c>
      <c r="D73" s="511" t="s">
        <v>2655</v>
      </c>
      <c r="E73" s="511" t="s">
        <v>2656</v>
      </c>
      <c r="F73" s="511" t="s">
        <v>2657</v>
      </c>
    </row>
    <row r="74" spans="1:7" ht="14.4">
      <c r="A74" s="511"/>
      <c r="B74" s="511"/>
      <c r="C74" s="511" t="s">
        <v>2658</v>
      </c>
      <c r="D74" s="511"/>
      <c r="E74" s="511" t="s">
        <v>124</v>
      </c>
      <c r="F74" s="511" t="s">
        <v>124</v>
      </c>
    </row>
    <row r="75" spans="1:7" ht="14.4">
      <c r="A75" s="511">
        <v>1</v>
      </c>
      <c r="B75" s="4709" t="s">
        <v>2659</v>
      </c>
      <c r="C75" s="500" t="s">
        <v>2660</v>
      </c>
      <c r="D75" s="500" t="s">
        <v>2661</v>
      </c>
      <c r="E75" s="540">
        <v>0.2</v>
      </c>
      <c r="F75" s="541">
        <v>25</v>
      </c>
    </row>
    <row r="76" spans="1:7" ht="24">
      <c r="A76" s="511">
        <v>2</v>
      </c>
      <c r="B76" s="4711"/>
      <c r="C76" s="500" t="s">
        <v>2662</v>
      </c>
      <c r="D76" s="500" t="s">
        <v>2663</v>
      </c>
      <c r="E76" s="540">
        <v>0.2</v>
      </c>
      <c r="F76" s="541">
        <v>25</v>
      </c>
    </row>
    <row r="77" spans="1:7" ht="24">
      <c r="A77" s="511">
        <v>3</v>
      </c>
      <c r="B77" s="4711"/>
      <c r="C77" s="500" t="s">
        <v>2664</v>
      </c>
      <c r="D77" s="500" t="s">
        <v>2665</v>
      </c>
      <c r="E77" s="540">
        <v>0.2</v>
      </c>
      <c r="F77" s="541">
        <v>25</v>
      </c>
    </row>
    <row r="78" spans="1:7" ht="14.4">
      <c r="A78" s="511">
        <v>4</v>
      </c>
      <c r="B78" s="4711"/>
      <c r="C78" s="500" t="s">
        <v>2666</v>
      </c>
      <c r="D78" s="500" t="s">
        <v>2667</v>
      </c>
      <c r="E78" s="540">
        <v>0.15</v>
      </c>
      <c r="F78" s="541">
        <v>20</v>
      </c>
    </row>
    <row r="79" spans="1:7" ht="24">
      <c r="A79" s="511">
        <v>5</v>
      </c>
      <c r="B79" s="4711"/>
      <c r="C79" s="500" t="s">
        <v>2668</v>
      </c>
      <c r="D79" s="500" t="s">
        <v>2669</v>
      </c>
      <c r="E79" s="540">
        <v>0.15</v>
      </c>
      <c r="F79" s="541">
        <v>20</v>
      </c>
    </row>
    <row r="80" spans="1:7" ht="24">
      <c r="A80" s="511">
        <v>6</v>
      </c>
      <c r="B80" s="4711"/>
      <c r="C80" s="500" t="s">
        <v>2670</v>
      </c>
      <c r="D80" s="500" t="s">
        <v>2671</v>
      </c>
      <c r="E80" s="540">
        <v>0.15</v>
      </c>
      <c r="F80" s="541">
        <v>20</v>
      </c>
    </row>
    <row r="81" spans="1:6" ht="24">
      <c r="A81" s="511">
        <v>7</v>
      </c>
      <c r="B81" s="4711"/>
      <c r="C81" s="500" t="s">
        <v>2672</v>
      </c>
      <c r="D81" s="500" t="s">
        <v>2673</v>
      </c>
      <c r="E81" s="540">
        <v>0.15</v>
      </c>
      <c r="F81" s="541">
        <v>20</v>
      </c>
    </row>
    <row r="82" spans="1:6" ht="24">
      <c r="A82" s="511">
        <v>8</v>
      </c>
      <c r="B82" s="4711"/>
      <c r="C82" s="500" t="s">
        <v>2674</v>
      </c>
      <c r="D82" s="500" t="s">
        <v>2675</v>
      </c>
      <c r="E82" s="540">
        <v>0.1</v>
      </c>
      <c r="F82" s="541">
        <v>15</v>
      </c>
    </row>
    <row r="83" spans="1:6" ht="24">
      <c r="A83" s="511">
        <v>9</v>
      </c>
      <c r="B83" s="4711"/>
      <c r="C83" s="500" t="s">
        <v>2676</v>
      </c>
      <c r="D83" s="500" t="s">
        <v>2677</v>
      </c>
      <c r="E83" s="540">
        <v>0.1</v>
      </c>
      <c r="F83" s="541">
        <v>15</v>
      </c>
    </row>
    <row r="84" spans="1:6" ht="24">
      <c r="A84" s="511">
        <v>10</v>
      </c>
      <c r="B84" s="4711"/>
      <c r="C84" s="500" t="s">
        <v>2678</v>
      </c>
      <c r="D84" s="500" t="s">
        <v>2679</v>
      </c>
      <c r="E84" s="540">
        <v>0.1</v>
      </c>
      <c r="F84" s="541">
        <v>15</v>
      </c>
    </row>
    <row r="85" spans="1:6" ht="24">
      <c r="A85" s="511">
        <v>11</v>
      </c>
      <c r="B85" s="4711"/>
      <c r="C85" s="500" t="s">
        <v>2680</v>
      </c>
      <c r="D85" s="500" t="s">
        <v>2681</v>
      </c>
      <c r="E85" s="540">
        <v>0.1</v>
      </c>
      <c r="F85" s="541">
        <v>15</v>
      </c>
    </row>
    <row r="86" spans="1:6" ht="24">
      <c r="A86" s="511">
        <v>12</v>
      </c>
      <c r="B86" s="4711"/>
      <c r="C86" s="500" t="s">
        <v>2682</v>
      </c>
      <c r="D86" s="500" t="s">
        <v>2683</v>
      </c>
      <c r="E86" s="540">
        <v>0.1</v>
      </c>
      <c r="F86" s="541">
        <v>15</v>
      </c>
    </row>
    <row r="87" spans="1:6" ht="24">
      <c r="A87" s="511">
        <v>13</v>
      </c>
      <c r="B87" s="4711"/>
      <c r="C87" s="500" t="s">
        <v>2684</v>
      </c>
      <c r="D87" s="500" t="s">
        <v>2685</v>
      </c>
      <c r="E87" s="540">
        <v>0.1</v>
      </c>
      <c r="F87" s="541">
        <v>15</v>
      </c>
    </row>
    <row r="88" spans="1:6" ht="24">
      <c r="A88" s="511">
        <v>14</v>
      </c>
      <c r="B88" s="4711"/>
      <c r="C88" s="500" t="s">
        <v>2686</v>
      </c>
      <c r="D88" s="500" t="s">
        <v>2687</v>
      </c>
      <c r="E88" s="540">
        <v>0.1</v>
      </c>
      <c r="F88" s="541">
        <v>15</v>
      </c>
    </row>
    <row r="89" spans="1:6" ht="24">
      <c r="A89" s="511">
        <v>15</v>
      </c>
      <c r="B89" s="4711"/>
      <c r="C89" s="500" t="s">
        <v>2688</v>
      </c>
      <c r="D89" s="500" t="s">
        <v>2689</v>
      </c>
      <c r="E89" s="540">
        <v>0.1</v>
      </c>
      <c r="F89" s="541">
        <v>15</v>
      </c>
    </row>
    <row r="90" spans="1:6" ht="24">
      <c r="A90" s="511">
        <v>16</v>
      </c>
      <c r="B90" s="4711"/>
      <c r="C90" s="500" t="s">
        <v>2690</v>
      </c>
      <c r="D90" s="500" t="s">
        <v>2691</v>
      </c>
      <c r="E90" s="540">
        <v>0.1</v>
      </c>
      <c r="F90" s="541">
        <v>15</v>
      </c>
    </row>
    <row r="91" spans="1:6" ht="24">
      <c r="A91" s="511">
        <v>17</v>
      </c>
      <c r="B91" s="4710"/>
      <c r="C91" s="500" t="s">
        <v>2692</v>
      </c>
      <c r="D91" s="500" t="s">
        <v>2693</v>
      </c>
      <c r="E91" s="540">
        <v>0.1</v>
      </c>
      <c r="F91" s="541">
        <v>15</v>
      </c>
    </row>
    <row r="92" spans="1:6" ht="14.4">
      <c r="A92" s="511">
        <v>18</v>
      </c>
      <c r="B92" s="4709" t="s">
        <v>2694</v>
      </c>
      <c r="C92" s="500" t="s">
        <v>2695</v>
      </c>
      <c r="D92" s="500" t="s">
        <v>2696</v>
      </c>
      <c r="E92" s="540">
        <v>0.2</v>
      </c>
      <c r="F92" s="541">
        <v>25</v>
      </c>
    </row>
    <row r="93" spans="1:6" ht="24">
      <c r="A93" s="511">
        <v>19</v>
      </c>
      <c r="B93" s="4711"/>
      <c r="C93" s="500" t="s">
        <v>2697</v>
      </c>
      <c r="D93" s="500" t="s">
        <v>2698</v>
      </c>
      <c r="E93" s="540">
        <v>0.2</v>
      </c>
      <c r="F93" s="541">
        <v>25</v>
      </c>
    </row>
    <row r="94" spans="1:6" ht="14.4">
      <c r="A94" s="511">
        <v>20</v>
      </c>
      <c r="B94" s="4711"/>
      <c r="C94" s="500" t="s">
        <v>2699</v>
      </c>
      <c r="D94" s="500" t="s">
        <v>2700</v>
      </c>
      <c r="E94" s="540">
        <v>0.15</v>
      </c>
      <c r="F94" s="541">
        <v>20</v>
      </c>
    </row>
    <row r="95" spans="1:6" ht="24">
      <c r="A95" s="511">
        <v>21</v>
      </c>
      <c r="B95" s="4711"/>
      <c r="C95" s="500" t="s">
        <v>2701</v>
      </c>
      <c r="D95" s="500" t="s">
        <v>2702</v>
      </c>
      <c r="E95" s="540">
        <v>0.15</v>
      </c>
      <c r="F95" s="541">
        <v>20</v>
      </c>
    </row>
    <row r="96" spans="1:6" ht="24">
      <c r="A96" s="511">
        <v>22</v>
      </c>
      <c r="B96" s="4711"/>
      <c r="C96" s="500" t="s">
        <v>2703</v>
      </c>
      <c r="D96" s="500" t="s">
        <v>2704</v>
      </c>
      <c r="E96" s="540">
        <v>0.15</v>
      </c>
      <c r="F96" s="541">
        <v>20</v>
      </c>
    </row>
    <row r="97" spans="1:6" ht="36">
      <c r="A97" s="511">
        <v>23</v>
      </c>
      <c r="B97" s="4711"/>
      <c r="C97" s="500" t="s">
        <v>2705</v>
      </c>
      <c r="D97" s="500" t="s">
        <v>2706</v>
      </c>
      <c r="E97" s="540">
        <v>0.15</v>
      </c>
      <c r="F97" s="541">
        <v>20</v>
      </c>
    </row>
    <row r="98" spans="1:6" ht="24">
      <c r="A98" s="511">
        <v>24</v>
      </c>
      <c r="B98" s="4711"/>
      <c r="C98" s="500" t="s">
        <v>2707</v>
      </c>
      <c r="D98" s="500" t="s">
        <v>2708</v>
      </c>
      <c r="E98" s="540">
        <v>0.1</v>
      </c>
      <c r="F98" s="541">
        <v>15</v>
      </c>
    </row>
    <row r="99" spans="1:6" ht="24">
      <c r="A99" s="511">
        <v>25</v>
      </c>
      <c r="B99" s="4711"/>
      <c r="C99" s="500" t="s">
        <v>2709</v>
      </c>
      <c r="D99" s="500" t="s">
        <v>2710</v>
      </c>
      <c r="E99" s="540">
        <v>0.1</v>
      </c>
      <c r="F99" s="541">
        <v>15</v>
      </c>
    </row>
    <row r="100" spans="1:6" ht="24">
      <c r="A100" s="511">
        <v>26</v>
      </c>
      <c r="B100" s="4711"/>
      <c r="C100" s="500" t="s">
        <v>2711</v>
      </c>
      <c r="D100" s="500" t="s">
        <v>2712</v>
      </c>
      <c r="E100" s="540">
        <v>0.1</v>
      </c>
      <c r="F100" s="541">
        <v>15</v>
      </c>
    </row>
    <row r="101" spans="1:6" ht="24">
      <c r="A101" s="511">
        <v>27</v>
      </c>
      <c r="B101" s="4711"/>
      <c r="C101" s="500" t="s">
        <v>2713</v>
      </c>
      <c r="D101" s="500" t="s">
        <v>2714</v>
      </c>
      <c r="E101" s="540">
        <v>0.1</v>
      </c>
      <c r="F101" s="541">
        <v>15</v>
      </c>
    </row>
    <row r="102" spans="1:6" ht="24">
      <c r="A102" s="511">
        <v>28</v>
      </c>
      <c r="B102" s="4711"/>
      <c r="C102" s="500" t="s">
        <v>2715</v>
      </c>
      <c r="D102" s="500" t="s">
        <v>2716</v>
      </c>
      <c r="E102" s="540">
        <v>0.1</v>
      </c>
      <c r="F102" s="541">
        <v>15</v>
      </c>
    </row>
    <row r="103" spans="1:6" ht="24">
      <c r="A103" s="511">
        <v>29</v>
      </c>
      <c r="B103" s="4711"/>
      <c r="C103" s="500" t="s">
        <v>2717</v>
      </c>
      <c r="D103" s="500" t="s">
        <v>2718</v>
      </c>
      <c r="E103" s="540">
        <v>0.1</v>
      </c>
      <c r="F103" s="541">
        <v>15</v>
      </c>
    </row>
    <row r="104" spans="1:6" ht="24">
      <c r="A104" s="511">
        <v>30</v>
      </c>
      <c r="B104" s="4711"/>
      <c r="C104" s="500" t="s">
        <v>2719</v>
      </c>
      <c r="D104" s="500" t="s">
        <v>2720</v>
      </c>
      <c r="E104" s="540">
        <v>0.1</v>
      </c>
      <c r="F104" s="541">
        <v>15</v>
      </c>
    </row>
    <row r="105" spans="1:6" ht="24">
      <c r="A105" s="511">
        <v>31</v>
      </c>
      <c r="B105" s="4711"/>
      <c r="C105" s="500" t="s">
        <v>2721</v>
      </c>
      <c r="D105" s="500" t="s">
        <v>2722</v>
      </c>
      <c r="E105" s="540">
        <v>0.1</v>
      </c>
      <c r="F105" s="541">
        <v>15</v>
      </c>
    </row>
    <row r="106" spans="1:6" ht="24">
      <c r="A106" s="511">
        <v>32</v>
      </c>
      <c r="B106" s="4711"/>
      <c r="C106" s="500" t="s">
        <v>2723</v>
      </c>
      <c r="D106" s="500" t="s">
        <v>2724</v>
      </c>
      <c r="E106" s="540">
        <v>0.1</v>
      </c>
      <c r="F106" s="541">
        <v>15</v>
      </c>
    </row>
    <row r="107" spans="1:6" ht="24">
      <c r="A107" s="511">
        <v>33</v>
      </c>
      <c r="B107" s="4711"/>
      <c r="C107" s="500" t="s">
        <v>2725</v>
      </c>
      <c r="D107" s="500" t="s">
        <v>2726</v>
      </c>
      <c r="E107" s="540">
        <v>0.1</v>
      </c>
      <c r="F107" s="541">
        <v>15</v>
      </c>
    </row>
    <row r="108" spans="1:6" ht="24">
      <c r="A108" s="511">
        <v>34</v>
      </c>
      <c r="B108" s="4710"/>
      <c r="C108" s="500" t="s">
        <v>2727</v>
      </c>
      <c r="D108" s="500" t="s">
        <v>2728</v>
      </c>
      <c r="E108" s="540">
        <v>0.1</v>
      </c>
      <c r="F108" s="541">
        <v>15</v>
      </c>
    </row>
    <row r="109" spans="1:6" ht="36">
      <c r="A109" s="511">
        <v>35</v>
      </c>
      <c r="B109" s="4709" t="s">
        <v>2729</v>
      </c>
      <c r="C109" s="511" t="s">
        <v>2730</v>
      </c>
      <c r="D109" s="500" t="s">
        <v>2731</v>
      </c>
      <c r="E109" s="540">
        <v>0.15</v>
      </c>
      <c r="F109" s="541">
        <v>20</v>
      </c>
    </row>
    <row r="110" spans="1:6" ht="24">
      <c r="A110" s="511">
        <v>36</v>
      </c>
      <c r="B110" s="4711"/>
      <c r="C110" s="511" t="s">
        <v>2732</v>
      </c>
      <c r="D110" s="500" t="s">
        <v>2733</v>
      </c>
      <c r="E110" s="540">
        <v>0.15</v>
      </c>
      <c r="F110" s="541">
        <v>20</v>
      </c>
    </row>
    <row r="111" spans="1:6" ht="24">
      <c r="A111" s="511">
        <v>37</v>
      </c>
      <c r="B111" s="4711"/>
      <c r="C111" s="511" t="s">
        <v>2734</v>
      </c>
      <c r="D111" s="500" t="s">
        <v>2735</v>
      </c>
      <c r="E111" s="540">
        <v>0.15</v>
      </c>
      <c r="F111" s="541">
        <v>20</v>
      </c>
    </row>
    <row r="112" spans="1:6" ht="24">
      <c r="A112" s="511">
        <v>38</v>
      </c>
      <c r="B112" s="4711"/>
      <c r="C112" s="511" t="s">
        <v>2736</v>
      </c>
      <c r="D112" s="500" t="s">
        <v>2737</v>
      </c>
      <c r="E112" s="540">
        <v>0.1</v>
      </c>
      <c r="F112" s="541">
        <v>15</v>
      </c>
    </row>
    <row r="113" spans="1:6" ht="24">
      <c r="A113" s="511">
        <v>39</v>
      </c>
      <c r="B113" s="4711"/>
      <c r="C113" s="511" t="s">
        <v>2738</v>
      </c>
      <c r="D113" s="500" t="s">
        <v>2739</v>
      </c>
      <c r="E113" s="540">
        <v>0.1</v>
      </c>
      <c r="F113" s="541">
        <v>15</v>
      </c>
    </row>
    <row r="114" spans="1:6" ht="24">
      <c r="A114" s="511">
        <v>40</v>
      </c>
      <c r="B114" s="4710"/>
      <c r="C114" s="511" t="s">
        <v>2740</v>
      </c>
      <c r="D114" s="500" t="s">
        <v>2741</v>
      </c>
      <c r="E114" s="540">
        <v>0.1</v>
      </c>
      <c r="F114" s="541">
        <v>15</v>
      </c>
    </row>
    <row r="115" spans="1:6" ht="24">
      <c r="A115" s="511">
        <v>41</v>
      </c>
      <c r="B115" s="4708" t="s">
        <v>2742</v>
      </c>
      <c r="C115" s="511" t="s">
        <v>2743</v>
      </c>
      <c r="D115" s="500" t="s">
        <v>2744</v>
      </c>
      <c r="E115" s="540">
        <v>0.1</v>
      </c>
      <c r="F115" s="541">
        <v>15</v>
      </c>
    </row>
    <row r="116" spans="1:6" ht="24">
      <c r="A116" s="511">
        <v>42</v>
      </c>
      <c r="B116" s="4708"/>
      <c r="C116" s="511" t="s">
        <v>2745</v>
      </c>
      <c r="D116" s="500" t="s">
        <v>2746</v>
      </c>
      <c r="E116" s="540">
        <v>0.1</v>
      </c>
      <c r="F116" s="541">
        <v>15</v>
      </c>
    </row>
    <row r="117" spans="1:6" ht="24">
      <c r="A117" s="511">
        <v>43</v>
      </c>
      <c r="B117" s="4708"/>
      <c r="C117" s="511" t="s">
        <v>2747</v>
      </c>
      <c r="D117" s="500" t="s">
        <v>2748</v>
      </c>
      <c r="E117" s="540">
        <v>0.1</v>
      </c>
      <c r="F117" s="541">
        <v>15</v>
      </c>
    </row>
    <row r="118" spans="1:6" ht="24">
      <c r="A118" s="511">
        <v>44</v>
      </c>
      <c r="B118" s="4709" t="s">
        <v>2749</v>
      </c>
      <c r="C118" s="511" t="s">
        <v>2750</v>
      </c>
      <c r="D118" s="500" t="s">
        <v>2751</v>
      </c>
      <c r="E118" s="540">
        <v>0.1</v>
      </c>
      <c r="F118" s="541">
        <v>15</v>
      </c>
    </row>
    <row r="119" spans="1:6" ht="24">
      <c r="A119" s="511">
        <v>45</v>
      </c>
      <c r="B119" s="4710"/>
      <c r="C119" s="500" t="s">
        <v>2752</v>
      </c>
      <c r="D119" s="500" t="s">
        <v>2753</v>
      </c>
      <c r="E119" s="540">
        <v>0.1</v>
      </c>
      <c r="F119" s="541">
        <v>15</v>
      </c>
    </row>
    <row r="120" spans="1:6" ht="24">
      <c r="A120" s="511">
        <v>46</v>
      </c>
      <c r="B120" s="4709" t="s">
        <v>2754</v>
      </c>
      <c r="C120" s="511" t="s">
        <v>2755</v>
      </c>
      <c r="D120" s="500" t="s">
        <v>2756</v>
      </c>
      <c r="E120" s="540">
        <v>0.1</v>
      </c>
      <c r="F120" s="541">
        <v>15</v>
      </c>
    </row>
    <row r="121" spans="1:6" ht="24">
      <c r="A121" s="511">
        <v>47</v>
      </c>
      <c r="B121" s="4710"/>
      <c r="C121" s="511" t="s">
        <v>2757</v>
      </c>
      <c r="D121" s="500" t="s">
        <v>2758</v>
      </c>
      <c r="E121" s="540">
        <v>0.1</v>
      </c>
      <c r="F121" s="541">
        <v>15</v>
      </c>
    </row>
    <row r="122" spans="1:6" ht="24">
      <c r="A122" s="511">
        <v>48</v>
      </c>
      <c r="B122" s="4709" t="s">
        <v>2759</v>
      </c>
      <c r="C122" s="511" t="s">
        <v>2760</v>
      </c>
      <c r="D122" s="500" t="s">
        <v>2761</v>
      </c>
      <c r="E122" s="540">
        <v>0.1</v>
      </c>
      <c r="F122" s="541">
        <v>15</v>
      </c>
    </row>
    <row r="123" spans="1:6" ht="24">
      <c r="A123" s="511">
        <v>49</v>
      </c>
      <c r="B123" s="4710"/>
      <c r="C123" s="511" t="s">
        <v>2762</v>
      </c>
      <c r="D123" s="500" t="s">
        <v>2763</v>
      </c>
      <c r="E123" s="540">
        <v>0.1</v>
      </c>
      <c r="F123" s="541">
        <v>15</v>
      </c>
    </row>
    <row r="124" spans="1:6" ht="24">
      <c r="A124" s="511">
        <v>50</v>
      </c>
      <c r="B124" s="4708" t="s">
        <v>2764</v>
      </c>
      <c r="C124" s="511" t="s">
        <v>2765</v>
      </c>
      <c r="D124" s="500" t="s">
        <v>2766</v>
      </c>
      <c r="E124" s="540">
        <v>0.1</v>
      </c>
      <c r="F124" s="541">
        <v>15</v>
      </c>
    </row>
    <row r="125" spans="1:6" ht="24">
      <c r="A125" s="511">
        <v>51</v>
      </c>
      <c r="B125" s="4708"/>
      <c r="C125" s="511" t="s">
        <v>2767</v>
      </c>
      <c r="D125" s="500" t="s">
        <v>2768</v>
      </c>
      <c r="E125" s="540">
        <v>0.1</v>
      </c>
      <c r="F125" s="541">
        <v>15</v>
      </c>
    </row>
    <row r="126" spans="1:6" ht="24">
      <c r="A126" s="511">
        <v>52</v>
      </c>
      <c r="B126" s="4708" t="s">
        <v>2769</v>
      </c>
      <c r="C126" s="511" t="s">
        <v>2770</v>
      </c>
      <c r="D126" s="500" t="s">
        <v>2771</v>
      </c>
      <c r="E126" s="540">
        <v>0.1</v>
      </c>
      <c r="F126" s="541">
        <v>15</v>
      </c>
    </row>
    <row r="127" spans="1:6" ht="24">
      <c r="A127" s="511">
        <v>53</v>
      </c>
      <c r="B127" s="4708"/>
      <c r="C127" s="511" t="s">
        <v>2772</v>
      </c>
      <c r="D127" s="500" t="s">
        <v>2773</v>
      </c>
      <c r="E127" s="540">
        <v>0.1</v>
      </c>
      <c r="F127" s="541">
        <v>15</v>
      </c>
    </row>
    <row r="128" spans="1:6" ht="24">
      <c r="A128" s="511">
        <v>54</v>
      </c>
      <c r="B128" s="511" t="s">
        <v>2774</v>
      </c>
      <c r="C128" s="511" t="s">
        <v>2775</v>
      </c>
      <c r="D128" s="500" t="s">
        <v>2776</v>
      </c>
      <c r="E128" s="540">
        <v>0.1</v>
      </c>
      <c r="F128" s="541">
        <v>15</v>
      </c>
    </row>
    <row r="129" spans="1:6" ht="24">
      <c r="A129" s="511">
        <v>55</v>
      </c>
      <c r="B129" s="4708" t="s">
        <v>2777</v>
      </c>
      <c r="C129" s="511" t="s">
        <v>2778</v>
      </c>
      <c r="D129" s="500" t="s">
        <v>2779</v>
      </c>
      <c r="E129" s="540">
        <v>0.1</v>
      </c>
      <c r="F129" s="541">
        <v>15</v>
      </c>
    </row>
    <row r="130" spans="1:6" ht="24">
      <c r="A130" s="511">
        <v>56</v>
      </c>
      <c r="B130" s="4708"/>
      <c r="C130" s="511" t="s">
        <v>2780</v>
      </c>
      <c r="D130" s="500" t="s">
        <v>2781</v>
      </c>
      <c r="E130" s="540">
        <v>0.1</v>
      </c>
      <c r="F130" s="541">
        <v>15</v>
      </c>
    </row>
    <row r="131" spans="1:6" ht="24">
      <c r="A131" s="511">
        <v>57</v>
      </c>
      <c r="B131" s="4708"/>
      <c r="C131" s="511" t="s">
        <v>2782</v>
      </c>
      <c r="D131" s="500" t="s">
        <v>2783</v>
      </c>
      <c r="E131" s="540">
        <v>0.1</v>
      </c>
      <c r="F131" s="541">
        <v>15</v>
      </c>
    </row>
    <row r="132" spans="1:6" ht="24">
      <c r="A132" s="511">
        <v>58</v>
      </c>
      <c r="B132" s="4708" t="s">
        <v>2784</v>
      </c>
      <c r="C132" s="511" t="s">
        <v>2785</v>
      </c>
      <c r="D132" s="500" t="s">
        <v>2786</v>
      </c>
      <c r="E132" s="540">
        <v>0.1</v>
      </c>
      <c r="F132" s="541">
        <v>15</v>
      </c>
    </row>
    <row r="133" spans="1:6" ht="24">
      <c r="A133" s="511">
        <v>59</v>
      </c>
      <c r="B133" s="4708"/>
      <c r="C133" s="511" t="s">
        <v>2787</v>
      </c>
      <c r="D133" s="500" t="s">
        <v>2788</v>
      </c>
      <c r="E133" s="540">
        <v>0.1</v>
      </c>
      <c r="F133" s="541">
        <v>15</v>
      </c>
    </row>
    <row r="134" spans="1:6" ht="24">
      <c r="A134" s="511">
        <v>60</v>
      </c>
      <c r="B134" s="4709" t="s">
        <v>2789</v>
      </c>
      <c r="C134" s="511" t="s">
        <v>2790</v>
      </c>
      <c r="D134" s="500" t="s">
        <v>2791</v>
      </c>
      <c r="E134" s="540">
        <v>0.1</v>
      </c>
      <c r="F134" s="541">
        <v>15</v>
      </c>
    </row>
    <row r="135" spans="1:6" ht="24">
      <c r="A135" s="511">
        <v>61</v>
      </c>
      <c r="B135" s="4710"/>
      <c r="C135" s="511" t="s">
        <v>2792</v>
      </c>
      <c r="D135" s="500" t="s">
        <v>2793</v>
      </c>
      <c r="E135" s="540">
        <v>0.1</v>
      </c>
      <c r="F135" s="541">
        <v>15</v>
      </c>
    </row>
    <row r="136" spans="1:6" ht="24">
      <c r="A136" s="511">
        <v>62</v>
      </c>
      <c r="B136" s="511" t="s">
        <v>2794</v>
      </c>
      <c r="C136" s="511" t="s">
        <v>2795</v>
      </c>
      <c r="D136" s="500" t="s">
        <v>2796</v>
      </c>
      <c r="E136" s="540">
        <v>0.1</v>
      </c>
      <c r="F136" s="541">
        <v>15</v>
      </c>
    </row>
    <row r="137" spans="1:6" ht="24">
      <c r="A137" s="511">
        <v>63</v>
      </c>
      <c r="B137" s="4708" t="s">
        <v>2797</v>
      </c>
      <c r="C137" s="511" t="s">
        <v>2798</v>
      </c>
      <c r="D137" s="500" t="s">
        <v>2799</v>
      </c>
      <c r="E137" s="540">
        <v>0.1</v>
      </c>
      <c r="F137" s="541">
        <v>15</v>
      </c>
    </row>
    <row r="138" spans="1:6" ht="24">
      <c r="A138" s="511">
        <v>64</v>
      </c>
      <c r="B138" s="4708"/>
      <c r="C138" s="511" t="s">
        <v>2800</v>
      </c>
      <c r="D138" s="500" t="s">
        <v>2801</v>
      </c>
      <c r="E138" s="540">
        <v>0.1</v>
      </c>
      <c r="F138" s="541">
        <v>15</v>
      </c>
    </row>
    <row r="139" spans="1:6" ht="24">
      <c r="A139" s="511">
        <v>65</v>
      </c>
      <c r="B139" s="511" t="s">
        <v>2802</v>
      </c>
      <c r="C139" s="511" t="s">
        <v>2803</v>
      </c>
      <c r="D139" s="500" t="s">
        <v>2804</v>
      </c>
      <c r="E139" s="540">
        <v>0.1</v>
      </c>
      <c r="F139" s="541">
        <v>15</v>
      </c>
    </row>
    <row r="140" spans="1:6" ht="14.4">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2805</v>
      </c>
      <c r="B1" s="454"/>
      <c r="C1" s="454"/>
      <c r="D1" s="454"/>
      <c r="E1" s="454"/>
      <c r="F1" s="454"/>
      <c r="G1" s="454"/>
      <c r="H1" s="454"/>
      <c r="I1" s="454"/>
      <c r="J1" s="454"/>
      <c r="K1" s="454"/>
      <c r="L1" s="454"/>
      <c r="M1" s="454"/>
      <c r="N1" s="455"/>
    </row>
    <row r="2" spans="1:20">
      <c r="A2" s="456" t="s">
        <v>1285</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2806</v>
      </c>
      <c r="R2" s="461" t="s">
        <v>2807</v>
      </c>
      <c r="S2" s="461" t="s">
        <v>2808</v>
      </c>
      <c r="T2" s="461" t="s">
        <v>2809</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2810</v>
      </c>
      <c r="B93" s="454"/>
      <c r="C93" s="454"/>
      <c r="D93" s="454"/>
      <c r="E93" s="454"/>
      <c r="F93" s="454"/>
      <c r="G93" s="454"/>
      <c r="H93" s="454"/>
      <c r="I93" s="454"/>
      <c r="J93" s="454"/>
      <c r="K93" s="454"/>
      <c r="L93" s="454"/>
      <c r="M93" s="454"/>
    </row>
    <row r="94" spans="1:20">
      <c r="A94" s="456" t="s">
        <v>1285</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2806</v>
      </c>
      <c r="R94" s="461" t="s">
        <v>2807</v>
      </c>
      <c r="S94" s="461" t="s">
        <v>2808</v>
      </c>
      <c r="T94" s="461" t="s">
        <v>2809</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2811</v>
      </c>
      <c r="B185" s="454"/>
      <c r="C185" s="454"/>
      <c r="D185" s="454"/>
      <c r="E185" s="454"/>
      <c r="F185" s="454"/>
      <c r="G185" s="454"/>
      <c r="H185" s="454"/>
      <c r="I185" s="454"/>
      <c r="J185" s="454"/>
      <c r="K185" s="454"/>
      <c r="L185" s="454"/>
      <c r="M185" s="454"/>
    </row>
    <row r="186" spans="1:20">
      <c r="A186" s="456" t="s">
        <v>1285</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2806</v>
      </c>
      <c r="R186" s="461" t="s">
        <v>2807</v>
      </c>
      <c r="S186" s="461" t="s">
        <v>2808</v>
      </c>
      <c r="T186" s="461" t="s">
        <v>2809</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2812</v>
      </c>
      <c r="B277" s="454"/>
      <c r="C277" s="454"/>
      <c r="D277" s="454"/>
      <c r="E277" s="454"/>
      <c r="F277" s="454"/>
      <c r="G277" s="454"/>
      <c r="H277" s="454"/>
      <c r="I277" s="454"/>
      <c r="J277" s="454"/>
      <c r="K277" s="454"/>
      <c r="L277" s="454"/>
      <c r="M277" s="454"/>
    </row>
    <row r="278" spans="1:21">
      <c r="A278" s="456" t="s">
        <v>1285</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2806</v>
      </c>
      <c r="R278" s="461" t="s">
        <v>2807</v>
      </c>
      <c r="S278" s="461" t="s">
        <v>2813</v>
      </c>
      <c r="T278" s="461" t="s">
        <v>2814</v>
      </c>
      <c r="U278" s="461" t="s">
        <v>2809</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2815</v>
      </c>
      <c r="B369" s="469"/>
      <c r="C369" s="469"/>
      <c r="D369" s="469"/>
      <c r="E369" s="469"/>
      <c r="F369" s="469"/>
      <c r="G369" s="469"/>
      <c r="H369" s="469"/>
      <c r="I369" s="469"/>
      <c r="J369" s="469"/>
      <c r="K369" s="469"/>
      <c r="L369" s="469"/>
      <c r="M369" s="469"/>
    </row>
    <row r="370" spans="1:20">
      <c r="A370" s="456" t="s">
        <v>1285</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2806</v>
      </c>
      <c r="R370" s="461" t="s">
        <v>2807</v>
      </c>
      <c r="S370" s="461" t="s">
        <v>2808</v>
      </c>
      <c r="T370" s="461" t="s">
        <v>2809</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2816</v>
      </c>
      <c r="B1" s="372"/>
      <c r="C1" s="373"/>
      <c r="D1" s="373"/>
      <c r="E1" s="373"/>
      <c r="F1" s="373"/>
      <c r="G1" s="374"/>
    </row>
    <row r="2" spans="1:7" s="363" customFormat="1" ht="18" customHeight="1">
      <c r="A2" s="375" t="s">
        <v>2817</v>
      </c>
      <c r="B2" s="376">
        <f ca="1">C52</f>
        <v>43929</v>
      </c>
      <c r="C2" s="377" t="s">
        <v>1931</v>
      </c>
      <c r="D2" s="374"/>
      <c r="E2" s="374"/>
      <c r="F2" s="374"/>
      <c r="G2" s="374"/>
    </row>
    <row r="3" spans="1:7" s="363" customFormat="1" ht="18" customHeight="1">
      <c r="A3" s="378" t="s">
        <v>2818</v>
      </c>
      <c r="B3" s="379">
        <f ca="1">ROUND(B2*10000/'数据-汇总表'!E3,0)</f>
        <v>17005</v>
      </c>
      <c r="C3" s="377" t="s">
        <v>2307</v>
      </c>
      <c r="D3" s="374"/>
      <c r="E3" s="374"/>
      <c r="F3" s="374"/>
      <c r="G3" s="374"/>
    </row>
    <row r="4" spans="1:7" s="364" customFormat="1" ht="16.2">
      <c r="A4" s="380" t="s">
        <v>2819</v>
      </c>
      <c r="B4" s="381"/>
      <c r="C4" s="381"/>
      <c r="D4" s="381"/>
      <c r="E4" s="381"/>
      <c r="F4" s="381"/>
      <c r="G4" s="382"/>
    </row>
    <row r="5" spans="1:7" s="365" customFormat="1" ht="13.5" customHeight="1">
      <c r="A5" s="383" t="s">
        <v>1518</v>
      </c>
      <c r="B5" s="384" t="s">
        <v>2820</v>
      </c>
      <c r="C5" s="385">
        <f>C6+C7+C8</f>
        <v>20610</v>
      </c>
      <c r="D5" s="385" t="s">
        <v>2821</v>
      </c>
      <c r="E5" s="386" t="s">
        <v>2822</v>
      </c>
      <c r="F5" s="386" t="s">
        <v>2823</v>
      </c>
      <c r="G5" s="387"/>
    </row>
    <row r="6" spans="1:7" s="365" customFormat="1" ht="13.5" customHeight="1">
      <c r="A6" s="388" t="s">
        <v>1420</v>
      </c>
      <c r="B6" s="389" t="s">
        <v>2824</v>
      </c>
      <c r="C6" s="390">
        <v>20000</v>
      </c>
      <c r="D6" s="391"/>
      <c r="E6" s="392"/>
      <c r="F6" s="392"/>
      <c r="G6" s="393"/>
    </row>
    <row r="7" spans="1:7" s="365" customFormat="1" ht="13.5" customHeight="1">
      <c r="A7" s="388" t="s">
        <v>1422</v>
      </c>
      <c r="B7" s="389" t="s">
        <v>2825</v>
      </c>
      <c r="C7" s="394">
        <f>ROUND(C6*F7,0)</f>
        <v>610</v>
      </c>
      <c r="D7" s="394"/>
      <c r="E7" s="392"/>
      <c r="F7" s="395">
        <f>'数据-取费表'!B49+'数据-取费表'!B50</f>
        <v>3.0499999999999999E-2</v>
      </c>
      <c r="G7" s="393"/>
    </row>
    <row r="8" spans="1:7" s="366" customFormat="1">
      <c r="A8" s="388" t="s">
        <v>1430</v>
      </c>
      <c r="B8" s="389" t="s">
        <v>2826</v>
      </c>
      <c r="C8" s="394" t="str">
        <f>IF(G8="已包含在土地购买价格中","0",'数据-取费表'!B29)</f>
        <v>0</v>
      </c>
      <c r="D8" s="396"/>
      <c r="E8" s="394"/>
      <c r="F8" s="395"/>
      <c r="G8" s="397" t="s">
        <v>2827</v>
      </c>
    </row>
    <row r="9" spans="1:7" s="365" customFormat="1" ht="13.5" customHeight="1">
      <c r="A9" s="398" t="s">
        <v>1438</v>
      </c>
      <c r="B9" s="399" t="s">
        <v>2828</v>
      </c>
      <c r="C9" s="400">
        <f>ROUND(D9*E9/10000,0)</f>
        <v>227</v>
      </c>
      <c r="D9" s="401">
        <f>'数据-汇总表'!E5</f>
        <v>16229.82</v>
      </c>
      <c r="E9" s="400">
        <f>'数据-取费表'!B27</f>
        <v>140</v>
      </c>
      <c r="F9" s="395"/>
      <c r="G9" s="402"/>
    </row>
    <row r="10" spans="1:7" s="365" customFormat="1" ht="13.5" customHeight="1">
      <c r="A10" s="398" t="s">
        <v>1442</v>
      </c>
      <c r="B10" s="399" t="s">
        <v>2829</v>
      </c>
      <c r="C10" s="400">
        <f>ROUND(D10*E10/10000,0)</f>
        <v>163</v>
      </c>
      <c r="D10" s="401">
        <f>'数据-汇总表'!E6</f>
        <v>9602.89</v>
      </c>
      <c r="E10" s="400">
        <f>'数据-取费表'!B28</f>
        <v>170</v>
      </c>
      <c r="F10" s="395"/>
      <c r="G10" s="402"/>
    </row>
    <row r="11" spans="1:7" s="365" customFormat="1" ht="13.5" hidden="1" customHeight="1">
      <c r="A11" s="403" t="s">
        <v>1523</v>
      </c>
      <c r="B11" s="389" t="s">
        <v>2830</v>
      </c>
      <c r="C11" s="385"/>
      <c r="D11" s="392"/>
      <c r="E11" s="392"/>
      <c r="F11" s="392"/>
      <c r="G11" s="393"/>
    </row>
    <row r="12" spans="1:7" s="365" customFormat="1" ht="13.5" hidden="1" customHeight="1">
      <c r="A12" s="403" t="s">
        <v>1525</v>
      </c>
      <c r="B12" s="389" t="s">
        <v>2831</v>
      </c>
      <c r="C12" s="385">
        <v>0</v>
      </c>
      <c r="D12" s="392"/>
      <c r="E12" s="404"/>
      <c r="F12" s="395">
        <v>3.0499999999999999E-2</v>
      </c>
      <c r="G12" s="393"/>
    </row>
    <row r="13" spans="1:7" s="365" customFormat="1" ht="13.5" hidden="1" customHeight="1">
      <c r="A13" s="403" t="s">
        <v>1526</v>
      </c>
      <c r="B13" s="389" t="s">
        <v>2832</v>
      </c>
      <c r="C13" s="385"/>
      <c r="D13" s="392"/>
      <c r="E13" s="392"/>
      <c r="F13" s="392"/>
      <c r="G13" s="393"/>
    </row>
    <row r="14" spans="1:7" s="365" customFormat="1" ht="13.5" hidden="1" customHeight="1">
      <c r="A14" s="403" t="s">
        <v>1528</v>
      </c>
      <c r="B14" s="389" t="s">
        <v>2826</v>
      </c>
      <c r="C14" s="385"/>
      <c r="D14" s="392"/>
      <c r="E14" s="392"/>
      <c r="F14" s="392"/>
      <c r="G14" s="393" t="s">
        <v>2833</v>
      </c>
    </row>
    <row r="15" spans="1:7" s="365" customFormat="1" ht="13.5" hidden="1" customHeight="1">
      <c r="A15" s="403" t="s">
        <v>1530</v>
      </c>
      <c r="B15" s="389" t="s">
        <v>2834</v>
      </c>
      <c r="C15" s="394"/>
      <c r="D15" s="392"/>
      <c r="E15" s="392"/>
      <c r="F15" s="392"/>
      <c r="G15" s="393" t="s">
        <v>2835</v>
      </c>
    </row>
    <row r="16" spans="1:7" s="365" customFormat="1" ht="13.5" hidden="1" customHeight="1">
      <c r="A16" s="403" t="s">
        <v>1533</v>
      </c>
      <c r="B16" s="389" t="s">
        <v>2826</v>
      </c>
      <c r="C16" s="394"/>
      <c r="D16" s="392"/>
      <c r="E16" s="392"/>
      <c r="F16" s="392"/>
      <c r="G16" s="393"/>
    </row>
    <row r="17" spans="1:7" s="365" customFormat="1" ht="13.5" hidden="1" customHeight="1">
      <c r="A17" s="403" t="s">
        <v>1534</v>
      </c>
      <c r="B17" s="389" t="s">
        <v>2836</v>
      </c>
      <c r="C17" s="405"/>
      <c r="D17" s="405"/>
      <c r="E17" s="405"/>
      <c r="F17" s="405"/>
      <c r="G17" s="393" t="s">
        <v>2835</v>
      </c>
    </row>
    <row r="18" spans="1:7" s="365" customFormat="1" ht="13.5" hidden="1" customHeight="1">
      <c r="A18" s="403" t="s">
        <v>1536</v>
      </c>
      <c r="B18" s="389" t="s">
        <v>2837</v>
      </c>
      <c r="C18" s="394">
        <v>0</v>
      </c>
      <c r="D18" s="392"/>
      <c r="E18" s="392"/>
      <c r="F18" s="395">
        <v>3.0499999999999999E-2</v>
      </c>
      <c r="G18" s="393" t="s">
        <v>2838</v>
      </c>
    </row>
    <row r="19" spans="1:7" s="366" customFormat="1" ht="13.5" customHeight="1">
      <c r="A19" s="406" t="s">
        <v>1424</v>
      </c>
      <c r="B19" s="384" t="s">
        <v>2839</v>
      </c>
      <c r="C19" s="385">
        <f>IF(G19="已包含在土地取得成本中","0",ROUND(D19*E19/10000,0))</f>
        <v>517</v>
      </c>
      <c r="D19" s="386">
        <f>'数据-汇总表'!E3</f>
        <v>25832.71</v>
      </c>
      <c r="E19" s="385">
        <f>'数据-取费表'!B31</f>
        <v>200</v>
      </c>
      <c r="F19" s="407"/>
      <c r="G19" s="397" t="s">
        <v>2840</v>
      </c>
    </row>
    <row r="20" spans="1:7" s="365" customFormat="1" ht="13.5" customHeight="1">
      <c r="A20" s="406" t="s">
        <v>2349</v>
      </c>
      <c r="B20" s="384" t="s">
        <v>2841</v>
      </c>
      <c r="C20" s="408">
        <f>ROUND((C5+C19)*F20,0)</f>
        <v>423</v>
      </c>
      <c r="D20" s="408"/>
      <c r="E20" s="408"/>
      <c r="F20" s="409">
        <f>'数据-取费表'!B38</f>
        <v>0.02</v>
      </c>
      <c r="G20" s="410" t="s">
        <v>2842</v>
      </c>
    </row>
    <row r="21" spans="1:7" s="365" customFormat="1" ht="13.5" customHeight="1">
      <c r="A21" s="406" t="s">
        <v>1658</v>
      </c>
      <c r="B21" s="384" t="s">
        <v>2843</v>
      </c>
      <c r="C21" s="411">
        <f>F21</f>
        <v>0.03</v>
      </c>
      <c r="D21" s="412" t="s">
        <v>2844</v>
      </c>
      <c r="E21" s="408"/>
      <c r="F21" s="409">
        <f>'数据-取费表'!B39</f>
        <v>0.03</v>
      </c>
      <c r="G21" s="413" t="s">
        <v>2845</v>
      </c>
    </row>
    <row r="22" spans="1:7" s="365" customFormat="1" ht="13.5" customHeight="1">
      <c r="A22" s="406" t="s">
        <v>1620</v>
      </c>
      <c r="B22" s="384" t="s">
        <v>2846</v>
      </c>
      <c r="C22" s="414">
        <f ca="1">ROUND(SUM(C23:C25),0)</f>
        <v>1728</v>
      </c>
      <c r="D22" s="411">
        <f ca="1">C26</f>
        <v>1.1999999999999999E-3</v>
      </c>
      <c r="E22" s="412" t="s">
        <v>2844</v>
      </c>
      <c r="F22" s="415">
        <f ca="1">'数据-取费表'!B41</f>
        <v>3.1899999999999998E-2</v>
      </c>
      <c r="G22" s="410" t="str">
        <f>IF('数据-取费表'!B22&lt;=1,"单利计息","复利计息")</f>
        <v>复利计息</v>
      </c>
    </row>
    <row r="23" spans="1:7" s="365" customFormat="1" ht="13.5" customHeight="1">
      <c r="A23" s="416" t="s">
        <v>1420</v>
      </c>
      <c r="B23" s="389" t="s">
        <v>2847</v>
      </c>
      <c r="C23" s="417">
        <f ca="1">ROUND(IF('数据-取费表'!B22&lt;=1,C5*F22*'数据-取费表'!B23,C5*(POWER((1+F22),'数据-取费表'!B23)-1)),0)</f>
        <v>1669</v>
      </c>
      <c r="D23" s="418"/>
      <c r="E23" s="418"/>
      <c r="F23" s="419"/>
      <c r="G23" s="420" t="s">
        <v>2848</v>
      </c>
    </row>
    <row r="24" spans="1:7" s="365" customFormat="1" ht="13.5" customHeight="1">
      <c r="A24" s="416" t="s">
        <v>1422</v>
      </c>
      <c r="B24" s="389" t="s">
        <v>2849</v>
      </c>
      <c r="C24" s="417">
        <f ca="1">ROUND(IF('数据-取费表'!B22&lt;=1,C19*F22*('数据-取费表'!B19/2+'数据-取费表'!B21),C19*(POWER((1+F22),('数据-取费表'!B19/2+'数据-取费表'!B21))-1)),0)</f>
        <v>42</v>
      </c>
      <c r="D24" s="418"/>
      <c r="E24" s="418"/>
      <c r="F24" s="419"/>
      <c r="G24" s="420" t="s">
        <v>2850</v>
      </c>
    </row>
    <row r="25" spans="1:7" s="365" customFormat="1" ht="24">
      <c r="A25" s="416" t="s">
        <v>1430</v>
      </c>
      <c r="B25" s="389" t="s">
        <v>2851</v>
      </c>
      <c r="C25" s="417">
        <f ca="1">ROUND(IF('数据-取费表'!B22&lt;=1,C20*F22*'数据-取费表'!B23/2,C20*(POWER((1+F22),'数据-取费表'!B23/2)-1)),0)</f>
        <v>17</v>
      </c>
      <c r="D25" s="418"/>
      <c r="E25" s="421"/>
      <c r="F25" s="419"/>
      <c r="G25" s="422" t="s">
        <v>2852</v>
      </c>
    </row>
    <row r="26" spans="1:7" s="365" customFormat="1">
      <c r="A26" s="416" t="s">
        <v>1466</v>
      </c>
      <c r="B26" s="389" t="s">
        <v>2853</v>
      </c>
      <c r="C26" s="418">
        <f ca="1">ROUND(IF('数据-取费表'!B22&lt;=1,F21*F22*'数据-取费表'!B23/2,F21*(POWER((1+F22),'数据-取费表'!B23/2)-1)),4)</f>
        <v>1.1999999999999999E-3</v>
      </c>
      <c r="D26" s="418"/>
      <c r="E26" s="421"/>
      <c r="F26" s="419"/>
      <c r="G26" s="423"/>
    </row>
    <row r="27" spans="1:7" s="365" customFormat="1" ht="26.4">
      <c r="A27" s="406" t="s">
        <v>1621</v>
      </c>
      <c r="B27" s="424" t="s">
        <v>2854</v>
      </c>
      <c r="C27" s="425">
        <f>C28</f>
        <v>2993</v>
      </c>
      <c r="D27" s="411">
        <f>C29</f>
        <v>4.1999999999999997E-3</v>
      </c>
      <c r="E27" s="412" t="s">
        <v>2844</v>
      </c>
      <c r="F27" s="426">
        <f>'数据-取费表'!Q16</f>
        <v>0.14000000000000001</v>
      </c>
      <c r="G27" s="427" t="s">
        <v>2855</v>
      </c>
    </row>
    <row r="28" spans="1:7" s="365" customFormat="1" ht="13.5" customHeight="1">
      <c r="A28" s="416" t="s">
        <v>1420</v>
      </c>
      <c r="B28" s="428" t="s">
        <v>2856</v>
      </c>
      <c r="C28" s="429">
        <f>ROUND((C5+C19+C20)*F27*'数据-取费表'!B21/'数据-取费表'!B20,0)</f>
        <v>2993</v>
      </c>
      <c r="D28" s="411"/>
      <c r="E28" s="412"/>
      <c r="F28" s="426"/>
      <c r="G28" s="427"/>
    </row>
    <row r="29" spans="1:7" s="365" customFormat="1" ht="13.5" customHeight="1">
      <c r="A29" s="416" t="s">
        <v>1422</v>
      </c>
      <c r="B29" s="428" t="s">
        <v>2857</v>
      </c>
      <c r="C29" s="418">
        <f>ROUND(C21*F27*'数据-取费表'!B21/'数据-取费表'!B20,4)</f>
        <v>4.1999999999999997E-3</v>
      </c>
      <c r="D29" s="411"/>
      <c r="E29" s="412"/>
      <c r="F29" s="426"/>
      <c r="G29" s="427"/>
    </row>
    <row r="30" spans="1:7" s="365" customFormat="1" ht="13.5" customHeight="1">
      <c r="A30" s="406" t="s">
        <v>1499</v>
      </c>
      <c r="B30" s="384" t="s">
        <v>2858</v>
      </c>
      <c r="C30" s="411">
        <f>F30</f>
        <v>0</v>
      </c>
      <c r="D30" s="412" t="s">
        <v>2859</v>
      </c>
      <c r="E30" s="421"/>
      <c r="F30" s="415">
        <f>'数据-取费表'!B42</f>
        <v>0</v>
      </c>
      <c r="G30" s="413" t="s">
        <v>2860</v>
      </c>
    </row>
    <row r="31" spans="1:7" ht="16.5" customHeight="1">
      <c r="A31" s="430">
        <v>1</v>
      </c>
      <c r="B31" s="384" t="s">
        <v>2861</v>
      </c>
      <c r="C31" s="385">
        <f ca="1">ROUND((C5+C19+C20+C22+C27)/(1-C21-D22-D27-C30/(1+'数据-取费表'!B43)),0)</f>
        <v>27235</v>
      </c>
      <c r="D31" s="431"/>
      <c r="E31" s="385"/>
      <c r="F31" s="432"/>
      <c r="G31" s="413" t="s">
        <v>2862</v>
      </c>
    </row>
    <row r="32" spans="1:7" s="364" customFormat="1" ht="16.2">
      <c r="A32" s="433" t="s">
        <v>2863</v>
      </c>
      <c r="B32" s="434"/>
      <c r="C32" s="434"/>
      <c r="D32" s="434"/>
      <c r="E32" s="434"/>
      <c r="F32" s="434"/>
      <c r="G32" s="435"/>
    </row>
    <row r="33" spans="1:7" s="365" customFormat="1" ht="13.5" customHeight="1">
      <c r="A33" s="383" t="s">
        <v>1518</v>
      </c>
      <c r="B33" s="384" t="s">
        <v>2864</v>
      </c>
      <c r="C33" s="436">
        <f>SUM(C34:C38)</f>
        <v>13382</v>
      </c>
      <c r="D33" s="408"/>
      <c r="E33" s="386"/>
      <c r="F33" s="421"/>
      <c r="G33" s="413"/>
    </row>
    <row r="34" spans="1:7" s="367" customFormat="1" ht="13.5" customHeight="1">
      <c r="A34" s="416" t="s">
        <v>1420</v>
      </c>
      <c r="B34" s="389" t="s">
        <v>2865</v>
      </c>
      <c r="C34" s="394">
        <f>IF(F34=100%,'数据-取费表'!M16-SUMIF('数据-取费表'!C:C,"公共配套",'数据-取费表'!M:M),'数据-取费表'!O16-SUMIF('数据-取费表'!C:C,"公共配套",'数据-取费表'!O:O))</f>
        <v>11932</v>
      </c>
      <c r="D34" s="391"/>
      <c r="E34" s="394"/>
      <c r="F34" s="437">
        <f>IF('数据-取费表'!B24=0,1,'数据-取费表'!N16)</f>
        <v>0.99</v>
      </c>
      <c r="G34" s="393" t="s">
        <v>2866</v>
      </c>
    </row>
    <row r="35" spans="1:7" ht="13.5" customHeight="1">
      <c r="A35" s="416" t="s">
        <v>1422</v>
      </c>
      <c r="B35" s="389" t="s">
        <v>2867</v>
      </c>
      <c r="C35" s="394">
        <f>ROUND(C34*F35,0)</f>
        <v>358</v>
      </c>
      <c r="D35" s="394"/>
      <c r="E35" s="394"/>
      <c r="F35" s="438">
        <f>'数据-取费表'!B33</f>
        <v>0.03</v>
      </c>
      <c r="G35" s="393" t="s">
        <v>2868</v>
      </c>
    </row>
    <row r="36" spans="1:7" ht="24">
      <c r="A36" s="416" t="s">
        <v>1430</v>
      </c>
      <c r="B36" s="389" t="s">
        <v>2869</v>
      </c>
      <c r="C36" s="394">
        <f>ROUND(IF(SUMIF('数据-取费表'!C:C,"住宅",IF(F34=100%,'数据-取费表'!M:M,'数据-取费表'!O:O))=0,0,IF(F36=0,SUMIF('数据-取费表'!C:C,"公共配套",IF(F34=100%,'数据-取费表'!M:M,'数据-取费表'!O:O)),SUMIF('数据-取费表'!C:C,"住宅",IF(F34=100%,'数据-取费表'!M:M,'数据-取费表'!O:O))*F36)),0)</f>
        <v>402</v>
      </c>
      <c r="D36" s="394"/>
      <c r="E36" s="394"/>
      <c r="F36" s="438">
        <f>'数据-取费表'!B34</f>
        <v>0.05</v>
      </c>
      <c r="G36" s="439" t="s">
        <v>2870</v>
      </c>
    </row>
    <row r="37" spans="1:7" s="367" customFormat="1" ht="13.5" customHeight="1">
      <c r="A37" s="416" t="s">
        <v>1466</v>
      </c>
      <c r="B37" s="389" t="s">
        <v>2871</v>
      </c>
      <c r="C37" s="429">
        <f>ROUND(E37*D37*F34/10000,0)</f>
        <v>511</v>
      </c>
      <c r="D37" s="391">
        <f>'数据-汇总表'!E3</f>
        <v>25832.71</v>
      </c>
      <c r="E37" s="429">
        <f>'数据-取费表'!B35</f>
        <v>200</v>
      </c>
      <c r="F37" s="438"/>
      <c r="G37" s="440" t="s">
        <v>2872</v>
      </c>
    </row>
    <row r="38" spans="1:7" ht="13.5" customHeight="1">
      <c r="A38" s="416" t="s">
        <v>1449</v>
      </c>
      <c r="B38" s="389" t="s">
        <v>2831</v>
      </c>
      <c r="C38" s="394">
        <f>ROUND(C34*F38,0)</f>
        <v>179</v>
      </c>
      <c r="D38" s="394"/>
      <c r="E38" s="394"/>
      <c r="F38" s="438">
        <f>'数据-取费表'!B36</f>
        <v>1.4999999999999999E-2</v>
      </c>
      <c r="G38" s="393" t="s">
        <v>2868</v>
      </c>
    </row>
    <row r="39" spans="1:7" s="365" customFormat="1" ht="13.5" customHeight="1">
      <c r="A39" s="406" t="s">
        <v>1424</v>
      </c>
      <c r="B39" s="384" t="s">
        <v>2841</v>
      </c>
      <c r="C39" s="408">
        <f>ROUND(C33*F20,0)</f>
        <v>268</v>
      </c>
      <c r="D39" s="408"/>
      <c r="E39" s="408"/>
      <c r="F39" s="409"/>
      <c r="G39" s="410" t="s">
        <v>2499</v>
      </c>
    </row>
    <row r="40" spans="1:7" s="365" customFormat="1" ht="13.5" customHeight="1">
      <c r="A40" s="406" t="s">
        <v>2349</v>
      </c>
      <c r="B40" s="384" t="s">
        <v>2843</v>
      </c>
      <c r="C40" s="441">
        <f>F21</f>
        <v>0.03</v>
      </c>
      <c r="D40" s="412" t="s">
        <v>2873</v>
      </c>
      <c r="E40" s="408"/>
      <c r="F40" s="409"/>
      <c r="G40" s="413" t="s">
        <v>2874</v>
      </c>
    </row>
    <row r="41" spans="1:7" s="365" customFormat="1" ht="13.5" customHeight="1">
      <c r="A41" s="406" t="s">
        <v>1658</v>
      </c>
      <c r="B41" s="384" t="s">
        <v>2846</v>
      </c>
      <c r="C41" s="408">
        <f ca="1">ROUND(SUM(C42:C43),0)</f>
        <v>542</v>
      </c>
      <c r="D41" s="411">
        <f ca="1">C44</f>
        <v>1.1999999999999999E-3</v>
      </c>
      <c r="E41" s="412" t="s">
        <v>2873</v>
      </c>
      <c r="F41" s="415"/>
      <c r="G41" s="410" t="str">
        <f>IF('数据-取费表'!B22&lt;=1,"单利计息","复利计息")</f>
        <v>复利计息</v>
      </c>
    </row>
    <row r="42" spans="1:7" ht="13.5" customHeight="1">
      <c r="A42" s="416" t="s">
        <v>1420</v>
      </c>
      <c r="B42" s="389" t="s">
        <v>2847</v>
      </c>
      <c r="C42" s="418">
        <f ca="1">ROUND(IF('数据-取费表'!B22&lt;=1,C33*F22*'数据-取费表'!B21/2,C33*(POWER((1+F22),'数据-取费表'!B21/2)-1)),0)</f>
        <v>531</v>
      </c>
      <c r="D42" s="418"/>
      <c r="E42" s="418"/>
      <c r="F42" s="419"/>
      <c r="G42" s="4568" t="s">
        <v>2875</v>
      </c>
    </row>
    <row r="43" spans="1:7" ht="13.5" customHeight="1">
      <c r="A43" s="416" t="s">
        <v>1422</v>
      </c>
      <c r="B43" s="389" t="s">
        <v>2849</v>
      </c>
      <c r="C43" s="418">
        <f ca="1">ROUND(IF('数据-取费表'!B22&lt;=1,C39*F22*'数据-取费表'!B21/2,C39*(POWER((1+F22),'数据-取费表'!B21/2)-1)),0)</f>
        <v>11</v>
      </c>
      <c r="D43" s="418"/>
      <c r="E43" s="418"/>
      <c r="F43" s="419"/>
      <c r="G43" s="4570"/>
    </row>
    <row r="44" spans="1:7" ht="13.5" customHeight="1">
      <c r="A44" s="416" t="s">
        <v>1430</v>
      </c>
      <c r="B44" s="389" t="s">
        <v>2851</v>
      </c>
      <c r="C44" s="418">
        <f ca="1">ROUND(IF('数据-取费表'!B22&lt;=1,C40*F22*'数据-取费表'!B21/2,C40*(POWER((1+F22),'数据-取费表'!B21/2)-1)),4)</f>
        <v>1.1999999999999999E-3</v>
      </c>
      <c r="D44" s="418"/>
      <c r="E44" s="418"/>
      <c r="F44" s="419"/>
      <c r="G44" s="4569"/>
    </row>
    <row r="45" spans="1:7" s="365" customFormat="1" ht="13.5" customHeight="1">
      <c r="A45" s="406" t="s">
        <v>1620</v>
      </c>
      <c r="B45" s="424" t="s">
        <v>2854</v>
      </c>
      <c r="C45" s="425">
        <f>C46</f>
        <v>1911</v>
      </c>
      <c r="D45" s="411">
        <f>C47</f>
        <v>4.1999999999999997E-3</v>
      </c>
      <c r="E45" s="412" t="s">
        <v>2873</v>
      </c>
      <c r="F45" s="426"/>
      <c r="G45" s="427" t="s">
        <v>2876</v>
      </c>
    </row>
    <row r="46" spans="1:7" s="365" customFormat="1" ht="13.5" customHeight="1">
      <c r="A46" s="416" t="s">
        <v>1420</v>
      </c>
      <c r="B46" s="428" t="s">
        <v>2877</v>
      </c>
      <c r="C46" s="429">
        <f>ROUND((C33+C39)*F27,0)</f>
        <v>1911</v>
      </c>
      <c r="D46" s="442"/>
      <c r="E46" s="412"/>
      <c r="F46" s="426"/>
      <c r="G46" s="427"/>
    </row>
    <row r="47" spans="1:7" s="365" customFormat="1" ht="13.5" customHeight="1">
      <c r="A47" s="416" t="s">
        <v>1422</v>
      </c>
      <c r="B47" s="428" t="s">
        <v>2878</v>
      </c>
      <c r="C47" s="418">
        <f>ROUND(C40*F27,4)</f>
        <v>4.1999999999999997E-3</v>
      </c>
      <c r="D47" s="442"/>
      <c r="E47" s="412"/>
      <c r="F47" s="426"/>
      <c r="G47" s="427"/>
    </row>
    <row r="48" spans="1:7" s="365" customFormat="1" ht="13.5" customHeight="1">
      <c r="A48" s="406" t="s">
        <v>1621</v>
      </c>
      <c r="B48" s="384" t="s">
        <v>2858</v>
      </c>
      <c r="C48" s="441">
        <f>F30</f>
        <v>0</v>
      </c>
      <c r="D48" s="412" t="s">
        <v>2879</v>
      </c>
      <c r="E48" s="408"/>
      <c r="F48" s="415"/>
      <c r="G48" s="413" t="s">
        <v>2880</v>
      </c>
    </row>
    <row r="49" spans="1:7" ht="16.5" customHeight="1">
      <c r="A49" s="406" t="s">
        <v>1499</v>
      </c>
      <c r="B49" s="384" t="s">
        <v>2881</v>
      </c>
      <c r="C49" s="408">
        <f ca="1">ROUND((C33+C39+C41+C45)/(1-C40-D41-D45-C48/(1+'数据-取费表'!B43)),0)</f>
        <v>16694</v>
      </c>
      <c r="D49" s="408"/>
      <c r="E49" s="408"/>
      <c r="F49" s="443"/>
      <c r="G49" s="413" t="s">
        <v>2882</v>
      </c>
    </row>
    <row r="50" spans="1:7" s="367" customFormat="1" ht="24">
      <c r="A50" s="406" t="s">
        <v>1502</v>
      </c>
      <c r="B50" s="384" t="s">
        <v>2883</v>
      </c>
      <c r="C50" s="408"/>
      <c r="D50" s="408"/>
      <c r="E50" s="408"/>
      <c r="F50" s="443">
        <f>IF('数据-取费表'!B24=0,'数据-取费表'!N16,1)</f>
        <v>1</v>
      </c>
      <c r="G50" s="427" t="s">
        <v>2884</v>
      </c>
    </row>
    <row r="51" spans="1:7" ht="16.5" customHeight="1">
      <c r="A51" s="406" t="s">
        <v>1783</v>
      </c>
      <c r="B51" s="384" t="s">
        <v>2885</v>
      </c>
      <c r="C51" s="408">
        <f ca="1">ROUND(C49*F50,0)</f>
        <v>16694</v>
      </c>
      <c r="D51" s="408"/>
      <c r="E51" s="408"/>
      <c r="F51" s="443"/>
      <c r="G51" s="413" t="s">
        <v>2886</v>
      </c>
    </row>
    <row r="52" spans="1:7" s="364" customFormat="1" ht="16.2">
      <c r="A52" s="444" t="s">
        <v>2887</v>
      </c>
      <c r="B52" s="445"/>
      <c r="C52" s="446">
        <f ca="1">C31+C51</f>
        <v>43929</v>
      </c>
      <c r="D52" s="445"/>
      <c r="E52" s="445"/>
      <c r="F52" s="445"/>
      <c r="G52" s="447"/>
    </row>
    <row r="55" spans="1:7" ht="15">
      <c r="B55" s="448" t="s">
        <v>2888</v>
      </c>
      <c r="C55" s="449"/>
    </row>
    <row r="56" spans="1:7">
      <c r="B56" s="450" t="s">
        <v>2889</v>
      </c>
      <c r="C56" s="451">
        <f ca="1">ROUND(C51/C52,3)</f>
        <v>0.38</v>
      </c>
    </row>
    <row r="57" spans="1:7">
      <c r="B57" s="450" t="s">
        <v>2890</v>
      </c>
      <c r="C57" s="452">
        <f ca="1">1-C56</f>
        <v>0.62</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22" t="s">
        <v>2891</v>
      </c>
      <c r="B1" s="4722"/>
    </row>
    <row r="2" spans="1:7">
      <c r="A2" s="329"/>
      <c r="B2" s="329"/>
    </row>
    <row r="3" spans="1:7">
      <c r="A3" s="329"/>
      <c r="B3" s="329"/>
      <c r="C3" s="330" t="s">
        <v>229</v>
      </c>
      <c r="D3" s="330" t="s">
        <v>230</v>
      </c>
      <c r="E3" s="330" t="s">
        <v>232</v>
      </c>
      <c r="F3" s="330" t="s">
        <v>233</v>
      </c>
      <c r="G3" s="330" t="s">
        <v>231</v>
      </c>
    </row>
    <row r="4" spans="1:7">
      <c r="A4" s="331" t="s">
        <v>2892</v>
      </c>
      <c r="B4" s="332" t="s">
        <v>2893</v>
      </c>
      <c r="C4" s="330"/>
      <c r="D4" s="330"/>
      <c r="E4" s="330"/>
      <c r="F4" s="330"/>
      <c r="G4" s="330"/>
    </row>
    <row r="5" spans="1:7">
      <c r="A5" s="333" t="s">
        <v>235</v>
      </c>
      <c r="B5" s="334" t="s">
        <v>2894</v>
      </c>
      <c r="C5" s="335">
        <v>9.8000000000000004E-2</v>
      </c>
      <c r="D5" s="335">
        <v>8.6999999999999994E-2</v>
      </c>
      <c r="E5" s="335">
        <v>8.6999999999999994E-2</v>
      </c>
      <c r="F5" s="335">
        <v>9.8000000000000004E-2</v>
      </c>
      <c r="G5" s="336">
        <v>9.5000000000000001E-2</v>
      </c>
    </row>
    <row r="6" spans="1:7">
      <c r="A6" s="337" t="s">
        <v>235</v>
      </c>
      <c r="B6" s="338" t="s">
        <v>2895</v>
      </c>
      <c r="C6" s="339">
        <v>9.8000000000000004E-2</v>
      </c>
      <c r="D6" s="339">
        <v>9.8000000000000004E-2</v>
      </c>
      <c r="E6" s="339">
        <v>9.8000000000000004E-2</v>
      </c>
      <c r="F6" s="339">
        <v>0.1</v>
      </c>
      <c r="G6" s="340">
        <v>9.9000000000000005E-2</v>
      </c>
    </row>
    <row r="7" spans="1:7">
      <c r="A7" s="337" t="s">
        <v>235</v>
      </c>
      <c r="B7" s="338" t="s">
        <v>2896</v>
      </c>
      <c r="C7" s="339">
        <v>9.7000000000000003E-2</v>
      </c>
      <c r="D7" s="339">
        <v>9.7000000000000003E-2</v>
      </c>
      <c r="E7" s="339">
        <v>9.6000000000000002E-2</v>
      </c>
      <c r="F7" s="339">
        <v>0.1</v>
      </c>
      <c r="G7" s="340">
        <v>9.8000000000000004E-2</v>
      </c>
    </row>
    <row r="8" spans="1:7">
      <c r="A8" s="337" t="s">
        <v>235</v>
      </c>
      <c r="B8" s="338" t="s">
        <v>2897</v>
      </c>
      <c r="C8" s="339">
        <v>8.1000000000000003E-2</v>
      </c>
      <c r="D8" s="339">
        <v>8.2000000000000003E-2</v>
      </c>
      <c r="E8" s="339">
        <v>7.0000000000000007E-2</v>
      </c>
      <c r="F8" s="339">
        <v>9.6000000000000002E-2</v>
      </c>
      <c r="G8" s="340">
        <v>8.8999999999999996E-2</v>
      </c>
    </row>
    <row r="9" spans="1:7">
      <c r="A9" s="341" t="s">
        <v>235</v>
      </c>
      <c r="B9" s="342" t="s">
        <v>2898</v>
      </c>
      <c r="C9" s="343">
        <v>0.1</v>
      </c>
      <c r="D9" s="343">
        <v>0.1</v>
      </c>
      <c r="E9" s="343">
        <v>0.1</v>
      </c>
      <c r="F9" s="344"/>
      <c r="G9" s="345">
        <v>0.1</v>
      </c>
    </row>
    <row r="10" spans="1:7">
      <c r="A10" s="333" t="s">
        <v>251</v>
      </c>
      <c r="B10" s="334" t="s">
        <v>2899</v>
      </c>
      <c r="C10" s="335">
        <v>6.7000000000000004E-2</v>
      </c>
      <c r="D10" s="335">
        <v>7.9000000000000001E-2</v>
      </c>
      <c r="E10" s="335">
        <v>7.9000000000000001E-2</v>
      </c>
      <c r="F10" s="335">
        <v>0.1</v>
      </c>
      <c r="G10" s="336">
        <v>9.0999999999999998E-2</v>
      </c>
    </row>
    <row r="11" spans="1:7">
      <c r="A11" s="337" t="s">
        <v>251</v>
      </c>
      <c r="B11" s="338" t="s">
        <v>2900</v>
      </c>
      <c r="C11" s="339">
        <v>0.05</v>
      </c>
      <c r="D11" s="339">
        <v>5.2999999999999999E-2</v>
      </c>
      <c r="E11" s="339">
        <v>6.3E-2</v>
      </c>
      <c r="F11" s="339">
        <v>0.1</v>
      </c>
      <c r="G11" s="340">
        <v>7.1999999999999995E-2</v>
      </c>
    </row>
    <row r="12" spans="1:7">
      <c r="A12" s="337" t="s">
        <v>251</v>
      </c>
      <c r="B12" s="338" t="s">
        <v>2901</v>
      </c>
      <c r="C12" s="339">
        <v>5.2999999999999999E-2</v>
      </c>
      <c r="D12" s="339">
        <v>0.09</v>
      </c>
      <c r="E12" s="339">
        <v>7.1999999999999995E-2</v>
      </c>
      <c r="F12" s="339">
        <v>0.1</v>
      </c>
      <c r="G12" s="340">
        <v>9.7000000000000003E-2</v>
      </c>
    </row>
    <row r="13" spans="1:7">
      <c r="A13" s="337" t="s">
        <v>251</v>
      </c>
      <c r="B13" s="338" t="s">
        <v>2902</v>
      </c>
      <c r="C13" s="339">
        <v>9.7000000000000003E-2</v>
      </c>
      <c r="D13" s="339">
        <v>9.1999999999999998E-2</v>
      </c>
      <c r="E13" s="339">
        <v>9.5000000000000001E-2</v>
      </c>
      <c r="F13" s="339">
        <v>0.1</v>
      </c>
      <c r="G13" s="340">
        <v>9.7000000000000003E-2</v>
      </c>
    </row>
    <row r="14" spans="1:7">
      <c r="A14" s="337" t="s">
        <v>251</v>
      </c>
      <c r="B14" s="338" t="s">
        <v>2903</v>
      </c>
      <c r="C14" s="339">
        <v>9.7000000000000003E-2</v>
      </c>
      <c r="D14" s="339">
        <v>9.7000000000000003E-2</v>
      </c>
      <c r="E14" s="339">
        <v>9.7000000000000003E-2</v>
      </c>
      <c r="F14" s="339">
        <v>0.1</v>
      </c>
      <c r="G14" s="340">
        <v>9.8000000000000004E-2</v>
      </c>
    </row>
    <row r="15" spans="1:7">
      <c r="A15" s="337" t="s">
        <v>251</v>
      </c>
      <c r="B15" s="338" t="s">
        <v>2904</v>
      </c>
      <c r="C15" s="339">
        <v>9.8000000000000004E-2</v>
      </c>
      <c r="D15" s="339">
        <v>9.0999999999999998E-2</v>
      </c>
      <c r="E15" s="339">
        <v>0.06</v>
      </c>
      <c r="F15" s="339">
        <v>0.1</v>
      </c>
      <c r="G15" s="340">
        <v>9.7000000000000003E-2</v>
      </c>
    </row>
    <row r="16" spans="1:7">
      <c r="A16" s="337" t="s">
        <v>251</v>
      </c>
      <c r="B16" s="338" t="s">
        <v>2905</v>
      </c>
      <c r="C16" s="339">
        <v>9.8000000000000004E-2</v>
      </c>
      <c r="D16" s="339">
        <v>9.7000000000000003E-2</v>
      </c>
      <c r="E16" s="339">
        <v>9.5000000000000001E-2</v>
      </c>
      <c r="F16" s="339">
        <v>0.1</v>
      </c>
      <c r="G16" s="340">
        <v>9.9000000000000005E-2</v>
      </c>
    </row>
    <row r="17" spans="1:7">
      <c r="A17" s="337" t="s">
        <v>251</v>
      </c>
      <c r="B17" s="338" t="s">
        <v>2906</v>
      </c>
      <c r="C17" s="339">
        <v>8.8999999999999996E-2</v>
      </c>
      <c r="D17" s="339">
        <v>9.1999999999999998E-2</v>
      </c>
      <c r="E17" s="339">
        <v>6.0999999999999999E-2</v>
      </c>
      <c r="F17" s="339">
        <v>0.1</v>
      </c>
      <c r="G17" s="340">
        <v>9.7000000000000003E-2</v>
      </c>
    </row>
    <row r="18" spans="1:7">
      <c r="A18" s="337" t="s">
        <v>251</v>
      </c>
      <c r="B18" s="338" t="s">
        <v>2907</v>
      </c>
      <c r="C18" s="339">
        <v>9.8000000000000004E-2</v>
      </c>
      <c r="D18" s="339">
        <v>9.8000000000000004E-2</v>
      </c>
      <c r="E18" s="339">
        <v>9.8000000000000004E-2</v>
      </c>
      <c r="F18" s="346"/>
      <c r="G18" s="340">
        <v>9.9000000000000005E-2</v>
      </c>
    </row>
    <row r="19" spans="1:7">
      <c r="A19" s="337" t="s">
        <v>251</v>
      </c>
      <c r="B19" s="338" t="s">
        <v>2908</v>
      </c>
      <c r="C19" s="339">
        <v>9.9000000000000005E-2</v>
      </c>
      <c r="D19" s="339">
        <v>7.3999999999999996E-2</v>
      </c>
      <c r="E19" s="339">
        <v>8.1000000000000003E-2</v>
      </c>
      <c r="F19" s="346"/>
      <c r="G19" s="340">
        <v>9.2999999999999999E-2</v>
      </c>
    </row>
    <row r="20" spans="1:7">
      <c r="A20" s="337" t="s">
        <v>251</v>
      </c>
      <c r="B20" s="338" t="s">
        <v>2909</v>
      </c>
      <c r="C20" s="339">
        <v>0.1</v>
      </c>
      <c r="D20" s="339">
        <v>8.8999999999999996E-2</v>
      </c>
      <c r="E20" s="339">
        <v>8.8999999999999996E-2</v>
      </c>
      <c r="F20" s="346"/>
      <c r="G20" s="340">
        <v>9.5000000000000001E-2</v>
      </c>
    </row>
    <row r="21" spans="1:7">
      <c r="A21" s="337" t="s">
        <v>251</v>
      </c>
      <c r="B21" s="338" t="s">
        <v>2910</v>
      </c>
      <c r="C21" s="339">
        <v>0.1</v>
      </c>
      <c r="D21" s="339">
        <v>9.0999999999999998E-2</v>
      </c>
      <c r="E21" s="339">
        <v>8.2000000000000003E-2</v>
      </c>
      <c r="F21" s="346"/>
      <c r="G21" s="340">
        <v>9.7000000000000003E-2</v>
      </c>
    </row>
    <row r="22" spans="1:7">
      <c r="A22" s="337" t="s">
        <v>251</v>
      </c>
      <c r="B22" s="338" t="s">
        <v>2911</v>
      </c>
      <c r="C22" s="339">
        <v>9.5000000000000001E-2</v>
      </c>
      <c r="D22" s="339">
        <v>9.9000000000000005E-2</v>
      </c>
      <c r="E22" s="339">
        <v>9.8000000000000004E-2</v>
      </c>
      <c r="F22" s="346"/>
      <c r="G22" s="340">
        <v>0.1</v>
      </c>
    </row>
    <row r="23" spans="1:7">
      <c r="A23" s="337" t="s">
        <v>251</v>
      </c>
      <c r="B23" s="338" t="s">
        <v>2912</v>
      </c>
      <c r="C23" s="339">
        <v>9.9000000000000005E-2</v>
      </c>
      <c r="D23" s="339">
        <v>0.1</v>
      </c>
      <c r="E23" s="339">
        <v>0.1</v>
      </c>
      <c r="F23" s="346"/>
      <c r="G23" s="340">
        <v>0.1</v>
      </c>
    </row>
    <row r="24" spans="1:7">
      <c r="A24" s="337" t="s">
        <v>251</v>
      </c>
      <c r="B24" s="338" t="s">
        <v>2913</v>
      </c>
      <c r="C24" s="339">
        <v>9.5000000000000001E-2</v>
      </c>
      <c r="D24" s="339">
        <v>0.1</v>
      </c>
      <c r="E24" s="339">
        <v>9.8000000000000004E-2</v>
      </c>
      <c r="F24" s="346"/>
      <c r="G24" s="340">
        <v>0.1</v>
      </c>
    </row>
    <row r="25" spans="1:7">
      <c r="A25" s="337" t="s">
        <v>251</v>
      </c>
      <c r="B25" s="338" t="s">
        <v>2914</v>
      </c>
      <c r="C25" s="339">
        <v>0.05</v>
      </c>
      <c r="D25" s="339">
        <v>9.6000000000000002E-2</v>
      </c>
      <c r="E25" s="339">
        <v>9.6000000000000002E-2</v>
      </c>
      <c r="F25" s="346"/>
      <c r="G25" s="340">
        <v>9.6000000000000002E-2</v>
      </c>
    </row>
    <row r="26" spans="1:7">
      <c r="A26" s="337" t="s">
        <v>251</v>
      </c>
      <c r="B26" s="338" t="s">
        <v>2915</v>
      </c>
      <c r="C26" s="339">
        <v>6.3E-2</v>
      </c>
      <c r="D26" s="339">
        <v>9.9000000000000005E-2</v>
      </c>
      <c r="E26" s="339">
        <v>9.8000000000000004E-2</v>
      </c>
      <c r="F26" s="346"/>
      <c r="G26" s="340">
        <v>0.1</v>
      </c>
    </row>
    <row r="27" spans="1:7">
      <c r="A27" s="337" t="s">
        <v>251</v>
      </c>
      <c r="B27" s="338" t="s">
        <v>2916</v>
      </c>
      <c r="C27" s="339">
        <v>5.1999999999999998E-2</v>
      </c>
      <c r="D27" s="339">
        <v>9.5000000000000001E-2</v>
      </c>
      <c r="E27" s="339">
        <v>6.4000000000000001E-2</v>
      </c>
      <c r="F27" s="346"/>
      <c r="G27" s="340">
        <v>9.7000000000000003E-2</v>
      </c>
    </row>
    <row r="28" spans="1:7">
      <c r="A28" s="337" t="s">
        <v>251</v>
      </c>
      <c r="B28" s="338" t="s">
        <v>2917</v>
      </c>
      <c r="C28" s="346"/>
      <c r="D28" s="339">
        <v>6.3E-2</v>
      </c>
      <c r="E28" s="339">
        <v>5.1999999999999998E-2</v>
      </c>
      <c r="F28" s="346"/>
      <c r="G28" s="340">
        <v>6.3E-2</v>
      </c>
    </row>
    <row r="29" spans="1:7">
      <c r="A29" s="341" t="s">
        <v>251</v>
      </c>
      <c r="B29" s="342" t="s">
        <v>2918</v>
      </c>
      <c r="C29" s="347"/>
      <c r="D29" s="343">
        <v>5.1999999999999998E-2</v>
      </c>
      <c r="E29" s="343">
        <v>7.0000000000000007E-2</v>
      </c>
      <c r="F29" s="347"/>
      <c r="G29" s="345">
        <v>7.0999999999999994E-2</v>
      </c>
    </row>
    <row r="30" spans="1:7">
      <c r="A30" s="348" t="s">
        <v>264</v>
      </c>
      <c r="B30" s="334" t="s">
        <v>2919</v>
      </c>
      <c r="C30" s="335">
        <v>6.6000000000000003E-2</v>
      </c>
      <c r="D30" s="335">
        <v>6.6000000000000003E-2</v>
      </c>
      <c r="E30" s="335">
        <v>5.7000000000000002E-2</v>
      </c>
      <c r="F30" s="335">
        <v>0.1</v>
      </c>
      <c r="G30" s="336">
        <v>6.8000000000000005E-2</v>
      </c>
    </row>
    <row r="31" spans="1:7">
      <c r="A31" s="349" t="s">
        <v>264</v>
      </c>
      <c r="B31" s="338" t="s">
        <v>2920</v>
      </c>
      <c r="C31" s="339">
        <v>5.5E-2</v>
      </c>
      <c r="D31" s="339">
        <v>8.2000000000000003E-2</v>
      </c>
      <c r="E31" s="339">
        <v>6.4000000000000001E-2</v>
      </c>
      <c r="F31" s="339">
        <v>0.1</v>
      </c>
      <c r="G31" s="340">
        <v>9.5000000000000001E-2</v>
      </c>
    </row>
    <row r="32" spans="1:7">
      <c r="A32" s="349" t="s">
        <v>264</v>
      </c>
      <c r="B32" s="338" t="s">
        <v>2921</v>
      </c>
      <c r="C32" s="339">
        <v>8.2000000000000003E-2</v>
      </c>
      <c r="D32" s="339">
        <v>8.6999999999999994E-2</v>
      </c>
      <c r="E32" s="339">
        <v>9.5000000000000001E-2</v>
      </c>
      <c r="F32" s="339">
        <v>0.1</v>
      </c>
      <c r="G32" s="340">
        <v>9.6000000000000002E-2</v>
      </c>
    </row>
    <row r="33" spans="1:7">
      <c r="A33" s="349" t="s">
        <v>264</v>
      </c>
      <c r="B33" s="338" t="s">
        <v>2922</v>
      </c>
      <c r="C33" s="339">
        <v>9.9000000000000005E-2</v>
      </c>
      <c r="D33" s="339">
        <v>9.1999999999999998E-2</v>
      </c>
      <c r="E33" s="339">
        <v>8.6999999999999994E-2</v>
      </c>
      <c r="F33" s="339">
        <v>0.1</v>
      </c>
      <c r="G33" s="340">
        <v>9.7000000000000003E-2</v>
      </c>
    </row>
    <row r="34" spans="1:7">
      <c r="A34" s="349" t="s">
        <v>264</v>
      </c>
      <c r="B34" s="338" t="s">
        <v>2923</v>
      </c>
      <c r="C34" s="339">
        <v>8.4000000000000005E-2</v>
      </c>
      <c r="D34" s="339">
        <v>9.7000000000000003E-2</v>
      </c>
      <c r="E34" s="339">
        <v>7.0999999999999994E-2</v>
      </c>
      <c r="F34" s="339">
        <v>0.1</v>
      </c>
      <c r="G34" s="340">
        <v>9.8000000000000004E-2</v>
      </c>
    </row>
    <row r="35" spans="1:7">
      <c r="A35" s="349" t="s">
        <v>264</v>
      </c>
      <c r="B35" s="338" t="s">
        <v>2924</v>
      </c>
      <c r="C35" s="339">
        <v>8.3000000000000004E-2</v>
      </c>
      <c r="D35" s="339">
        <v>9.7000000000000003E-2</v>
      </c>
      <c r="E35" s="339">
        <v>6.0999999999999999E-2</v>
      </c>
      <c r="F35" s="339">
        <v>0.1</v>
      </c>
      <c r="G35" s="340">
        <v>9.9000000000000005E-2</v>
      </c>
    </row>
    <row r="36" spans="1:7">
      <c r="A36" s="349" t="s">
        <v>264</v>
      </c>
      <c r="B36" s="338" t="s">
        <v>2925</v>
      </c>
      <c r="C36" s="339">
        <v>9.7000000000000003E-2</v>
      </c>
      <c r="D36" s="339">
        <v>9.7000000000000003E-2</v>
      </c>
      <c r="E36" s="339">
        <v>7.8E-2</v>
      </c>
      <c r="F36" s="339">
        <v>0.1</v>
      </c>
      <c r="G36" s="340">
        <v>9.9000000000000005E-2</v>
      </c>
    </row>
    <row r="37" spans="1:7">
      <c r="A37" s="349" t="s">
        <v>264</v>
      </c>
      <c r="B37" s="338" t="s">
        <v>2926</v>
      </c>
      <c r="C37" s="339">
        <v>9.7000000000000003E-2</v>
      </c>
      <c r="D37" s="339">
        <v>9.5000000000000001E-2</v>
      </c>
      <c r="E37" s="339">
        <v>7.8E-2</v>
      </c>
      <c r="F37" s="339">
        <v>0.1</v>
      </c>
      <c r="G37" s="340">
        <v>9.7000000000000003E-2</v>
      </c>
    </row>
    <row r="38" spans="1:7">
      <c r="A38" s="349" t="s">
        <v>264</v>
      </c>
      <c r="B38" s="338" t="s">
        <v>2927</v>
      </c>
      <c r="C38" s="339">
        <v>9.7000000000000003E-2</v>
      </c>
      <c r="D38" s="339">
        <v>7.6999999999999999E-2</v>
      </c>
      <c r="E38" s="339">
        <v>7.0000000000000007E-2</v>
      </c>
      <c r="F38" s="339">
        <v>0.1</v>
      </c>
      <c r="G38" s="340">
        <v>7.6999999999999999E-2</v>
      </c>
    </row>
    <row r="39" spans="1:7">
      <c r="A39" s="349" t="s">
        <v>264</v>
      </c>
      <c r="B39" s="338" t="s">
        <v>2928</v>
      </c>
      <c r="C39" s="339">
        <v>9.5000000000000001E-2</v>
      </c>
      <c r="D39" s="339">
        <v>7.6999999999999999E-2</v>
      </c>
      <c r="E39" s="339">
        <v>6.6000000000000003E-2</v>
      </c>
      <c r="F39" s="339">
        <v>0.1</v>
      </c>
      <c r="G39" s="340">
        <v>8.5999999999999993E-2</v>
      </c>
    </row>
    <row r="40" spans="1:7">
      <c r="A40" s="349" t="s">
        <v>264</v>
      </c>
      <c r="B40" s="338" t="s">
        <v>2929</v>
      </c>
      <c r="C40" s="339">
        <v>7.6999999999999999E-2</v>
      </c>
      <c r="D40" s="339">
        <v>7.8E-2</v>
      </c>
      <c r="E40" s="339">
        <v>8.2000000000000003E-2</v>
      </c>
      <c r="F40" s="350"/>
      <c r="G40" s="340">
        <v>7.8E-2</v>
      </c>
    </row>
    <row r="41" spans="1:7">
      <c r="A41" s="349" t="s">
        <v>264</v>
      </c>
      <c r="B41" s="338" t="s">
        <v>2930</v>
      </c>
      <c r="C41" s="339">
        <v>7.8E-2</v>
      </c>
      <c r="D41" s="339">
        <v>7.8E-2</v>
      </c>
      <c r="E41" s="339">
        <v>8.2000000000000003E-2</v>
      </c>
      <c r="F41" s="350"/>
      <c r="G41" s="340">
        <v>8.5999999999999993E-2</v>
      </c>
    </row>
    <row r="42" spans="1:7">
      <c r="A42" s="349" t="s">
        <v>264</v>
      </c>
      <c r="B42" s="338" t="s">
        <v>2931</v>
      </c>
      <c r="C42" s="339">
        <v>7.8E-2</v>
      </c>
      <c r="D42" s="339">
        <v>9.6000000000000002E-2</v>
      </c>
      <c r="E42" s="339">
        <v>7.1999999999999995E-2</v>
      </c>
      <c r="F42" s="350"/>
      <c r="G42" s="340">
        <v>9.8000000000000004E-2</v>
      </c>
    </row>
    <row r="43" spans="1:7">
      <c r="A43" s="349" t="s">
        <v>264</v>
      </c>
      <c r="B43" s="338" t="s">
        <v>2932</v>
      </c>
      <c r="C43" s="339">
        <v>7.8E-2</v>
      </c>
      <c r="D43" s="339">
        <v>9.9000000000000005E-2</v>
      </c>
      <c r="E43" s="339">
        <v>9.6000000000000002E-2</v>
      </c>
      <c r="F43" s="350"/>
      <c r="G43" s="340">
        <v>0.1</v>
      </c>
    </row>
    <row r="44" spans="1:7">
      <c r="A44" s="349" t="s">
        <v>264</v>
      </c>
      <c r="B44" s="338" t="s">
        <v>2933</v>
      </c>
      <c r="C44" s="339">
        <v>9.6000000000000002E-2</v>
      </c>
      <c r="D44" s="339">
        <v>0.1</v>
      </c>
      <c r="E44" s="339">
        <v>9.8000000000000004E-2</v>
      </c>
      <c r="F44" s="350"/>
      <c r="G44" s="340">
        <v>0.1</v>
      </c>
    </row>
    <row r="45" spans="1:7">
      <c r="A45" s="349" t="s">
        <v>264</v>
      </c>
      <c r="B45" s="338" t="s">
        <v>2934</v>
      </c>
      <c r="C45" s="339">
        <v>9.9000000000000005E-2</v>
      </c>
      <c r="D45" s="339">
        <v>9.8000000000000004E-2</v>
      </c>
      <c r="E45" s="339">
        <v>9.5000000000000001E-2</v>
      </c>
      <c r="F45" s="350"/>
      <c r="G45" s="340">
        <v>9.8000000000000004E-2</v>
      </c>
    </row>
    <row r="46" spans="1:7">
      <c r="A46" s="349" t="s">
        <v>264</v>
      </c>
      <c r="B46" s="338" t="s">
        <v>2935</v>
      </c>
      <c r="C46" s="339">
        <v>0.1</v>
      </c>
      <c r="D46" s="339">
        <v>9.9000000000000005E-2</v>
      </c>
      <c r="E46" s="339">
        <v>9.6000000000000002E-2</v>
      </c>
      <c r="F46" s="350"/>
      <c r="G46" s="340">
        <v>0.1</v>
      </c>
    </row>
    <row r="47" spans="1:7">
      <c r="A47" s="349" t="s">
        <v>264</v>
      </c>
      <c r="B47" s="338" t="s">
        <v>2936</v>
      </c>
      <c r="C47" s="339">
        <v>9.8000000000000004E-2</v>
      </c>
      <c r="D47" s="339">
        <v>8.6999999999999994E-2</v>
      </c>
      <c r="E47" s="339">
        <v>5.8999999999999997E-2</v>
      </c>
      <c r="F47" s="350"/>
      <c r="G47" s="340">
        <v>9.6000000000000002E-2</v>
      </c>
    </row>
    <row r="48" spans="1:7">
      <c r="A48" s="349" t="s">
        <v>264</v>
      </c>
      <c r="B48" s="338" t="s">
        <v>2937</v>
      </c>
      <c r="C48" s="339">
        <v>9.9000000000000005E-2</v>
      </c>
      <c r="D48" s="339">
        <v>9.8000000000000004E-2</v>
      </c>
      <c r="E48" s="339">
        <v>9.5000000000000001E-2</v>
      </c>
      <c r="F48" s="350"/>
      <c r="G48" s="340">
        <v>9.8000000000000004E-2</v>
      </c>
    </row>
    <row r="49" spans="1:7">
      <c r="A49" s="349" t="s">
        <v>264</v>
      </c>
      <c r="B49" s="338" t="s">
        <v>2938</v>
      </c>
      <c r="C49" s="339">
        <v>8.7999999999999995E-2</v>
      </c>
      <c r="D49" s="339">
        <v>9.9000000000000005E-2</v>
      </c>
      <c r="E49" s="339">
        <v>7.0000000000000007E-2</v>
      </c>
      <c r="F49" s="350"/>
      <c r="G49" s="340">
        <v>0.1</v>
      </c>
    </row>
    <row r="50" spans="1:7">
      <c r="A50" s="349" t="s">
        <v>264</v>
      </c>
      <c r="B50" s="338" t="s">
        <v>2939</v>
      </c>
      <c r="C50" s="339">
        <v>9.8000000000000004E-2</v>
      </c>
      <c r="D50" s="339">
        <v>7.2999999999999995E-2</v>
      </c>
      <c r="E50" s="339">
        <v>7.0999999999999994E-2</v>
      </c>
      <c r="F50" s="350"/>
      <c r="G50" s="340">
        <v>7.2999999999999995E-2</v>
      </c>
    </row>
    <row r="51" spans="1:7">
      <c r="A51" s="349" t="s">
        <v>264</v>
      </c>
      <c r="B51" s="338" t="s">
        <v>2940</v>
      </c>
      <c r="C51" s="339">
        <v>9.9000000000000005E-2</v>
      </c>
      <c r="D51" s="339">
        <v>8.5000000000000006E-2</v>
      </c>
      <c r="E51" s="339">
        <v>6.3E-2</v>
      </c>
      <c r="F51" s="350"/>
      <c r="G51" s="340">
        <v>9.6000000000000002E-2</v>
      </c>
    </row>
    <row r="52" spans="1:7">
      <c r="A52" s="349" t="s">
        <v>264</v>
      </c>
      <c r="B52" s="338" t="s">
        <v>2941</v>
      </c>
      <c r="C52" s="339">
        <v>7.3999999999999996E-2</v>
      </c>
      <c r="D52" s="339">
        <v>9.6000000000000002E-2</v>
      </c>
      <c r="E52" s="339">
        <v>0.05</v>
      </c>
      <c r="F52" s="350"/>
      <c r="G52" s="340">
        <v>9.8000000000000004E-2</v>
      </c>
    </row>
    <row r="53" spans="1:7">
      <c r="A53" s="349" t="s">
        <v>264</v>
      </c>
      <c r="B53" s="338" t="s">
        <v>2942</v>
      </c>
      <c r="C53" s="339">
        <v>8.5999999999999993E-2</v>
      </c>
      <c r="D53" s="350"/>
      <c r="E53" s="339">
        <v>9.1999999999999998E-2</v>
      </c>
      <c r="F53" s="350"/>
      <c r="G53" s="351"/>
    </row>
    <row r="54" spans="1:7">
      <c r="A54" s="352" t="s">
        <v>264</v>
      </c>
      <c r="B54" s="342" t="s">
        <v>2943</v>
      </c>
      <c r="C54" s="343">
        <v>9.6000000000000002E-2</v>
      </c>
      <c r="D54" s="344"/>
      <c r="E54" s="353"/>
      <c r="F54" s="344"/>
      <c r="G54" s="354"/>
    </row>
    <row r="55" spans="1:7">
      <c r="A55" s="348" t="s">
        <v>275</v>
      </c>
      <c r="B55" s="334" t="s">
        <v>2944</v>
      </c>
      <c r="C55" s="335">
        <v>9.6000000000000002E-2</v>
      </c>
      <c r="D55" s="335">
        <v>8.4000000000000005E-2</v>
      </c>
      <c r="E55" s="335">
        <v>9.1999999999999998E-2</v>
      </c>
      <c r="F55" s="335">
        <v>0.1</v>
      </c>
      <c r="G55" s="336">
        <v>9.5000000000000001E-2</v>
      </c>
    </row>
    <row r="56" spans="1:7">
      <c r="A56" s="349" t="s">
        <v>275</v>
      </c>
      <c r="B56" s="338" t="s">
        <v>2945</v>
      </c>
      <c r="C56" s="339">
        <v>8.4000000000000005E-2</v>
      </c>
      <c r="D56" s="339">
        <v>9.1999999999999998E-2</v>
      </c>
      <c r="E56" s="339">
        <v>9.5000000000000001E-2</v>
      </c>
      <c r="F56" s="339">
        <v>9.1999999999999998E-2</v>
      </c>
      <c r="G56" s="340">
        <v>9.6000000000000002E-2</v>
      </c>
    </row>
    <row r="57" spans="1:7">
      <c r="A57" s="349" t="s">
        <v>275</v>
      </c>
      <c r="B57" s="338" t="s">
        <v>2946</v>
      </c>
      <c r="C57" s="339">
        <v>9.9000000000000005E-2</v>
      </c>
      <c r="D57" s="339">
        <v>9.6000000000000002E-2</v>
      </c>
      <c r="E57" s="339">
        <v>9.1999999999999998E-2</v>
      </c>
      <c r="F57" s="339">
        <v>0.1</v>
      </c>
      <c r="G57" s="340">
        <v>9.8000000000000004E-2</v>
      </c>
    </row>
    <row r="58" spans="1:7">
      <c r="A58" s="349" t="s">
        <v>275</v>
      </c>
      <c r="B58" s="338" t="s">
        <v>2947</v>
      </c>
      <c r="C58" s="339">
        <v>9.8000000000000004E-2</v>
      </c>
      <c r="D58" s="339">
        <v>9.5000000000000001E-2</v>
      </c>
      <c r="E58" s="339">
        <v>5.7000000000000002E-2</v>
      </c>
      <c r="F58" s="339">
        <v>0.1</v>
      </c>
      <c r="G58" s="340">
        <v>9.6000000000000002E-2</v>
      </c>
    </row>
    <row r="59" spans="1:7">
      <c r="A59" s="349" t="s">
        <v>275</v>
      </c>
      <c r="B59" s="338" t="s">
        <v>2948</v>
      </c>
      <c r="C59" s="339">
        <v>9.5000000000000001E-2</v>
      </c>
      <c r="D59" s="339">
        <v>0.1</v>
      </c>
      <c r="E59" s="339">
        <v>7.4999999999999997E-2</v>
      </c>
      <c r="F59" s="339">
        <v>0.1</v>
      </c>
      <c r="G59" s="340">
        <v>0.1</v>
      </c>
    </row>
    <row r="60" spans="1:7">
      <c r="A60" s="349" t="s">
        <v>275</v>
      </c>
      <c r="B60" s="338" t="s">
        <v>2949</v>
      </c>
      <c r="C60" s="339">
        <v>0.1</v>
      </c>
      <c r="D60" s="339">
        <v>9.7000000000000003E-2</v>
      </c>
      <c r="E60" s="339">
        <v>0.1</v>
      </c>
      <c r="F60" s="339">
        <v>0.1</v>
      </c>
      <c r="G60" s="340">
        <v>9.7000000000000003E-2</v>
      </c>
    </row>
    <row r="61" spans="1:7">
      <c r="A61" s="349" t="s">
        <v>275</v>
      </c>
      <c r="B61" s="338" t="s">
        <v>2950</v>
      </c>
      <c r="C61" s="339">
        <v>9.7000000000000003E-2</v>
      </c>
      <c r="D61" s="339">
        <v>0.1</v>
      </c>
      <c r="E61" s="339">
        <v>9.2999999999999999E-2</v>
      </c>
      <c r="F61" s="339">
        <v>0.1</v>
      </c>
      <c r="G61" s="340">
        <v>0.1</v>
      </c>
    </row>
    <row r="62" spans="1:7">
      <c r="A62" s="349" t="s">
        <v>275</v>
      </c>
      <c r="B62" s="338" t="s">
        <v>2951</v>
      </c>
      <c r="C62" s="339">
        <v>0.1</v>
      </c>
      <c r="D62" s="339">
        <v>9.7000000000000003E-2</v>
      </c>
      <c r="E62" s="339">
        <v>8.8999999999999996E-2</v>
      </c>
      <c r="F62" s="339">
        <v>0.1</v>
      </c>
      <c r="G62" s="340">
        <v>9.8000000000000004E-2</v>
      </c>
    </row>
    <row r="63" spans="1:7">
      <c r="A63" s="349" t="s">
        <v>275</v>
      </c>
      <c r="B63" s="338" t="s">
        <v>2952</v>
      </c>
      <c r="C63" s="339">
        <v>9.7000000000000003E-2</v>
      </c>
      <c r="D63" s="339">
        <v>9.7000000000000003E-2</v>
      </c>
      <c r="E63" s="339">
        <v>9.9000000000000005E-2</v>
      </c>
      <c r="F63" s="339">
        <v>0.1</v>
      </c>
      <c r="G63" s="340">
        <v>9.7000000000000003E-2</v>
      </c>
    </row>
    <row r="64" spans="1:7">
      <c r="A64" s="349" t="s">
        <v>275</v>
      </c>
      <c r="B64" s="338" t="s">
        <v>2953</v>
      </c>
      <c r="C64" s="339">
        <v>9.7000000000000003E-2</v>
      </c>
      <c r="D64" s="339">
        <v>7.3999999999999996E-2</v>
      </c>
      <c r="E64" s="339">
        <v>7.8E-2</v>
      </c>
      <c r="F64" s="339">
        <v>0.1</v>
      </c>
      <c r="G64" s="340">
        <v>8.8999999999999996E-2</v>
      </c>
    </row>
    <row r="65" spans="1:7">
      <c r="A65" s="349" t="s">
        <v>275</v>
      </c>
      <c r="B65" s="338" t="s">
        <v>2954</v>
      </c>
      <c r="C65" s="339">
        <v>7.2999999999999995E-2</v>
      </c>
      <c r="D65" s="339">
        <v>9.8000000000000004E-2</v>
      </c>
      <c r="E65" s="339">
        <v>9.5000000000000001E-2</v>
      </c>
      <c r="F65" s="339">
        <v>0.1</v>
      </c>
      <c r="G65" s="340">
        <v>9.9000000000000005E-2</v>
      </c>
    </row>
    <row r="66" spans="1:7">
      <c r="A66" s="349" t="s">
        <v>275</v>
      </c>
      <c r="B66" s="338" t="s">
        <v>2955</v>
      </c>
      <c r="C66" s="339">
        <v>9.8000000000000004E-2</v>
      </c>
      <c r="D66" s="339">
        <v>9.5000000000000001E-2</v>
      </c>
      <c r="E66" s="339">
        <v>0.05</v>
      </c>
      <c r="F66" s="339">
        <v>0.1</v>
      </c>
      <c r="G66" s="340">
        <v>9.7000000000000003E-2</v>
      </c>
    </row>
    <row r="67" spans="1:7">
      <c r="A67" s="349" t="s">
        <v>275</v>
      </c>
      <c r="B67" s="338" t="s">
        <v>2956</v>
      </c>
      <c r="C67" s="339">
        <v>9.5000000000000001E-2</v>
      </c>
      <c r="D67" s="339">
        <v>9.7000000000000003E-2</v>
      </c>
      <c r="E67" s="339">
        <v>9.7000000000000003E-2</v>
      </c>
      <c r="F67" s="339">
        <v>0.1</v>
      </c>
      <c r="G67" s="340">
        <v>9.9000000000000005E-2</v>
      </c>
    </row>
    <row r="68" spans="1:7">
      <c r="A68" s="349" t="s">
        <v>275</v>
      </c>
      <c r="B68" s="338" t="s">
        <v>2957</v>
      </c>
      <c r="C68" s="339">
        <v>9.7000000000000003E-2</v>
      </c>
      <c r="D68" s="339">
        <v>6.8000000000000005E-2</v>
      </c>
      <c r="E68" s="339">
        <v>6.6000000000000003E-2</v>
      </c>
      <c r="F68" s="339">
        <v>0.1</v>
      </c>
      <c r="G68" s="340">
        <v>8.4000000000000005E-2</v>
      </c>
    </row>
    <row r="69" spans="1:7">
      <c r="A69" s="349" t="s">
        <v>275</v>
      </c>
      <c r="B69" s="338" t="s">
        <v>2958</v>
      </c>
      <c r="C69" s="339">
        <v>6.8000000000000005E-2</v>
      </c>
      <c r="D69" s="339">
        <v>9.8000000000000004E-2</v>
      </c>
      <c r="E69" s="339">
        <v>9.5000000000000001E-2</v>
      </c>
      <c r="F69" s="339">
        <v>0.1</v>
      </c>
      <c r="G69" s="340">
        <v>0.1</v>
      </c>
    </row>
    <row r="70" spans="1:7">
      <c r="A70" s="349" t="s">
        <v>275</v>
      </c>
      <c r="B70" s="338" t="s">
        <v>2959</v>
      </c>
      <c r="C70" s="339">
        <v>9.8000000000000004E-2</v>
      </c>
      <c r="D70" s="339">
        <v>8.8999999999999996E-2</v>
      </c>
      <c r="E70" s="339">
        <v>5.8999999999999997E-2</v>
      </c>
      <c r="F70" s="339">
        <v>0.1</v>
      </c>
      <c r="G70" s="340">
        <v>9.6000000000000002E-2</v>
      </c>
    </row>
    <row r="71" spans="1:7">
      <c r="A71" s="349" t="s">
        <v>275</v>
      </c>
      <c r="B71" s="338" t="s">
        <v>2960</v>
      </c>
      <c r="C71" s="339">
        <v>8.8999999999999996E-2</v>
      </c>
      <c r="D71" s="339">
        <v>9.9000000000000005E-2</v>
      </c>
      <c r="E71" s="339">
        <v>9.6000000000000002E-2</v>
      </c>
      <c r="F71" s="339">
        <v>0.1</v>
      </c>
      <c r="G71" s="340">
        <v>0.1</v>
      </c>
    </row>
    <row r="72" spans="1:7">
      <c r="A72" s="349" t="s">
        <v>275</v>
      </c>
      <c r="B72" s="338" t="s">
        <v>2961</v>
      </c>
      <c r="C72" s="339">
        <v>9.9000000000000005E-2</v>
      </c>
      <c r="D72" s="339">
        <v>0.1</v>
      </c>
      <c r="E72" s="339">
        <v>7.0000000000000007E-2</v>
      </c>
      <c r="F72" s="350"/>
      <c r="G72" s="340">
        <v>0.1</v>
      </c>
    </row>
    <row r="73" spans="1:7">
      <c r="A73" s="349" t="s">
        <v>275</v>
      </c>
      <c r="B73" s="338" t="s">
        <v>2962</v>
      </c>
      <c r="C73" s="339">
        <v>0.1</v>
      </c>
      <c r="D73" s="339">
        <v>0.1</v>
      </c>
      <c r="E73" s="339">
        <v>9.6000000000000002E-2</v>
      </c>
      <c r="F73" s="350"/>
      <c r="G73" s="340">
        <v>0.1</v>
      </c>
    </row>
    <row r="74" spans="1:7">
      <c r="A74" s="349" t="s">
        <v>275</v>
      </c>
      <c r="B74" s="338" t="s">
        <v>2963</v>
      </c>
      <c r="C74" s="339">
        <v>0.1</v>
      </c>
      <c r="D74" s="339">
        <v>0.1</v>
      </c>
      <c r="E74" s="339">
        <v>9.8000000000000004E-2</v>
      </c>
      <c r="F74" s="350"/>
      <c r="G74" s="340">
        <v>0.1</v>
      </c>
    </row>
    <row r="75" spans="1:7">
      <c r="A75" s="349" t="s">
        <v>275</v>
      </c>
      <c r="B75" s="338" t="s">
        <v>2964</v>
      </c>
      <c r="C75" s="339">
        <v>0.1</v>
      </c>
      <c r="D75" s="339">
        <v>9.9000000000000005E-2</v>
      </c>
      <c r="E75" s="339">
        <v>9.8000000000000004E-2</v>
      </c>
      <c r="F75" s="350"/>
      <c r="G75" s="340">
        <v>0.1</v>
      </c>
    </row>
    <row r="76" spans="1:7">
      <c r="A76" s="349" t="s">
        <v>275</v>
      </c>
      <c r="B76" s="338" t="s">
        <v>2965</v>
      </c>
      <c r="C76" s="339">
        <v>9.9000000000000005E-2</v>
      </c>
      <c r="D76" s="339">
        <v>0.1</v>
      </c>
      <c r="E76" s="339">
        <v>9.7000000000000003E-2</v>
      </c>
      <c r="F76" s="350"/>
      <c r="G76" s="340">
        <v>0.1</v>
      </c>
    </row>
    <row r="77" spans="1:7">
      <c r="A77" s="349" t="s">
        <v>275</v>
      </c>
      <c r="B77" s="338" t="s">
        <v>2966</v>
      </c>
      <c r="C77" s="339">
        <v>0.1</v>
      </c>
      <c r="D77" s="339">
        <v>0.1</v>
      </c>
      <c r="E77" s="339">
        <v>9.6000000000000002E-2</v>
      </c>
      <c r="F77" s="350"/>
      <c r="G77" s="340">
        <v>0.1</v>
      </c>
    </row>
    <row r="78" spans="1:7">
      <c r="A78" s="349" t="s">
        <v>275</v>
      </c>
      <c r="B78" s="338" t="s">
        <v>2967</v>
      </c>
      <c r="C78" s="339">
        <v>0.1</v>
      </c>
      <c r="D78" s="339">
        <v>8.5000000000000006E-2</v>
      </c>
      <c r="E78" s="339">
        <v>9.6000000000000002E-2</v>
      </c>
      <c r="F78" s="350"/>
      <c r="G78" s="340">
        <v>9.6000000000000002E-2</v>
      </c>
    </row>
    <row r="79" spans="1:7">
      <c r="A79" s="349" t="s">
        <v>275</v>
      </c>
      <c r="B79" s="338" t="s">
        <v>2968</v>
      </c>
      <c r="C79" s="339">
        <v>0.05</v>
      </c>
      <c r="D79" s="339">
        <v>9.6000000000000002E-2</v>
      </c>
      <c r="E79" s="339">
        <v>9.5000000000000001E-2</v>
      </c>
      <c r="F79" s="350"/>
      <c r="G79" s="340">
        <v>9.8000000000000004E-2</v>
      </c>
    </row>
    <row r="80" spans="1:7">
      <c r="A80" s="349" t="s">
        <v>275</v>
      </c>
      <c r="B80" s="338" t="s">
        <v>2969</v>
      </c>
      <c r="C80" s="339">
        <v>8.5999999999999993E-2</v>
      </c>
      <c r="D80" s="355"/>
      <c r="E80" s="339">
        <v>0.1</v>
      </c>
      <c r="F80" s="350"/>
      <c r="G80" s="351"/>
    </row>
    <row r="81" spans="1:7">
      <c r="A81" s="349" t="s">
        <v>275</v>
      </c>
      <c r="B81" s="338" t="s">
        <v>2970</v>
      </c>
      <c r="C81" s="339">
        <v>9.6000000000000002E-2</v>
      </c>
      <c r="D81" s="350"/>
      <c r="E81" s="339">
        <v>9.8000000000000004E-2</v>
      </c>
      <c r="F81" s="350"/>
      <c r="G81" s="351"/>
    </row>
    <row r="82" spans="1:7">
      <c r="A82" s="349" t="s">
        <v>275</v>
      </c>
      <c r="B82" s="338" t="s">
        <v>2971</v>
      </c>
      <c r="C82" s="355"/>
      <c r="D82" s="350"/>
      <c r="E82" s="339">
        <v>7.6999999999999999E-2</v>
      </c>
      <c r="F82" s="350"/>
      <c r="G82" s="351"/>
    </row>
    <row r="83" spans="1:7">
      <c r="A83" s="349" t="s">
        <v>275</v>
      </c>
      <c r="B83" s="338" t="s">
        <v>2972</v>
      </c>
      <c r="C83" s="350"/>
      <c r="D83" s="350"/>
      <c r="E83" s="350"/>
      <c r="F83" s="339">
        <v>0.1</v>
      </c>
      <c r="G83" s="356"/>
    </row>
    <row r="84" spans="1:7">
      <c r="A84" s="349" t="s">
        <v>275</v>
      </c>
      <c r="B84" s="338" t="s">
        <v>2973</v>
      </c>
      <c r="C84" s="350"/>
      <c r="D84" s="350"/>
      <c r="E84" s="350"/>
      <c r="F84" s="339">
        <v>0.1</v>
      </c>
      <c r="G84" s="356"/>
    </row>
    <row r="85" spans="1:7">
      <c r="A85" s="349" t="s">
        <v>275</v>
      </c>
      <c r="B85" s="338" t="s">
        <v>2974</v>
      </c>
      <c r="C85" s="350"/>
      <c r="D85" s="350"/>
      <c r="E85" s="350"/>
      <c r="F85" s="339">
        <v>0.1</v>
      </c>
      <c r="G85" s="356"/>
    </row>
    <row r="86" spans="1:7">
      <c r="A86" s="352" t="s">
        <v>275</v>
      </c>
      <c r="B86" s="342" t="s">
        <v>2975</v>
      </c>
      <c r="C86" s="343">
        <v>9.8000000000000004E-2</v>
      </c>
      <c r="D86" s="343">
        <v>9.8000000000000004E-2</v>
      </c>
      <c r="E86" s="343">
        <v>9.6000000000000002E-2</v>
      </c>
      <c r="F86" s="353"/>
      <c r="G86" s="345">
        <v>0.1</v>
      </c>
    </row>
    <row r="87" spans="1:7">
      <c r="A87" s="348" t="s">
        <v>286</v>
      </c>
      <c r="B87" s="334" t="s">
        <v>2976</v>
      </c>
      <c r="C87" s="335">
        <v>0.1</v>
      </c>
      <c r="D87" s="335">
        <v>0.1</v>
      </c>
      <c r="E87" s="335">
        <v>9.8000000000000004E-2</v>
      </c>
      <c r="F87" s="335">
        <v>0.1</v>
      </c>
      <c r="G87" s="336">
        <v>0.1</v>
      </c>
    </row>
    <row r="88" spans="1:7">
      <c r="A88" s="349" t="s">
        <v>286</v>
      </c>
      <c r="B88" s="338" t="s">
        <v>2977</v>
      </c>
      <c r="C88" s="339">
        <v>9.0999999999999998E-2</v>
      </c>
      <c r="D88" s="339">
        <v>9.1999999999999998E-2</v>
      </c>
      <c r="E88" s="339">
        <v>0.1</v>
      </c>
      <c r="F88" s="339">
        <v>0.1</v>
      </c>
      <c r="G88" s="340">
        <v>9.6000000000000002E-2</v>
      </c>
    </row>
    <row r="89" spans="1:7">
      <c r="A89" s="349" t="s">
        <v>286</v>
      </c>
      <c r="B89" s="338" t="s">
        <v>2978</v>
      </c>
      <c r="C89" s="339">
        <v>0.1</v>
      </c>
      <c r="D89" s="339">
        <v>0.1</v>
      </c>
      <c r="E89" s="339">
        <v>6.7000000000000004E-2</v>
      </c>
      <c r="F89" s="339">
        <v>9.2999999999999999E-2</v>
      </c>
      <c r="G89" s="340">
        <v>0.1</v>
      </c>
    </row>
    <row r="90" spans="1:7">
      <c r="A90" s="349" t="s">
        <v>286</v>
      </c>
      <c r="B90" s="338" t="s">
        <v>2979</v>
      </c>
      <c r="C90" s="339">
        <v>9.6000000000000002E-2</v>
      </c>
      <c r="D90" s="339">
        <v>9.6000000000000002E-2</v>
      </c>
      <c r="E90" s="339">
        <v>0.1</v>
      </c>
      <c r="F90" s="339">
        <v>0.1</v>
      </c>
      <c r="G90" s="340">
        <v>9.8000000000000004E-2</v>
      </c>
    </row>
    <row r="91" spans="1:7">
      <c r="A91" s="349" t="s">
        <v>286</v>
      </c>
      <c r="B91" s="338" t="s">
        <v>2980</v>
      </c>
      <c r="C91" s="339">
        <v>7.6999999999999999E-2</v>
      </c>
      <c r="D91" s="339">
        <v>7.6999999999999999E-2</v>
      </c>
      <c r="E91" s="339">
        <v>9.6000000000000002E-2</v>
      </c>
      <c r="F91" s="339">
        <v>0.1</v>
      </c>
      <c r="G91" s="340">
        <v>7.6999999999999999E-2</v>
      </c>
    </row>
    <row r="92" spans="1:7">
      <c r="A92" s="349" t="s">
        <v>286</v>
      </c>
      <c r="B92" s="338" t="s">
        <v>2981</v>
      </c>
      <c r="C92" s="339">
        <v>0.1</v>
      </c>
      <c r="D92" s="339">
        <v>0.1</v>
      </c>
      <c r="E92" s="339">
        <v>9.1999999999999998E-2</v>
      </c>
      <c r="F92" s="339">
        <v>0.1</v>
      </c>
      <c r="G92" s="340">
        <v>0.1</v>
      </c>
    </row>
    <row r="93" spans="1:7">
      <c r="A93" s="349" t="s">
        <v>286</v>
      </c>
      <c r="B93" s="338" t="s">
        <v>2982</v>
      </c>
      <c r="C93" s="339">
        <v>9.8000000000000004E-2</v>
      </c>
      <c r="D93" s="339">
        <v>9.8000000000000004E-2</v>
      </c>
      <c r="E93" s="339">
        <v>9.6000000000000002E-2</v>
      </c>
      <c r="F93" s="339">
        <v>0.1</v>
      </c>
      <c r="G93" s="340">
        <v>9.9000000000000005E-2</v>
      </c>
    </row>
    <row r="94" spans="1:7">
      <c r="A94" s="349" t="s">
        <v>286</v>
      </c>
      <c r="B94" s="338" t="s">
        <v>2983</v>
      </c>
      <c r="C94" s="339">
        <v>8.7999999999999995E-2</v>
      </c>
      <c r="D94" s="339">
        <v>8.7999999999999995E-2</v>
      </c>
      <c r="E94" s="339">
        <v>9.6000000000000002E-2</v>
      </c>
      <c r="F94" s="339">
        <v>0.1</v>
      </c>
      <c r="G94" s="340">
        <v>8.7999999999999995E-2</v>
      </c>
    </row>
    <row r="95" spans="1:7">
      <c r="A95" s="349" t="s">
        <v>286</v>
      </c>
      <c r="B95" s="338" t="s">
        <v>2984</v>
      </c>
      <c r="C95" s="339">
        <v>9.6000000000000002E-2</v>
      </c>
      <c r="D95" s="339">
        <v>9.6000000000000002E-2</v>
      </c>
      <c r="E95" s="339">
        <v>0.1</v>
      </c>
      <c r="F95" s="339">
        <v>0.1</v>
      </c>
      <c r="G95" s="340">
        <v>9.8000000000000004E-2</v>
      </c>
    </row>
    <row r="96" spans="1:7">
      <c r="A96" s="349" t="s">
        <v>286</v>
      </c>
      <c r="B96" s="338" t="s">
        <v>2985</v>
      </c>
      <c r="C96" s="339">
        <v>9.7000000000000003E-2</v>
      </c>
      <c r="D96" s="339">
        <v>9.7000000000000003E-2</v>
      </c>
      <c r="E96" s="339">
        <v>0.1</v>
      </c>
      <c r="F96" s="339">
        <v>0.1</v>
      </c>
      <c r="G96" s="340">
        <v>9.8000000000000004E-2</v>
      </c>
    </row>
    <row r="97" spans="1:7">
      <c r="A97" s="349" t="s">
        <v>286</v>
      </c>
      <c r="B97" s="338" t="s">
        <v>2986</v>
      </c>
      <c r="C97" s="339">
        <v>9.6000000000000002E-2</v>
      </c>
      <c r="D97" s="339">
        <v>9.6000000000000002E-2</v>
      </c>
      <c r="E97" s="339">
        <v>9.9000000000000005E-2</v>
      </c>
      <c r="F97" s="339">
        <v>0.1</v>
      </c>
      <c r="G97" s="340">
        <v>9.8000000000000004E-2</v>
      </c>
    </row>
    <row r="98" spans="1:7">
      <c r="A98" s="349" t="s">
        <v>286</v>
      </c>
      <c r="B98" s="338" t="s">
        <v>2987</v>
      </c>
      <c r="C98" s="339">
        <v>9.8000000000000004E-2</v>
      </c>
      <c r="D98" s="339">
        <v>9.8000000000000004E-2</v>
      </c>
      <c r="E98" s="339">
        <v>0.1</v>
      </c>
      <c r="F98" s="339">
        <v>0.1</v>
      </c>
      <c r="G98" s="340">
        <v>9.9000000000000005E-2</v>
      </c>
    </row>
    <row r="99" spans="1:7">
      <c r="A99" s="349" t="s">
        <v>286</v>
      </c>
      <c r="B99" s="338" t="s">
        <v>2988</v>
      </c>
      <c r="C99" s="339">
        <v>9.6000000000000002E-2</v>
      </c>
      <c r="D99" s="339">
        <v>9.6000000000000002E-2</v>
      </c>
      <c r="E99" s="339">
        <v>0.1</v>
      </c>
      <c r="F99" s="339">
        <v>0.1</v>
      </c>
      <c r="G99" s="340">
        <v>9.7000000000000003E-2</v>
      </c>
    </row>
    <row r="100" spans="1:7">
      <c r="A100" s="349" t="s">
        <v>286</v>
      </c>
      <c r="B100" s="338" t="s">
        <v>2989</v>
      </c>
      <c r="C100" s="339">
        <v>0.1</v>
      </c>
      <c r="D100" s="339">
        <v>0.1</v>
      </c>
      <c r="E100" s="339">
        <v>9.7000000000000003E-2</v>
      </c>
      <c r="F100" s="339">
        <v>9.8000000000000004E-2</v>
      </c>
      <c r="G100" s="340">
        <v>0.1</v>
      </c>
    </row>
    <row r="101" spans="1:7">
      <c r="A101" s="349" t="s">
        <v>286</v>
      </c>
      <c r="B101" s="338" t="s">
        <v>2990</v>
      </c>
      <c r="C101" s="339">
        <v>0.1</v>
      </c>
      <c r="D101" s="339">
        <v>0.1</v>
      </c>
      <c r="E101" s="339">
        <v>9.5000000000000001E-2</v>
      </c>
      <c r="F101" s="339">
        <v>0.1</v>
      </c>
      <c r="G101" s="340">
        <v>0.1</v>
      </c>
    </row>
    <row r="102" spans="1:7">
      <c r="A102" s="349" t="s">
        <v>286</v>
      </c>
      <c r="B102" s="338" t="s">
        <v>2991</v>
      </c>
      <c r="C102" s="339">
        <v>0.1</v>
      </c>
      <c r="D102" s="339">
        <v>0.1</v>
      </c>
      <c r="E102" s="339">
        <v>9.9000000000000005E-2</v>
      </c>
      <c r="F102" s="339">
        <v>9.7000000000000003E-2</v>
      </c>
      <c r="G102" s="340">
        <v>0.1</v>
      </c>
    </row>
    <row r="103" spans="1:7">
      <c r="A103" s="349" t="s">
        <v>286</v>
      </c>
      <c r="B103" s="338" t="s">
        <v>2992</v>
      </c>
      <c r="C103" s="339">
        <v>0.1</v>
      </c>
      <c r="D103" s="339">
        <v>0.1</v>
      </c>
      <c r="E103" s="339">
        <v>9.8000000000000004E-2</v>
      </c>
      <c r="F103" s="339">
        <v>0.1</v>
      </c>
      <c r="G103" s="340">
        <v>0.1</v>
      </c>
    </row>
    <row r="104" spans="1:7">
      <c r="A104" s="349" t="s">
        <v>286</v>
      </c>
      <c r="B104" s="338" t="s">
        <v>2993</v>
      </c>
      <c r="C104" s="339">
        <v>0.1</v>
      </c>
      <c r="D104" s="339">
        <v>0.1</v>
      </c>
      <c r="E104" s="339">
        <v>9.8000000000000004E-2</v>
      </c>
      <c r="F104" s="339">
        <v>0.1</v>
      </c>
      <c r="G104" s="340">
        <v>0.1</v>
      </c>
    </row>
    <row r="105" spans="1:7">
      <c r="A105" s="349" t="s">
        <v>286</v>
      </c>
      <c r="B105" s="338" t="s">
        <v>2994</v>
      </c>
      <c r="C105" s="339">
        <v>9.8000000000000004E-2</v>
      </c>
      <c r="D105" s="339">
        <v>9.8000000000000004E-2</v>
      </c>
      <c r="E105" s="339">
        <v>9.8000000000000004E-2</v>
      </c>
      <c r="F105" s="339">
        <v>0.1</v>
      </c>
      <c r="G105" s="340">
        <v>9.9000000000000005E-2</v>
      </c>
    </row>
    <row r="106" spans="1:7">
      <c r="A106" s="349" t="s">
        <v>286</v>
      </c>
      <c r="B106" s="338" t="s">
        <v>2995</v>
      </c>
      <c r="C106" s="339">
        <v>9.7000000000000003E-2</v>
      </c>
      <c r="D106" s="339">
        <v>9.7000000000000003E-2</v>
      </c>
      <c r="E106" s="339">
        <v>9.7000000000000003E-2</v>
      </c>
      <c r="F106" s="339">
        <v>0.1</v>
      </c>
      <c r="G106" s="340">
        <v>9.9000000000000005E-2</v>
      </c>
    </row>
    <row r="107" spans="1:7">
      <c r="A107" s="349" t="s">
        <v>286</v>
      </c>
      <c r="B107" s="338" t="s">
        <v>2996</v>
      </c>
      <c r="C107" s="339">
        <v>0.1</v>
      </c>
      <c r="D107" s="339">
        <v>0.1</v>
      </c>
      <c r="E107" s="339">
        <v>8.5999999999999993E-2</v>
      </c>
      <c r="F107" s="339">
        <v>0.09</v>
      </c>
      <c r="G107" s="340">
        <v>0.1</v>
      </c>
    </row>
    <row r="108" spans="1:7">
      <c r="A108" s="349" t="s">
        <v>286</v>
      </c>
      <c r="B108" s="338" t="s">
        <v>2997</v>
      </c>
      <c r="C108" s="339">
        <v>0.1</v>
      </c>
      <c r="D108" s="339">
        <v>0.1</v>
      </c>
      <c r="E108" s="339">
        <v>9.6000000000000002E-2</v>
      </c>
      <c r="F108" s="350"/>
      <c r="G108" s="340">
        <v>0.1</v>
      </c>
    </row>
    <row r="109" spans="1:7">
      <c r="A109" s="349" t="s">
        <v>286</v>
      </c>
      <c r="B109" s="338" t="s">
        <v>2998</v>
      </c>
      <c r="C109" s="339">
        <v>0.1</v>
      </c>
      <c r="D109" s="339">
        <v>0.1</v>
      </c>
      <c r="E109" s="339">
        <v>0.1</v>
      </c>
      <c r="F109" s="350"/>
      <c r="G109" s="340">
        <v>0.1</v>
      </c>
    </row>
    <row r="110" spans="1:7">
      <c r="A110" s="349" t="s">
        <v>286</v>
      </c>
      <c r="B110" s="338" t="s">
        <v>2999</v>
      </c>
      <c r="C110" s="339">
        <v>0.1</v>
      </c>
      <c r="D110" s="339">
        <v>0.1</v>
      </c>
      <c r="E110" s="339">
        <v>0.1</v>
      </c>
      <c r="F110" s="350"/>
      <c r="G110" s="340">
        <v>0.1</v>
      </c>
    </row>
    <row r="111" spans="1:7">
      <c r="A111" s="349" t="s">
        <v>286</v>
      </c>
      <c r="B111" s="338" t="s">
        <v>3000</v>
      </c>
      <c r="C111" s="339">
        <v>0.1</v>
      </c>
      <c r="D111" s="339">
        <v>0.1</v>
      </c>
      <c r="E111" s="339">
        <v>9.5000000000000001E-2</v>
      </c>
      <c r="F111" s="350"/>
      <c r="G111" s="340">
        <v>0.1</v>
      </c>
    </row>
    <row r="112" spans="1:7">
      <c r="A112" s="349" t="s">
        <v>286</v>
      </c>
      <c r="B112" s="338" t="s">
        <v>3001</v>
      </c>
      <c r="C112" s="339">
        <v>9.7000000000000003E-2</v>
      </c>
      <c r="D112" s="339">
        <v>9.7000000000000003E-2</v>
      </c>
      <c r="E112" s="339">
        <v>0.05</v>
      </c>
      <c r="F112" s="350"/>
      <c r="G112" s="340">
        <v>9.8000000000000004E-2</v>
      </c>
    </row>
    <row r="113" spans="1:7">
      <c r="A113" s="349" t="s">
        <v>286</v>
      </c>
      <c r="B113" s="338" t="s">
        <v>3002</v>
      </c>
      <c r="C113" s="339">
        <v>0.1</v>
      </c>
      <c r="D113" s="339">
        <v>0.1</v>
      </c>
      <c r="E113" s="350"/>
      <c r="F113" s="350"/>
      <c r="G113" s="340">
        <v>0.1</v>
      </c>
    </row>
    <row r="114" spans="1:7">
      <c r="A114" s="349" t="s">
        <v>286</v>
      </c>
      <c r="B114" s="338" t="s">
        <v>3003</v>
      </c>
      <c r="C114" s="339">
        <v>9.7000000000000003E-2</v>
      </c>
      <c r="D114" s="339">
        <v>9.7000000000000003E-2</v>
      </c>
      <c r="E114" s="350"/>
      <c r="F114" s="350"/>
      <c r="G114" s="340">
        <v>9.9000000000000005E-2</v>
      </c>
    </row>
    <row r="115" spans="1:7">
      <c r="A115" s="349" t="s">
        <v>286</v>
      </c>
      <c r="B115" s="338" t="s">
        <v>3004</v>
      </c>
      <c r="C115" s="339">
        <v>0.1</v>
      </c>
      <c r="D115" s="339">
        <v>0.1</v>
      </c>
      <c r="E115" s="350"/>
      <c r="F115" s="350"/>
      <c r="G115" s="340">
        <v>0.1</v>
      </c>
    </row>
    <row r="116" spans="1:7">
      <c r="A116" s="349" t="s">
        <v>286</v>
      </c>
      <c r="B116" s="338" t="s">
        <v>3005</v>
      </c>
      <c r="C116" s="339">
        <v>0.1</v>
      </c>
      <c r="D116" s="339">
        <v>0.1</v>
      </c>
      <c r="E116" s="350"/>
      <c r="F116" s="350"/>
      <c r="G116" s="340">
        <v>0.1</v>
      </c>
    </row>
    <row r="117" spans="1:7">
      <c r="A117" s="349" t="s">
        <v>286</v>
      </c>
      <c r="B117" s="338" t="s">
        <v>3006</v>
      </c>
      <c r="C117" s="339">
        <v>9.7000000000000003E-2</v>
      </c>
      <c r="D117" s="339">
        <v>9.7000000000000003E-2</v>
      </c>
      <c r="E117" s="350"/>
      <c r="F117" s="350"/>
      <c r="G117" s="340">
        <v>9.7000000000000003E-2</v>
      </c>
    </row>
    <row r="118" spans="1:7">
      <c r="A118" s="349" t="s">
        <v>286</v>
      </c>
      <c r="B118" s="338" t="s">
        <v>3007</v>
      </c>
      <c r="C118" s="339">
        <v>0.1</v>
      </c>
      <c r="D118" s="339">
        <v>0.1</v>
      </c>
      <c r="E118" s="350"/>
      <c r="F118" s="350"/>
      <c r="G118" s="340">
        <v>0.1</v>
      </c>
    </row>
    <row r="119" spans="1:7">
      <c r="A119" s="349" t="s">
        <v>286</v>
      </c>
      <c r="B119" s="338" t="s">
        <v>3008</v>
      </c>
      <c r="C119" s="339">
        <v>5.0999999999999997E-2</v>
      </c>
      <c r="D119" s="339">
        <v>5.1999999999999998E-2</v>
      </c>
      <c r="E119" s="350"/>
      <c r="F119" s="355"/>
      <c r="G119" s="340">
        <v>0.06</v>
      </c>
    </row>
    <row r="120" spans="1:7">
      <c r="A120" s="349" t="s">
        <v>286</v>
      </c>
      <c r="B120" s="338" t="s">
        <v>3009</v>
      </c>
      <c r="C120" s="350"/>
      <c r="D120" s="350"/>
      <c r="E120" s="350"/>
      <c r="F120" s="339">
        <v>0.1</v>
      </c>
      <c r="G120" s="356"/>
    </row>
    <row r="121" spans="1:7">
      <c r="A121" s="349" t="s">
        <v>286</v>
      </c>
      <c r="B121" s="338" t="s">
        <v>3010</v>
      </c>
      <c r="C121" s="350"/>
      <c r="D121" s="350"/>
      <c r="E121" s="350"/>
      <c r="F121" s="339">
        <v>0.1</v>
      </c>
      <c r="G121" s="356"/>
    </row>
    <row r="122" spans="1:7">
      <c r="A122" s="349" t="s">
        <v>286</v>
      </c>
      <c r="B122" s="338" t="s">
        <v>3011</v>
      </c>
      <c r="C122" s="339">
        <v>0.1</v>
      </c>
      <c r="D122" s="339">
        <v>0.1</v>
      </c>
      <c r="E122" s="339">
        <v>9.8000000000000004E-2</v>
      </c>
      <c r="F122" s="339">
        <v>0.1</v>
      </c>
      <c r="G122" s="340">
        <v>0.1</v>
      </c>
    </row>
    <row r="123" spans="1:7">
      <c r="A123" s="349" t="s">
        <v>286</v>
      </c>
      <c r="B123" s="338" t="s">
        <v>3012</v>
      </c>
      <c r="C123" s="339">
        <v>0.1</v>
      </c>
      <c r="D123" s="339">
        <v>0.1</v>
      </c>
      <c r="E123" s="339">
        <v>9.8000000000000004E-2</v>
      </c>
      <c r="F123" s="339">
        <v>0.1</v>
      </c>
      <c r="G123" s="340">
        <v>0.1</v>
      </c>
    </row>
    <row r="124" spans="1:7">
      <c r="A124" s="349" t="s">
        <v>286</v>
      </c>
      <c r="B124" s="338" t="s">
        <v>3013</v>
      </c>
      <c r="C124" s="339">
        <v>0.1</v>
      </c>
      <c r="D124" s="339">
        <v>0.1</v>
      </c>
      <c r="E124" s="339">
        <v>9.8000000000000004E-2</v>
      </c>
      <c r="F124" s="355"/>
      <c r="G124" s="340">
        <v>0.1</v>
      </c>
    </row>
    <row r="125" spans="1:7">
      <c r="A125" s="349" t="s">
        <v>286</v>
      </c>
      <c r="B125" s="338" t="s">
        <v>3014</v>
      </c>
      <c r="C125" s="339">
        <v>9.8000000000000004E-2</v>
      </c>
      <c r="D125" s="339">
        <v>9.8000000000000004E-2</v>
      </c>
      <c r="E125" s="339">
        <v>9.6000000000000002E-2</v>
      </c>
      <c r="F125" s="355"/>
      <c r="G125" s="340">
        <v>0.1</v>
      </c>
    </row>
    <row r="126" spans="1:7">
      <c r="A126" s="352" t="s">
        <v>286</v>
      </c>
      <c r="B126" s="342" t="s">
        <v>3015</v>
      </c>
      <c r="C126" s="343">
        <v>0.1</v>
      </c>
      <c r="D126" s="343">
        <v>0.1</v>
      </c>
      <c r="E126" s="343">
        <v>9.8000000000000004E-2</v>
      </c>
      <c r="F126" s="343">
        <v>0.1</v>
      </c>
      <c r="G126" s="345">
        <v>0.1</v>
      </c>
    </row>
    <row r="127" spans="1:7">
      <c r="A127" s="348" t="s">
        <v>295</v>
      </c>
      <c r="B127" s="334" t="s">
        <v>3016</v>
      </c>
      <c r="C127" s="335">
        <v>0.121</v>
      </c>
      <c r="D127" s="335">
        <v>0.121</v>
      </c>
      <c r="E127" s="335">
        <v>0.107</v>
      </c>
      <c r="F127" s="335">
        <v>0.13</v>
      </c>
      <c r="G127" s="336">
        <v>0.122</v>
      </c>
    </row>
    <row r="128" spans="1:7">
      <c r="A128" s="349" t="s">
        <v>295</v>
      </c>
      <c r="B128" s="338" t="s">
        <v>3017</v>
      </c>
      <c r="C128" s="339">
        <v>0.11600000000000001</v>
      </c>
      <c r="D128" s="339">
        <v>0.11700000000000001</v>
      </c>
      <c r="E128" s="339">
        <v>0.104</v>
      </c>
      <c r="F128" s="339">
        <v>0.13</v>
      </c>
      <c r="G128" s="340">
        <v>0.11700000000000001</v>
      </c>
    </row>
    <row r="129" spans="1:7">
      <c r="A129" s="349" t="s">
        <v>295</v>
      </c>
      <c r="B129" s="338" t="s">
        <v>3018</v>
      </c>
      <c r="C129" s="339">
        <v>0.107</v>
      </c>
      <c r="D129" s="339">
        <v>0.108</v>
      </c>
      <c r="E129" s="339">
        <v>0.1</v>
      </c>
      <c r="F129" s="339">
        <v>0.13</v>
      </c>
      <c r="G129" s="340">
        <v>0.11700000000000001</v>
      </c>
    </row>
    <row r="130" spans="1:7">
      <c r="A130" s="349" t="s">
        <v>295</v>
      </c>
      <c r="B130" s="338" t="s">
        <v>3019</v>
      </c>
      <c r="C130" s="339">
        <v>0.13</v>
      </c>
      <c r="D130" s="339">
        <v>0.13</v>
      </c>
      <c r="E130" s="339">
        <v>0.126</v>
      </c>
      <c r="F130" s="339">
        <v>0.13</v>
      </c>
      <c r="G130" s="340">
        <v>0.13</v>
      </c>
    </row>
    <row r="131" spans="1:7">
      <c r="A131" s="349" t="s">
        <v>295</v>
      </c>
      <c r="B131" s="338" t="s">
        <v>3020</v>
      </c>
      <c r="C131" s="339">
        <v>0.13</v>
      </c>
      <c r="D131" s="339">
        <v>0.13</v>
      </c>
      <c r="E131" s="339">
        <v>0.13</v>
      </c>
      <c r="F131" s="339">
        <v>0.13</v>
      </c>
      <c r="G131" s="340">
        <v>0.13</v>
      </c>
    </row>
    <row r="132" spans="1:7">
      <c r="A132" s="349" t="s">
        <v>295</v>
      </c>
      <c r="B132" s="338" t="s">
        <v>3021</v>
      </c>
      <c r="C132" s="339">
        <v>0.13</v>
      </c>
      <c r="D132" s="339">
        <v>0.13</v>
      </c>
      <c r="E132" s="339">
        <v>0.126</v>
      </c>
      <c r="F132" s="339">
        <v>0.13</v>
      </c>
      <c r="G132" s="340">
        <v>0.13</v>
      </c>
    </row>
    <row r="133" spans="1:7">
      <c r="A133" s="349" t="s">
        <v>295</v>
      </c>
      <c r="B133" s="338" t="s">
        <v>3022</v>
      </c>
      <c r="C133" s="339">
        <v>0.111</v>
      </c>
      <c r="D133" s="339">
        <v>0.111</v>
      </c>
      <c r="E133" s="339">
        <v>0.10199999999999999</v>
      </c>
      <c r="F133" s="339">
        <v>0.13</v>
      </c>
      <c r="G133" s="340">
        <v>0.121</v>
      </c>
    </row>
    <row r="134" spans="1:7">
      <c r="A134" s="349" t="s">
        <v>295</v>
      </c>
      <c r="B134" s="338" t="s">
        <v>3023</v>
      </c>
      <c r="C134" s="339">
        <v>0.121</v>
      </c>
      <c r="D134" s="339">
        <v>0.121</v>
      </c>
      <c r="E134" s="339">
        <v>0.1</v>
      </c>
      <c r="F134" s="339">
        <v>0.13</v>
      </c>
      <c r="G134" s="340">
        <v>0.123</v>
      </c>
    </row>
    <row r="135" spans="1:7">
      <c r="A135" s="349" t="s">
        <v>295</v>
      </c>
      <c r="B135" s="338" t="s">
        <v>3024</v>
      </c>
      <c r="C135" s="339">
        <v>0.105</v>
      </c>
      <c r="D135" s="339">
        <v>0.106</v>
      </c>
      <c r="E135" s="339">
        <v>0.1</v>
      </c>
      <c r="F135" s="339">
        <v>0.13</v>
      </c>
      <c r="G135" s="340">
        <v>0.115</v>
      </c>
    </row>
    <row r="136" spans="1:7">
      <c r="A136" s="349" t="s">
        <v>295</v>
      </c>
      <c r="B136" s="338" t="s">
        <v>3025</v>
      </c>
      <c r="C136" s="339">
        <v>0.127</v>
      </c>
      <c r="D136" s="339">
        <v>0.127</v>
      </c>
      <c r="E136" s="339">
        <v>0.121</v>
      </c>
      <c r="F136" s="339">
        <v>0.123</v>
      </c>
      <c r="G136" s="340">
        <v>0.129</v>
      </c>
    </row>
    <row r="137" spans="1:7">
      <c r="A137" s="349" t="s">
        <v>295</v>
      </c>
      <c r="B137" s="338" t="s">
        <v>3026</v>
      </c>
      <c r="C137" s="339">
        <v>0.13</v>
      </c>
      <c r="D137" s="339">
        <v>0.13</v>
      </c>
      <c r="E137" s="339">
        <v>0.129</v>
      </c>
      <c r="F137" s="339">
        <v>0.13</v>
      </c>
      <c r="G137" s="340">
        <v>0.13</v>
      </c>
    </row>
    <row r="138" spans="1:7">
      <c r="A138" s="349" t="s">
        <v>295</v>
      </c>
      <c r="B138" s="338" t="s">
        <v>3027</v>
      </c>
      <c r="C138" s="339">
        <v>0.13</v>
      </c>
      <c r="D138" s="339">
        <v>0.13</v>
      </c>
      <c r="E138" s="339">
        <v>0.125</v>
      </c>
      <c r="F138" s="339">
        <v>0.13</v>
      </c>
      <c r="G138" s="340">
        <v>0.13</v>
      </c>
    </row>
    <row r="139" spans="1:7">
      <c r="A139" s="349" t="s">
        <v>295</v>
      </c>
      <c r="B139" s="338" t="s">
        <v>3028</v>
      </c>
      <c r="C139" s="339">
        <v>0.13</v>
      </c>
      <c r="D139" s="339">
        <v>0.13</v>
      </c>
      <c r="E139" s="339">
        <v>0.126</v>
      </c>
      <c r="F139" s="339">
        <v>0.13</v>
      </c>
      <c r="G139" s="340">
        <v>0.13</v>
      </c>
    </row>
    <row r="140" spans="1:7">
      <c r="A140" s="349" t="s">
        <v>295</v>
      </c>
      <c r="B140" s="338" t="s">
        <v>3029</v>
      </c>
      <c r="C140" s="339">
        <v>0.1</v>
      </c>
      <c r="D140" s="339">
        <v>0.1</v>
      </c>
      <c r="E140" s="339">
        <v>0.1</v>
      </c>
      <c r="F140" s="339">
        <v>0.123</v>
      </c>
      <c r="G140" s="340">
        <v>0.107</v>
      </c>
    </row>
    <row r="141" spans="1:7">
      <c r="A141" s="349" t="s">
        <v>295</v>
      </c>
      <c r="B141" s="338" t="s">
        <v>3030</v>
      </c>
      <c r="C141" s="339">
        <v>0.127</v>
      </c>
      <c r="D141" s="339">
        <v>0.127</v>
      </c>
      <c r="E141" s="339">
        <v>0.122</v>
      </c>
      <c r="F141" s="339">
        <v>0.1</v>
      </c>
      <c r="G141" s="340">
        <v>0.129</v>
      </c>
    </row>
    <row r="142" spans="1:7">
      <c r="A142" s="349" t="s">
        <v>295</v>
      </c>
      <c r="B142" s="338" t="s">
        <v>3031</v>
      </c>
      <c r="C142" s="339">
        <v>0.121</v>
      </c>
      <c r="D142" s="339">
        <v>0.122</v>
      </c>
      <c r="E142" s="339">
        <v>0.1</v>
      </c>
      <c r="F142" s="339">
        <v>0.123</v>
      </c>
      <c r="G142" s="340">
        <v>0.123</v>
      </c>
    </row>
    <row r="143" spans="1:7">
      <c r="A143" s="349" t="s">
        <v>295</v>
      </c>
      <c r="B143" s="338" t="s">
        <v>3032</v>
      </c>
      <c r="C143" s="339">
        <v>0.1</v>
      </c>
      <c r="D143" s="339">
        <v>0.1</v>
      </c>
      <c r="E143" s="339">
        <v>0.1</v>
      </c>
      <c r="F143" s="339">
        <v>0.13</v>
      </c>
      <c r="G143" s="340">
        <v>0.1</v>
      </c>
    </row>
    <row r="144" spans="1:7">
      <c r="A144" s="349" t="s">
        <v>295</v>
      </c>
      <c r="B144" s="338" t="s">
        <v>3033</v>
      </c>
      <c r="C144" s="339">
        <v>0.106</v>
      </c>
      <c r="D144" s="339">
        <v>0.105</v>
      </c>
      <c r="E144" s="339">
        <v>0.1</v>
      </c>
      <c r="F144" s="339">
        <v>0.13</v>
      </c>
      <c r="G144" s="340">
        <v>0.11799999999999999</v>
      </c>
    </row>
    <row r="145" spans="1:7">
      <c r="A145" s="349" t="s">
        <v>295</v>
      </c>
      <c r="B145" s="338" t="s">
        <v>3034</v>
      </c>
      <c r="C145" s="339">
        <v>0.123</v>
      </c>
      <c r="D145" s="339">
        <v>0.123</v>
      </c>
      <c r="E145" s="339">
        <v>0.11700000000000001</v>
      </c>
      <c r="F145" s="339">
        <v>0.13</v>
      </c>
      <c r="G145" s="340">
        <v>0.126</v>
      </c>
    </row>
    <row r="146" spans="1:7">
      <c r="A146" s="349" t="s">
        <v>295</v>
      </c>
      <c r="B146" s="338" t="s">
        <v>3035</v>
      </c>
      <c r="C146" s="339">
        <v>0.127</v>
      </c>
      <c r="D146" s="339">
        <v>0.127</v>
      </c>
      <c r="E146" s="339">
        <v>0.12</v>
      </c>
      <c r="F146" s="350"/>
      <c r="G146" s="340">
        <v>0.129</v>
      </c>
    </row>
    <row r="147" spans="1:7">
      <c r="A147" s="349" t="s">
        <v>295</v>
      </c>
      <c r="B147" s="338" t="s">
        <v>3036</v>
      </c>
      <c r="C147" s="339">
        <v>0.13</v>
      </c>
      <c r="D147" s="339">
        <v>0.13</v>
      </c>
      <c r="E147" s="339">
        <v>0.126</v>
      </c>
      <c r="F147" s="350"/>
      <c r="G147" s="340">
        <v>0.13</v>
      </c>
    </row>
    <row r="148" spans="1:7">
      <c r="A148" s="349" t="s">
        <v>295</v>
      </c>
      <c r="B148" s="338" t="s">
        <v>3037</v>
      </c>
      <c r="C148" s="339">
        <v>0.13</v>
      </c>
      <c r="D148" s="339">
        <v>0.13</v>
      </c>
      <c r="E148" s="339">
        <v>0.13</v>
      </c>
      <c r="F148" s="350"/>
      <c r="G148" s="340">
        <v>0.13</v>
      </c>
    </row>
    <row r="149" spans="1:7">
      <c r="A149" s="349" t="s">
        <v>295</v>
      </c>
      <c r="B149" s="338" t="s">
        <v>3038</v>
      </c>
      <c r="C149" s="339">
        <v>0.13</v>
      </c>
      <c r="D149" s="339">
        <v>0.13</v>
      </c>
      <c r="E149" s="339">
        <v>0.13</v>
      </c>
      <c r="F149" s="339">
        <v>0.13</v>
      </c>
      <c r="G149" s="340">
        <v>0.13</v>
      </c>
    </row>
    <row r="150" spans="1:7">
      <c r="A150" s="349" t="s">
        <v>295</v>
      </c>
      <c r="B150" s="338" t="s">
        <v>3039</v>
      </c>
      <c r="C150" s="339">
        <v>0.13</v>
      </c>
      <c r="D150" s="339">
        <v>0.13</v>
      </c>
      <c r="E150" s="339">
        <v>0.127</v>
      </c>
      <c r="F150" s="339">
        <v>0.13</v>
      </c>
      <c r="G150" s="340">
        <v>0.13</v>
      </c>
    </row>
    <row r="151" spans="1:7">
      <c r="A151" s="349" t="s">
        <v>295</v>
      </c>
      <c r="B151" s="338" t="s">
        <v>3040</v>
      </c>
      <c r="C151" s="339">
        <v>0.13</v>
      </c>
      <c r="D151" s="339">
        <v>0.13</v>
      </c>
      <c r="E151" s="339">
        <v>0.13</v>
      </c>
      <c r="F151" s="339">
        <v>0.13</v>
      </c>
      <c r="G151" s="340">
        <v>0.13</v>
      </c>
    </row>
    <row r="152" spans="1:7">
      <c r="A152" s="349" t="s">
        <v>295</v>
      </c>
      <c r="B152" s="338" t="s">
        <v>3041</v>
      </c>
      <c r="C152" s="339">
        <v>0.13</v>
      </c>
      <c r="D152" s="339">
        <v>0.13</v>
      </c>
      <c r="E152" s="339">
        <v>0.13</v>
      </c>
      <c r="F152" s="339">
        <v>0.13</v>
      </c>
      <c r="G152" s="340">
        <v>0.13</v>
      </c>
    </row>
    <row r="153" spans="1:7">
      <c r="A153" s="349" t="s">
        <v>295</v>
      </c>
      <c r="B153" s="338" t="s">
        <v>3042</v>
      </c>
      <c r="C153" s="339">
        <v>0.13</v>
      </c>
      <c r="D153" s="339">
        <v>0.13</v>
      </c>
      <c r="E153" s="339">
        <v>0.13</v>
      </c>
      <c r="F153" s="339">
        <v>0.13</v>
      </c>
      <c r="G153" s="340">
        <v>0.13</v>
      </c>
    </row>
    <row r="154" spans="1:7">
      <c r="A154" s="349" t="s">
        <v>295</v>
      </c>
      <c r="B154" s="338" t="s">
        <v>3043</v>
      </c>
      <c r="C154" s="339">
        <v>0.121</v>
      </c>
      <c r="D154" s="339">
        <v>0.121</v>
      </c>
      <c r="E154" s="339">
        <v>0.105</v>
      </c>
      <c r="F154" s="339">
        <v>0.121</v>
      </c>
      <c r="G154" s="340">
        <v>0.123</v>
      </c>
    </row>
    <row r="155" spans="1:7">
      <c r="A155" s="349" t="s">
        <v>295</v>
      </c>
      <c r="B155" s="338" t="s">
        <v>3044</v>
      </c>
      <c r="C155" s="339">
        <v>0.1</v>
      </c>
      <c r="D155" s="339">
        <v>0.1</v>
      </c>
      <c r="E155" s="339">
        <v>0.1</v>
      </c>
      <c r="F155" s="339">
        <v>0.1</v>
      </c>
      <c r="G155" s="340">
        <v>0.1</v>
      </c>
    </row>
    <row r="156" spans="1:7">
      <c r="A156" s="349" t="s">
        <v>295</v>
      </c>
      <c r="B156" s="338" t="s">
        <v>3045</v>
      </c>
      <c r="C156" s="339">
        <v>0.13</v>
      </c>
      <c r="D156" s="339">
        <v>0.13</v>
      </c>
      <c r="E156" s="339">
        <v>0.13</v>
      </c>
      <c r="F156" s="339">
        <v>0.13</v>
      </c>
      <c r="G156" s="340">
        <v>0.13</v>
      </c>
    </row>
    <row r="157" spans="1:7">
      <c r="A157" s="349" t="s">
        <v>295</v>
      </c>
      <c r="B157" s="338" t="s">
        <v>3046</v>
      </c>
      <c r="C157" s="339">
        <v>0.13</v>
      </c>
      <c r="D157" s="339">
        <v>0.13</v>
      </c>
      <c r="E157" s="339">
        <v>0.125</v>
      </c>
      <c r="F157" s="339">
        <v>0.13</v>
      </c>
      <c r="G157" s="340">
        <v>0.13</v>
      </c>
    </row>
    <row r="158" spans="1:7">
      <c r="A158" s="349" t="s">
        <v>295</v>
      </c>
      <c r="B158" s="338" t="s">
        <v>3047</v>
      </c>
      <c r="C158" s="339">
        <v>0.124</v>
      </c>
      <c r="D158" s="339">
        <v>0.124</v>
      </c>
      <c r="E158" s="339">
        <v>0.11700000000000001</v>
      </c>
      <c r="F158" s="339">
        <v>0.121</v>
      </c>
      <c r="G158" s="340">
        <v>0.124</v>
      </c>
    </row>
    <row r="159" spans="1:7">
      <c r="A159" s="349" t="s">
        <v>295</v>
      </c>
      <c r="B159" s="338" t="s">
        <v>3048</v>
      </c>
      <c r="C159" s="339">
        <v>0.127</v>
      </c>
      <c r="D159" s="339">
        <v>0.127</v>
      </c>
      <c r="E159" s="339">
        <v>0.122</v>
      </c>
      <c r="F159" s="339">
        <v>0.13</v>
      </c>
      <c r="G159" s="340">
        <v>0.129</v>
      </c>
    </row>
    <row r="160" spans="1:7">
      <c r="A160" s="349" t="s">
        <v>295</v>
      </c>
      <c r="B160" s="338" t="s">
        <v>3049</v>
      </c>
      <c r="C160" s="339">
        <v>0.13</v>
      </c>
      <c r="D160" s="339">
        <v>0.13</v>
      </c>
      <c r="E160" s="339">
        <v>0.124</v>
      </c>
      <c r="F160" s="339">
        <v>0.126</v>
      </c>
      <c r="G160" s="340">
        <v>0.13</v>
      </c>
    </row>
    <row r="161" spans="1:7">
      <c r="A161" s="349" t="s">
        <v>295</v>
      </c>
      <c r="B161" s="338" t="s">
        <v>3050</v>
      </c>
      <c r="C161" s="339">
        <v>0.13</v>
      </c>
      <c r="D161" s="339">
        <v>0.13</v>
      </c>
      <c r="E161" s="339">
        <v>0.124</v>
      </c>
      <c r="F161" s="339">
        <v>0.127</v>
      </c>
      <c r="G161" s="340">
        <v>0.13</v>
      </c>
    </row>
    <row r="162" spans="1:7">
      <c r="A162" s="349" t="s">
        <v>295</v>
      </c>
      <c r="B162" s="338" t="s">
        <v>3051</v>
      </c>
      <c r="C162" s="339">
        <v>0.1</v>
      </c>
      <c r="D162" s="339">
        <v>0.1</v>
      </c>
      <c r="E162" s="339">
        <v>0.1</v>
      </c>
      <c r="F162" s="339">
        <v>0.121</v>
      </c>
      <c r="G162" s="340">
        <v>0.105</v>
      </c>
    </row>
    <row r="163" spans="1:7">
      <c r="A163" s="349" t="s">
        <v>295</v>
      </c>
      <c r="B163" s="338" t="s">
        <v>3052</v>
      </c>
      <c r="C163" s="339">
        <v>0.1</v>
      </c>
      <c r="D163" s="339">
        <v>0.1</v>
      </c>
      <c r="E163" s="339">
        <v>0.1</v>
      </c>
      <c r="F163" s="339">
        <v>0.1</v>
      </c>
      <c r="G163" s="340">
        <v>0.1</v>
      </c>
    </row>
    <row r="164" spans="1:7">
      <c r="A164" s="349" t="s">
        <v>295</v>
      </c>
      <c r="B164" s="338" t="s">
        <v>3053</v>
      </c>
      <c r="C164" s="355"/>
      <c r="D164" s="355"/>
      <c r="E164" s="355"/>
      <c r="F164" s="339">
        <v>0.1</v>
      </c>
      <c r="G164" s="351"/>
    </row>
    <row r="165" spans="1:7">
      <c r="A165" s="349" t="s">
        <v>295</v>
      </c>
      <c r="B165" s="338" t="s">
        <v>3054</v>
      </c>
      <c r="C165" s="339">
        <v>0.126</v>
      </c>
      <c r="D165" s="339">
        <v>0.126</v>
      </c>
      <c r="E165" s="339">
        <v>0.11899999999999999</v>
      </c>
      <c r="F165" s="339">
        <v>0.13</v>
      </c>
      <c r="G165" s="340">
        <v>0.128</v>
      </c>
    </row>
    <row r="166" spans="1:7">
      <c r="A166" s="349" t="s">
        <v>295</v>
      </c>
      <c r="B166" s="338" t="s">
        <v>3055</v>
      </c>
      <c r="C166" s="339">
        <v>0.129</v>
      </c>
      <c r="D166" s="339">
        <v>0.129</v>
      </c>
      <c r="E166" s="339">
        <v>0.123</v>
      </c>
      <c r="F166" s="339">
        <v>0.128</v>
      </c>
      <c r="G166" s="340">
        <v>0.13</v>
      </c>
    </row>
    <row r="167" spans="1:7">
      <c r="A167" s="349" t="s">
        <v>295</v>
      </c>
      <c r="B167" s="338" t="s">
        <v>3056</v>
      </c>
      <c r="C167" s="339">
        <v>0.125</v>
      </c>
      <c r="D167" s="339">
        <v>0.125</v>
      </c>
      <c r="E167" s="339">
        <v>0.11700000000000001</v>
      </c>
      <c r="F167" s="339">
        <v>0.13</v>
      </c>
      <c r="G167" s="340">
        <v>0.126</v>
      </c>
    </row>
    <row r="168" spans="1:7">
      <c r="A168" s="349" t="s">
        <v>295</v>
      </c>
      <c r="B168" s="338" t="s">
        <v>3057</v>
      </c>
      <c r="C168" s="339">
        <v>0.128</v>
      </c>
      <c r="D168" s="339">
        <v>0.128</v>
      </c>
      <c r="E168" s="339">
        <v>0.123</v>
      </c>
      <c r="F168" s="350"/>
      <c r="G168" s="340">
        <v>0.13</v>
      </c>
    </row>
    <row r="169" spans="1:7">
      <c r="A169" s="349" t="s">
        <v>295</v>
      </c>
      <c r="B169" s="338" t="s">
        <v>3058</v>
      </c>
      <c r="C169" s="355"/>
      <c r="D169" s="355"/>
      <c r="E169" s="355"/>
      <c r="F169" s="339">
        <v>0.05</v>
      </c>
      <c r="G169" s="351"/>
    </row>
    <row r="170" spans="1:7">
      <c r="A170" s="349" t="s">
        <v>295</v>
      </c>
      <c r="B170" s="338" t="s">
        <v>3059</v>
      </c>
      <c r="C170" s="355"/>
      <c r="D170" s="355"/>
      <c r="E170" s="355"/>
      <c r="F170" s="339">
        <v>0.05</v>
      </c>
      <c r="G170" s="351"/>
    </row>
    <row r="171" spans="1:7">
      <c r="A171" s="349" t="s">
        <v>295</v>
      </c>
      <c r="B171" s="338" t="s">
        <v>3060</v>
      </c>
      <c r="C171" s="355"/>
      <c r="D171" s="355"/>
      <c r="E171" s="355"/>
      <c r="F171" s="339">
        <v>0.05</v>
      </c>
      <c r="G171" s="356"/>
    </row>
    <row r="172" spans="1:7">
      <c r="A172" s="349" t="s">
        <v>295</v>
      </c>
      <c r="B172" s="338" t="s">
        <v>3061</v>
      </c>
      <c r="C172" s="355"/>
      <c r="D172" s="355"/>
      <c r="E172" s="355"/>
      <c r="F172" s="339">
        <v>0.05</v>
      </c>
      <c r="G172" s="356"/>
    </row>
    <row r="173" spans="1:7">
      <c r="A173" s="349" t="s">
        <v>295</v>
      </c>
      <c r="B173" s="338" t="s">
        <v>3062</v>
      </c>
      <c r="C173" s="355"/>
      <c r="D173" s="355"/>
      <c r="E173" s="355"/>
      <c r="F173" s="339">
        <v>0.05</v>
      </c>
      <c r="G173" s="351"/>
    </row>
    <row r="174" spans="1:7">
      <c r="A174" s="349" t="s">
        <v>295</v>
      </c>
      <c r="B174" s="338" t="s">
        <v>3063</v>
      </c>
      <c r="C174" s="355"/>
      <c r="D174" s="355"/>
      <c r="E174" s="355"/>
      <c r="F174" s="339">
        <v>0.05</v>
      </c>
      <c r="G174" s="351"/>
    </row>
    <row r="175" spans="1:7">
      <c r="A175" s="349" t="s">
        <v>295</v>
      </c>
      <c r="B175" s="338" t="s">
        <v>3064</v>
      </c>
      <c r="C175" s="355"/>
      <c r="D175" s="355"/>
      <c r="E175" s="355"/>
      <c r="F175" s="339">
        <v>0.05</v>
      </c>
      <c r="G175" s="351"/>
    </row>
    <row r="176" spans="1:7">
      <c r="A176" s="349" t="s">
        <v>295</v>
      </c>
      <c r="B176" s="338" t="s">
        <v>3065</v>
      </c>
      <c r="C176" s="355"/>
      <c r="D176" s="355"/>
      <c r="E176" s="355"/>
      <c r="F176" s="339">
        <v>0.05</v>
      </c>
      <c r="G176" s="351"/>
    </row>
    <row r="177" spans="1:7">
      <c r="A177" s="349" t="s">
        <v>295</v>
      </c>
      <c r="B177" s="338" t="s">
        <v>3066</v>
      </c>
      <c r="C177" s="350"/>
      <c r="D177" s="350"/>
      <c r="E177" s="350"/>
      <c r="F177" s="339">
        <v>0.05</v>
      </c>
      <c r="G177" s="356"/>
    </row>
    <row r="178" spans="1:7">
      <c r="A178" s="349" t="s">
        <v>295</v>
      </c>
      <c r="B178" s="338" t="s">
        <v>3067</v>
      </c>
      <c r="C178" s="350"/>
      <c r="D178" s="350"/>
      <c r="E178" s="350"/>
      <c r="F178" s="339">
        <v>0.05</v>
      </c>
      <c r="G178" s="356"/>
    </row>
    <row r="179" spans="1:7">
      <c r="A179" s="349" t="s">
        <v>295</v>
      </c>
      <c r="B179" s="338" t="s">
        <v>3068</v>
      </c>
      <c r="C179" s="350"/>
      <c r="D179" s="350"/>
      <c r="E179" s="350"/>
      <c r="F179" s="339">
        <v>0.05</v>
      </c>
      <c r="G179" s="356"/>
    </row>
    <row r="180" spans="1:7">
      <c r="A180" s="349" t="s">
        <v>295</v>
      </c>
      <c r="B180" s="338" t="s">
        <v>3069</v>
      </c>
      <c r="C180" s="350"/>
      <c r="D180" s="350"/>
      <c r="E180" s="350"/>
      <c r="F180" s="339">
        <v>0.05</v>
      </c>
      <c r="G180" s="356"/>
    </row>
    <row r="181" spans="1:7">
      <c r="A181" s="349" t="s">
        <v>295</v>
      </c>
      <c r="B181" s="338" t="s">
        <v>3070</v>
      </c>
      <c r="C181" s="350"/>
      <c r="D181" s="350"/>
      <c r="E181" s="350"/>
      <c r="F181" s="339">
        <v>0.05</v>
      </c>
      <c r="G181" s="356"/>
    </row>
    <row r="182" spans="1:7">
      <c r="A182" s="349" t="s">
        <v>295</v>
      </c>
      <c r="B182" s="338" t="s">
        <v>3071</v>
      </c>
      <c r="C182" s="350"/>
      <c r="D182" s="350"/>
      <c r="E182" s="350"/>
      <c r="F182" s="339">
        <v>0.05</v>
      </c>
      <c r="G182" s="356"/>
    </row>
    <row r="183" spans="1:7">
      <c r="A183" s="349" t="s">
        <v>295</v>
      </c>
      <c r="B183" s="338" t="s">
        <v>3072</v>
      </c>
      <c r="C183" s="350"/>
      <c r="D183" s="350"/>
      <c r="E183" s="350"/>
      <c r="F183" s="339">
        <v>0.05</v>
      </c>
      <c r="G183" s="356"/>
    </row>
    <row r="184" spans="1:7">
      <c r="A184" s="349" t="s">
        <v>295</v>
      </c>
      <c r="B184" s="338" t="s">
        <v>3073</v>
      </c>
      <c r="C184" s="350"/>
      <c r="D184" s="350"/>
      <c r="E184" s="350"/>
      <c r="F184" s="339">
        <v>0.05</v>
      </c>
      <c r="G184" s="356"/>
    </row>
    <row r="185" spans="1:7">
      <c r="A185" s="349" t="s">
        <v>295</v>
      </c>
      <c r="B185" s="338" t="s">
        <v>3074</v>
      </c>
      <c r="C185" s="350"/>
      <c r="D185" s="350"/>
      <c r="E185" s="350"/>
      <c r="F185" s="339">
        <v>0.05</v>
      </c>
      <c r="G185" s="356"/>
    </row>
    <row r="186" spans="1:7">
      <c r="A186" s="349" t="s">
        <v>295</v>
      </c>
      <c r="B186" s="338" t="s">
        <v>3075</v>
      </c>
      <c r="C186" s="350"/>
      <c r="D186" s="350"/>
      <c r="E186" s="350"/>
      <c r="F186" s="339">
        <v>0.05</v>
      </c>
      <c r="G186" s="356"/>
    </row>
    <row r="187" spans="1:7">
      <c r="A187" s="349" t="s">
        <v>295</v>
      </c>
      <c r="B187" s="338" t="s">
        <v>3076</v>
      </c>
      <c r="C187" s="350"/>
      <c r="D187" s="350"/>
      <c r="E187" s="350"/>
      <c r="F187" s="339">
        <v>0.05</v>
      </c>
      <c r="G187" s="356"/>
    </row>
    <row r="188" spans="1:7">
      <c r="A188" s="349" t="s">
        <v>295</v>
      </c>
      <c r="B188" s="338" t="s">
        <v>3077</v>
      </c>
      <c r="C188" s="350"/>
      <c r="D188" s="350"/>
      <c r="E188" s="350"/>
      <c r="F188" s="339">
        <v>0.05</v>
      </c>
      <c r="G188" s="356"/>
    </row>
    <row r="189" spans="1:7">
      <c r="A189" s="352" t="s">
        <v>295</v>
      </c>
      <c r="B189" s="342" t="s">
        <v>3078</v>
      </c>
      <c r="C189" s="344"/>
      <c r="D189" s="344"/>
      <c r="E189" s="344"/>
      <c r="F189" s="343">
        <v>0.05</v>
      </c>
      <c r="G189" s="357"/>
    </row>
    <row r="190" spans="1:7">
      <c r="A190" s="348" t="s">
        <v>303</v>
      </c>
      <c r="B190" s="334" t="s">
        <v>3079</v>
      </c>
      <c r="C190" s="335">
        <v>0.124</v>
      </c>
      <c r="D190" s="335">
        <v>0.124</v>
      </c>
      <c r="E190" s="335">
        <v>0.129</v>
      </c>
      <c r="F190" s="335">
        <v>0.13</v>
      </c>
      <c r="G190" s="336">
        <v>0.127</v>
      </c>
    </row>
    <row r="191" spans="1:7">
      <c r="A191" s="349" t="s">
        <v>303</v>
      </c>
      <c r="B191" s="338" t="s">
        <v>3080</v>
      </c>
      <c r="C191" s="339">
        <v>0.13</v>
      </c>
      <c r="D191" s="339">
        <v>0.13</v>
      </c>
      <c r="E191" s="339">
        <v>0.13</v>
      </c>
      <c r="F191" s="339">
        <v>0.13</v>
      </c>
      <c r="G191" s="340">
        <v>0.13</v>
      </c>
    </row>
    <row r="192" spans="1:7">
      <c r="A192" s="349" t="s">
        <v>303</v>
      </c>
      <c r="B192" s="338" t="s">
        <v>3081</v>
      </c>
      <c r="C192" s="339">
        <v>0.13</v>
      </c>
      <c r="D192" s="339">
        <v>0.13</v>
      </c>
      <c r="E192" s="339">
        <v>0.13</v>
      </c>
      <c r="F192" s="339">
        <v>0.13</v>
      </c>
      <c r="G192" s="340">
        <v>0.13</v>
      </c>
    </row>
    <row r="193" spans="1:7">
      <c r="A193" s="349" t="s">
        <v>303</v>
      </c>
      <c r="B193" s="338" t="s">
        <v>3082</v>
      </c>
      <c r="C193" s="339">
        <v>0.13</v>
      </c>
      <c r="D193" s="339">
        <v>0.13</v>
      </c>
      <c r="E193" s="339">
        <v>0.13</v>
      </c>
      <c r="F193" s="339">
        <v>0.13</v>
      </c>
      <c r="G193" s="340">
        <v>0.13</v>
      </c>
    </row>
    <row r="194" spans="1:7">
      <c r="A194" s="349" t="s">
        <v>303</v>
      </c>
      <c r="B194" s="338" t="s">
        <v>3083</v>
      </c>
      <c r="C194" s="339">
        <v>0.123</v>
      </c>
      <c r="D194" s="339">
        <v>0.123</v>
      </c>
      <c r="E194" s="339">
        <v>0.128</v>
      </c>
      <c r="F194" s="339">
        <v>0.13</v>
      </c>
      <c r="G194" s="340">
        <v>0.126</v>
      </c>
    </row>
    <row r="195" spans="1:7">
      <c r="A195" s="349" t="s">
        <v>303</v>
      </c>
      <c r="B195" s="338" t="s">
        <v>3084</v>
      </c>
      <c r="C195" s="339">
        <v>0.127</v>
      </c>
      <c r="D195" s="339">
        <v>0.127</v>
      </c>
      <c r="E195" s="339">
        <v>0.121</v>
      </c>
      <c r="F195" s="339">
        <v>0.129</v>
      </c>
      <c r="G195" s="340">
        <v>0.129</v>
      </c>
    </row>
    <row r="196" spans="1:7">
      <c r="A196" s="349" t="s">
        <v>303</v>
      </c>
      <c r="B196" s="338" t="s">
        <v>3085</v>
      </c>
      <c r="C196" s="339">
        <v>0.127</v>
      </c>
      <c r="D196" s="339">
        <v>0.128</v>
      </c>
      <c r="E196" s="339">
        <v>0.122</v>
      </c>
      <c r="F196" s="339">
        <v>0.13</v>
      </c>
      <c r="G196" s="340">
        <v>0.129</v>
      </c>
    </row>
    <row r="197" spans="1:7">
      <c r="A197" s="349" t="s">
        <v>303</v>
      </c>
      <c r="B197" s="338" t="s">
        <v>3086</v>
      </c>
      <c r="C197" s="339">
        <v>0.126</v>
      </c>
      <c r="D197" s="339">
        <v>0.126</v>
      </c>
      <c r="E197" s="339">
        <v>0.11899999999999999</v>
      </c>
      <c r="F197" s="339">
        <v>0.13</v>
      </c>
      <c r="G197" s="340">
        <v>0.128</v>
      </c>
    </row>
    <row r="198" spans="1:7">
      <c r="A198" s="349" t="s">
        <v>303</v>
      </c>
      <c r="B198" s="338" t="s">
        <v>3087</v>
      </c>
      <c r="C198" s="339">
        <v>0.13</v>
      </c>
      <c r="D198" s="339">
        <v>0.13</v>
      </c>
      <c r="E198" s="339">
        <v>0.126</v>
      </c>
      <c r="F198" s="355"/>
      <c r="G198" s="340">
        <v>0.13</v>
      </c>
    </row>
    <row r="199" spans="1:7">
      <c r="A199" s="349" t="s">
        <v>303</v>
      </c>
      <c r="B199" s="338" t="s">
        <v>3088</v>
      </c>
      <c r="C199" s="339">
        <v>0.13</v>
      </c>
      <c r="D199" s="339">
        <v>0.13</v>
      </c>
      <c r="E199" s="339">
        <v>0.13</v>
      </c>
      <c r="F199" s="339">
        <v>0.13</v>
      </c>
      <c r="G199" s="340">
        <v>0.13</v>
      </c>
    </row>
    <row r="200" spans="1:7">
      <c r="A200" s="349" t="s">
        <v>303</v>
      </c>
      <c r="B200" s="338" t="s">
        <v>3089</v>
      </c>
      <c r="C200" s="355"/>
      <c r="D200" s="355"/>
      <c r="E200" s="355"/>
      <c r="F200" s="339">
        <v>0.13</v>
      </c>
      <c r="G200" s="351"/>
    </row>
    <row r="201" spans="1:7">
      <c r="A201" s="349" t="s">
        <v>303</v>
      </c>
      <c r="B201" s="338" t="s">
        <v>3090</v>
      </c>
      <c r="C201" s="339">
        <v>0.13</v>
      </c>
      <c r="D201" s="339">
        <v>0.13</v>
      </c>
      <c r="E201" s="339">
        <v>0.13</v>
      </c>
      <c r="F201" s="339">
        <v>0.129</v>
      </c>
      <c r="G201" s="340">
        <v>0.13</v>
      </c>
    </row>
    <row r="202" spans="1:7">
      <c r="A202" s="349" t="s">
        <v>303</v>
      </c>
      <c r="B202" s="338" t="s">
        <v>3091</v>
      </c>
      <c r="C202" s="339">
        <v>0.13</v>
      </c>
      <c r="D202" s="339">
        <v>0.13</v>
      </c>
      <c r="E202" s="339">
        <v>0.13</v>
      </c>
      <c r="F202" s="339">
        <v>0.13</v>
      </c>
      <c r="G202" s="340">
        <v>0.13</v>
      </c>
    </row>
    <row r="203" spans="1:7">
      <c r="A203" s="349" t="s">
        <v>303</v>
      </c>
      <c r="B203" s="338" t="s">
        <v>3092</v>
      </c>
      <c r="C203" s="339">
        <v>0.129</v>
      </c>
      <c r="D203" s="339">
        <v>0.129</v>
      </c>
      <c r="E203" s="339">
        <v>0.13</v>
      </c>
      <c r="F203" s="339">
        <v>0.13</v>
      </c>
      <c r="G203" s="340">
        <v>0.13</v>
      </c>
    </row>
    <row r="204" spans="1:7">
      <c r="A204" s="349" t="s">
        <v>303</v>
      </c>
      <c r="B204" s="338" t="s">
        <v>3093</v>
      </c>
      <c r="C204" s="339">
        <v>0.129</v>
      </c>
      <c r="D204" s="339">
        <v>0.129</v>
      </c>
      <c r="E204" s="339">
        <v>0.123</v>
      </c>
      <c r="F204" s="339">
        <v>0.13</v>
      </c>
      <c r="G204" s="340">
        <v>0.13</v>
      </c>
    </row>
    <row r="205" spans="1:7">
      <c r="A205" s="349" t="s">
        <v>303</v>
      </c>
      <c r="B205" s="338" t="s">
        <v>3094</v>
      </c>
      <c r="C205" s="339">
        <v>0.13</v>
      </c>
      <c r="D205" s="339">
        <v>0.13</v>
      </c>
      <c r="E205" s="339">
        <v>0.13</v>
      </c>
      <c r="F205" s="339">
        <v>0.13</v>
      </c>
      <c r="G205" s="340">
        <v>0.13</v>
      </c>
    </row>
    <row r="206" spans="1:7">
      <c r="A206" s="349" t="s">
        <v>303</v>
      </c>
      <c r="B206" s="338" t="s">
        <v>3095</v>
      </c>
      <c r="C206" s="339">
        <v>0.13</v>
      </c>
      <c r="D206" s="339">
        <v>0.13</v>
      </c>
      <c r="E206" s="339">
        <v>0.13</v>
      </c>
      <c r="F206" s="339">
        <v>0.128</v>
      </c>
      <c r="G206" s="340">
        <v>0.13</v>
      </c>
    </row>
    <row r="207" spans="1:7">
      <c r="A207" s="349" t="s">
        <v>303</v>
      </c>
      <c r="B207" s="338" t="s">
        <v>3096</v>
      </c>
      <c r="C207" s="339">
        <v>0.13</v>
      </c>
      <c r="D207" s="339">
        <v>0.13</v>
      </c>
      <c r="E207" s="339">
        <v>0.13</v>
      </c>
      <c r="F207" s="339">
        <v>0.13</v>
      </c>
      <c r="G207" s="340">
        <v>0.13</v>
      </c>
    </row>
    <row r="208" spans="1:7">
      <c r="A208" s="349" t="s">
        <v>303</v>
      </c>
      <c r="B208" s="338" t="s">
        <v>3097</v>
      </c>
      <c r="C208" s="339">
        <v>0.13</v>
      </c>
      <c r="D208" s="339">
        <v>0.13</v>
      </c>
      <c r="E208" s="339">
        <v>0.13</v>
      </c>
      <c r="F208" s="339">
        <v>0.13</v>
      </c>
      <c r="G208" s="340">
        <v>0.13</v>
      </c>
    </row>
    <row r="209" spans="1:7">
      <c r="A209" s="349" t="s">
        <v>303</v>
      </c>
      <c r="B209" s="338" t="s">
        <v>3098</v>
      </c>
      <c r="C209" s="339">
        <v>0.13</v>
      </c>
      <c r="D209" s="339">
        <v>0.13</v>
      </c>
      <c r="E209" s="339">
        <v>0.13</v>
      </c>
      <c r="F209" s="339">
        <v>0.13</v>
      </c>
      <c r="G209" s="340">
        <v>0.13</v>
      </c>
    </row>
    <row r="210" spans="1:7">
      <c r="A210" s="349" t="s">
        <v>303</v>
      </c>
      <c r="B210" s="338" t="s">
        <v>3099</v>
      </c>
      <c r="C210" s="339">
        <v>0.121</v>
      </c>
      <c r="D210" s="339">
        <v>0.121</v>
      </c>
      <c r="E210" s="339">
        <v>0.125</v>
      </c>
      <c r="F210" s="339">
        <v>0.13</v>
      </c>
      <c r="G210" s="340">
        <v>0.123</v>
      </c>
    </row>
    <row r="211" spans="1:7">
      <c r="A211" s="349" t="s">
        <v>303</v>
      </c>
      <c r="B211" s="338" t="s">
        <v>3100</v>
      </c>
      <c r="C211" s="339">
        <v>0.123</v>
      </c>
      <c r="D211" s="339">
        <v>0.123</v>
      </c>
      <c r="E211" s="339">
        <v>0.127</v>
      </c>
      <c r="F211" s="339">
        <v>0.115</v>
      </c>
      <c r="G211" s="340">
        <v>0.126</v>
      </c>
    </row>
    <row r="212" spans="1:7">
      <c r="A212" s="349" t="s">
        <v>303</v>
      </c>
      <c r="B212" s="338" t="s">
        <v>3101</v>
      </c>
      <c r="C212" s="339">
        <v>0.126</v>
      </c>
      <c r="D212" s="339">
        <v>0.126</v>
      </c>
      <c r="E212" s="339">
        <v>0.13</v>
      </c>
      <c r="F212" s="339">
        <v>0.13</v>
      </c>
      <c r="G212" s="340">
        <v>0.129</v>
      </c>
    </row>
    <row r="213" spans="1:7">
      <c r="A213" s="349" t="s">
        <v>303</v>
      </c>
      <c r="B213" s="338" t="s">
        <v>3102</v>
      </c>
      <c r="C213" s="339">
        <v>0.129</v>
      </c>
      <c r="D213" s="339">
        <v>0.13</v>
      </c>
      <c r="E213" s="339">
        <v>0.127</v>
      </c>
      <c r="F213" s="339">
        <v>0.13</v>
      </c>
      <c r="G213" s="340">
        <v>0.13</v>
      </c>
    </row>
    <row r="214" spans="1:7">
      <c r="A214" s="349" t="s">
        <v>303</v>
      </c>
      <c r="B214" s="338" t="s">
        <v>3103</v>
      </c>
      <c r="C214" s="339">
        <v>0.128</v>
      </c>
      <c r="D214" s="339">
        <v>0.128</v>
      </c>
      <c r="E214" s="339">
        <v>0.13</v>
      </c>
      <c r="F214" s="339">
        <v>0.13</v>
      </c>
      <c r="G214" s="340">
        <v>0.13</v>
      </c>
    </row>
    <row r="215" spans="1:7">
      <c r="A215" s="349" t="s">
        <v>303</v>
      </c>
      <c r="B215" s="338" t="s">
        <v>3104</v>
      </c>
      <c r="C215" s="339">
        <v>0.13</v>
      </c>
      <c r="D215" s="339">
        <v>0.13</v>
      </c>
      <c r="E215" s="339">
        <v>0.13</v>
      </c>
      <c r="F215" s="339">
        <v>0.129</v>
      </c>
      <c r="G215" s="340">
        <v>0.13</v>
      </c>
    </row>
    <row r="216" spans="1:7">
      <c r="A216" s="349" t="s">
        <v>303</v>
      </c>
      <c r="B216" s="338" t="s">
        <v>3105</v>
      </c>
      <c r="C216" s="339">
        <v>0.13</v>
      </c>
      <c r="D216" s="339">
        <v>0.13</v>
      </c>
      <c r="E216" s="339">
        <v>0.13</v>
      </c>
      <c r="F216" s="339">
        <v>0.13</v>
      </c>
      <c r="G216" s="340">
        <v>0.13</v>
      </c>
    </row>
    <row r="217" spans="1:7">
      <c r="A217" s="349" t="s">
        <v>303</v>
      </c>
      <c r="B217" s="338" t="s">
        <v>3106</v>
      </c>
      <c r="C217" s="339">
        <v>0.129</v>
      </c>
      <c r="D217" s="339">
        <v>0.129</v>
      </c>
      <c r="E217" s="339">
        <v>0.13</v>
      </c>
      <c r="F217" s="339">
        <v>0.13</v>
      </c>
      <c r="G217" s="340">
        <v>0.13</v>
      </c>
    </row>
    <row r="218" spans="1:7">
      <c r="A218" s="349" t="s">
        <v>303</v>
      </c>
      <c r="B218" s="338" t="s">
        <v>3107</v>
      </c>
      <c r="C218" s="350"/>
      <c r="D218" s="350"/>
      <c r="E218" s="350"/>
      <c r="F218" s="339">
        <v>0.05</v>
      </c>
      <c r="G218" s="356"/>
    </row>
    <row r="219" spans="1:7">
      <c r="A219" s="349" t="s">
        <v>303</v>
      </c>
      <c r="B219" s="338" t="s">
        <v>3108</v>
      </c>
      <c r="C219" s="350"/>
      <c r="D219" s="350"/>
      <c r="E219" s="350"/>
      <c r="F219" s="339">
        <v>0.05</v>
      </c>
      <c r="G219" s="356"/>
    </row>
    <row r="220" spans="1:7">
      <c r="A220" s="349" t="s">
        <v>303</v>
      </c>
      <c r="B220" s="338" t="s">
        <v>3109</v>
      </c>
      <c r="C220" s="350"/>
      <c r="D220" s="350"/>
      <c r="E220" s="350"/>
      <c r="F220" s="339">
        <v>0.05</v>
      </c>
      <c r="G220" s="356"/>
    </row>
    <row r="221" spans="1:7">
      <c r="A221" s="349" t="s">
        <v>303</v>
      </c>
      <c r="B221" s="338" t="s">
        <v>3110</v>
      </c>
      <c r="C221" s="350"/>
      <c r="D221" s="350"/>
      <c r="E221" s="350"/>
      <c r="F221" s="339">
        <v>0.05</v>
      </c>
      <c r="G221" s="356"/>
    </row>
    <row r="222" spans="1:7">
      <c r="A222" s="349" t="s">
        <v>303</v>
      </c>
      <c r="B222" s="338" t="s">
        <v>3111</v>
      </c>
      <c r="C222" s="350"/>
      <c r="D222" s="350"/>
      <c r="E222" s="350"/>
      <c r="F222" s="339">
        <v>0.05</v>
      </c>
      <c r="G222" s="356"/>
    </row>
    <row r="223" spans="1:7">
      <c r="A223" s="349" t="s">
        <v>303</v>
      </c>
      <c r="B223" s="338" t="s">
        <v>3112</v>
      </c>
      <c r="C223" s="350"/>
      <c r="D223" s="350"/>
      <c r="E223" s="350"/>
      <c r="F223" s="339">
        <v>0.05</v>
      </c>
      <c r="G223" s="356"/>
    </row>
    <row r="224" spans="1:7">
      <c r="A224" s="349" t="s">
        <v>303</v>
      </c>
      <c r="B224" s="338" t="s">
        <v>3113</v>
      </c>
      <c r="C224" s="350"/>
      <c r="D224" s="350"/>
      <c r="E224" s="350"/>
      <c r="F224" s="339">
        <v>0.05</v>
      </c>
      <c r="G224" s="356"/>
    </row>
    <row r="225" spans="1:7">
      <c r="A225" s="349" t="s">
        <v>303</v>
      </c>
      <c r="B225" s="338" t="s">
        <v>3114</v>
      </c>
      <c r="C225" s="350"/>
      <c r="D225" s="350"/>
      <c r="E225" s="350"/>
      <c r="F225" s="339">
        <v>0.05</v>
      </c>
      <c r="G225" s="356"/>
    </row>
    <row r="226" spans="1:7">
      <c r="A226" s="349" t="s">
        <v>303</v>
      </c>
      <c r="B226" s="338" t="s">
        <v>3115</v>
      </c>
      <c r="C226" s="350"/>
      <c r="D226" s="350"/>
      <c r="E226" s="350"/>
      <c r="F226" s="339">
        <v>0.05</v>
      </c>
      <c r="G226" s="356"/>
    </row>
    <row r="227" spans="1:7">
      <c r="A227" s="349" t="s">
        <v>303</v>
      </c>
      <c r="B227" s="338" t="s">
        <v>3116</v>
      </c>
      <c r="C227" s="350"/>
      <c r="D227" s="350"/>
      <c r="E227" s="350"/>
      <c r="F227" s="339">
        <v>0.05</v>
      </c>
      <c r="G227" s="356"/>
    </row>
    <row r="228" spans="1:7">
      <c r="A228" s="349" t="s">
        <v>303</v>
      </c>
      <c r="B228" s="338" t="s">
        <v>3117</v>
      </c>
      <c r="C228" s="350"/>
      <c r="D228" s="350"/>
      <c r="E228" s="350"/>
      <c r="F228" s="339">
        <v>0.05</v>
      </c>
      <c r="G228" s="356"/>
    </row>
    <row r="229" spans="1:7">
      <c r="A229" s="349" t="s">
        <v>303</v>
      </c>
      <c r="B229" s="338" t="s">
        <v>3118</v>
      </c>
      <c r="C229" s="350"/>
      <c r="D229" s="350"/>
      <c r="E229" s="350"/>
      <c r="F229" s="339">
        <v>0.05</v>
      </c>
      <c r="G229" s="356"/>
    </row>
    <row r="230" spans="1:7">
      <c r="A230" s="349" t="s">
        <v>303</v>
      </c>
      <c r="B230" s="338" t="s">
        <v>3119</v>
      </c>
      <c r="C230" s="350"/>
      <c r="D230" s="350"/>
      <c r="E230" s="350"/>
      <c r="F230" s="339">
        <v>0.05</v>
      </c>
      <c r="G230" s="356"/>
    </row>
    <row r="231" spans="1:7">
      <c r="A231" s="349" t="s">
        <v>303</v>
      </c>
      <c r="B231" s="338" t="s">
        <v>3120</v>
      </c>
      <c r="C231" s="350"/>
      <c r="D231" s="350"/>
      <c r="E231" s="350"/>
      <c r="F231" s="339">
        <v>0.05</v>
      </c>
      <c r="G231" s="356"/>
    </row>
    <row r="232" spans="1:7">
      <c r="A232" s="349" t="s">
        <v>303</v>
      </c>
      <c r="B232" s="338" t="s">
        <v>3121</v>
      </c>
      <c r="C232" s="350"/>
      <c r="D232" s="350"/>
      <c r="E232" s="350"/>
      <c r="F232" s="339">
        <v>0.05</v>
      </c>
      <c r="G232" s="356"/>
    </row>
    <row r="233" spans="1:7">
      <c r="A233" s="352" t="s">
        <v>303</v>
      </c>
      <c r="B233" s="342" t="s">
        <v>3122</v>
      </c>
      <c r="C233" s="344"/>
      <c r="D233" s="344"/>
      <c r="E233" s="344"/>
      <c r="F233" s="343">
        <v>0.05</v>
      </c>
      <c r="G233" s="357"/>
    </row>
    <row r="234" spans="1:7">
      <c r="A234" s="348" t="s">
        <v>311</v>
      </c>
      <c r="B234" s="334" t="s">
        <v>3123</v>
      </c>
      <c r="C234" s="335">
        <v>0.13</v>
      </c>
      <c r="D234" s="335">
        <v>0.128</v>
      </c>
      <c r="E234" s="335">
        <v>0.14199999999999999</v>
      </c>
      <c r="F234" s="335">
        <v>0.14699999999999999</v>
      </c>
      <c r="G234" s="336">
        <v>0.14000000000000001</v>
      </c>
    </row>
    <row r="235" spans="1:7">
      <c r="A235" s="349" t="s">
        <v>311</v>
      </c>
      <c r="B235" s="338" t="s">
        <v>3124</v>
      </c>
      <c r="C235" s="339">
        <v>0.13600000000000001</v>
      </c>
      <c r="D235" s="339">
        <v>0.13800000000000001</v>
      </c>
      <c r="E235" s="339">
        <v>0.14499999999999999</v>
      </c>
      <c r="F235" s="339">
        <v>0.14299999999999999</v>
      </c>
      <c r="G235" s="340">
        <v>0.14099999999999999</v>
      </c>
    </row>
    <row r="236" spans="1:7">
      <c r="A236" s="349" t="s">
        <v>311</v>
      </c>
      <c r="B236" s="338" t="s">
        <v>3125</v>
      </c>
      <c r="C236" s="339">
        <v>0.15</v>
      </c>
      <c r="D236" s="339">
        <v>0.15</v>
      </c>
      <c r="E236" s="339">
        <v>0.15</v>
      </c>
      <c r="F236" s="339">
        <v>0.15</v>
      </c>
      <c r="G236" s="340">
        <v>0.15</v>
      </c>
    </row>
    <row r="237" spans="1:7">
      <c r="A237" s="349" t="s">
        <v>311</v>
      </c>
      <c r="B237" s="338" t="s">
        <v>3126</v>
      </c>
      <c r="C237" s="339">
        <v>0.15</v>
      </c>
      <c r="D237" s="339">
        <v>0.15</v>
      </c>
      <c r="E237" s="339">
        <v>0.15</v>
      </c>
      <c r="F237" s="339">
        <v>0.15</v>
      </c>
      <c r="G237" s="340">
        <v>0.15</v>
      </c>
    </row>
    <row r="238" spans="1:7">
      <c r="A238" s="349" t="s">
        <v>311</v>
      </c>
      <c r="B238" s="338" t="s">
        <v>3127</v>
      </c>
      <c r="C238" s="339">
        <v>0.14899999999999999</v>
      </c>
      <c r="D238" s="339">
        <v>0.14899999999999999</v>
      </c>
      <c r="E238" s="339">
        <v>0.15</v>
      </c>
      <c r="F238" s="339">
        <v>0.15</v>
      </c>
      <c r="G238" s="340">
        <v>0.15</v>
      </c>
    </row>
    <row r="239" spans="1:7">
      <c r="A239" s="349" t="s">
        <v>311</v>
      </c>
      <c r="B239" s="338" t="s">
        <v>3128</v>
      </c>
      <c r="C239" s="339">
        <v>0.15</v>
      </c>
      <c r="D239" s="339">
        <v>0.15</v>
      </c>
      <c r="E239" s="339">
        <v>0.15</v>
      </c>
      <c r="F239" s="339">
        <v>0.15</v>
      </c>
      <c r="G239" s="340">
        <v>0.15</v>
      </c>
    </row>
    <row r="240" spans="1:7">
      <c r="A240" s="349" t="s">
        <v>311</v>
      </c>
      <c r="B240" s="338" t="s">
        <v>3129</v>
      </c>
      <c r="C240" s="339">
        <v>0.15</v>
      </c>
      <c r="D240" s="339">
        <v>0.15</v>
      </c>
      <c r="E240" s="339">
        <v>0.15</v>
      </c>
      <c r="F240" s="339">
        <v>0.15</v>
      </c>
      <c r="G240" s="340">
        <v>0.15</v>
      </c>
    </row>
    <row r="241" spans="1:7">
      <c r="A241" s="349" t="s">
        <v>311</v>
      </c>
      <c r="B241" s="338" t="s">
        <v>3130</v>
      </c>
      <c r="C241" s="339">
        <v>0.14099999999999999</v>
      </c>
      <c r="D241" s="339">
        <v>0.14199999999999999</v>
      </c>
      <c r="E241" s="339">
        <v>0.14899999999999999</v>
      </c>
      <c r="F241" s="339">
        <v>0.15</v>
      </c>
      <c r="G241" s="340">
        <v>0.14399999999999999</v>
      </c>
    </row>
    <row r="242" spans="1:7">
      <c r="A242" s="349" t="s">
        <v>311</v>
      </c>
      <c r="B242" s="338" t="s">
        <v>3131</v>
      </c>
      <c r="C242" s="339">
        <v>0.14099999999999999</v>
      </c>
      <c r="D242" s="339">
        <v>0.14199999999999999</v>
      </c>
      <c r="E242" s="339">
        <v>0.14799999999999999</v>
      </c>
      <c r="F242" s="339">
        <v>0.127</v>
      </c>
      <c r="G242" s="340">
        <v>0.14399999999999999</v>
      </c>
    </row>
    <row r="243" spans="1:7">
      <c r="A243" s="349" t="s">
        <v>311</v>
      </c>
      <c r="B243" s="338" t="s">
        <v>3132</v>
      </c>
      <c r="C243" s="339">
        <v>0.14699999999999999</v>
      </c>
      <c r="D243" s="339">
        <v>0.14699999999999999</v>
      </c>
      <c r="E243" s="339">
        <v>0.15</v>
      </c>
      <c r="F243" s="339">
        <v>0.15</v>
      </c>
      <c r="G243" s="340">
        <v>0.14899999999999999</v>
      </c>
    </row>
    <row r="244" spans="1:7">
      <c r="A244" s="349" t="s">
        <v>311</v>
      </c>
      <c r="B244" s="338" t="s">
        <v>3133</v>
      </c>
      <c r="C244" s="339">
        <v>0.15</v>
      </c>
      <c r="D244" s="339">
        <v>0.15</v>
      </c>
      <c r="E244" s="339">
        <v>0.15</v>
      </c>
      <c r="F244" s="339">
        <v>0.15</v>
      </c>
      <c r="G244" s="340">
        <v>0.15</v>
      </c>
    </row>
    <row r="245" spans="1:7">
      <c r="A245" s="349" t="s">
        <v>311</v>
      </c>
      <c r="B245" s="338" t="s">
        <v>3134</v>
      </c>
      <c r="C245" s="339">
        <v>0.14199999999999999</v>
      </c>
      <c r="D245" s="339">
        <v>0.14199999999999999</v>
      </c>
      <c r="E245" s="339">
        <v>0.15</v>
      </c>
      <c r="F245" s="339">
        <v>0.15</v>
      </c>
      <c r="G245" s="340">
        <v>0.14499999999999999</v>
      </c>
    </row>
    <row r="246" spans="1:7">
      <c r="A246" s="349" t="s">
        <v>311</v>
      </c>
      <c r="B246" s="338" t="s">
        <v>3135</v>
      </c>
      <c r="C246" s="339">
        <v>0.14199999999999999</v>
      </c>
      <c r="D246" s="339">
        <v>0.14299999999999999</v>
      </c>
      <c r="E246" s="339">
        <v>0.15</v>
      </c>
      <c r="F246" s="339">
        <v>0.14199999999999999</v>
      </c>
      <c r="G246" s="340">
        <v>0.14399999999999999</v>
      </c>
    </row>
    <row r="247" spans="1:7">
      <c r="A247" s="349" t="s">
        <v>311</v>
      </c>
      <c r="B247" s="338" t="s">
        <v>3136</v>
      </c>
      <c r="C247" s="339">
        <v>0.14899999999999999</v>
      </c>
      <c r="D247" s="339">
        <v>0.14899999999999999</v>
      </c>
      <c r="E247" s="339">
        <v>0.15</v>
      </c>
      <c r="F247" s="339">
        <v>0.15</v>
      </c>
      <c r="G247" s="340">
        <v>0.15</v>
      </c>
    </row>
    <row r="248" spans="1:7">
      <c r="A248" s="349" t="s">
        <v>311</v>
      </c>
      <c r="B248" s="338" t="s">
        <v>3137</v>
      </c>
      <c r="C248" s="339">
        <v>0.14399999999999999</v>
      </c>
      <c r="D248" s="339">
        <v>0.14399999999999999</v>
      </c>
      <c r="E248" s="339">
        <v>0.14899999999999999</v>
      </c>
      <c r="F248" s="339">
        <v>0.14799999999999999</v>
      </c>
      <c r="G248" s="340">
        <v>0.14599999999999999</v>
      </c>
    </row>
    <row r="249" spans="1:7">
      <c r="A249" s="349" t="s">
        <v>311</v>
      </c>
      <c r="B249" s="338" t="s">
        <v>3138</v>
      </c>
      <c r="C249" s="339">
        <v>0.14000000000000001</v>
      </c>
      <c r="D249" s="339">
        <v>0.14000000000000001</v>
      </c>
      <c r="E249" s="339">
        <v>0.14699999999999999</v>
      </c>
      <c r="F249" s="339">
        <v>0.14899999999999999</v>
      </c>
      <c r="G249" s="340">
        <v>0.14199999999999999</v>
      </c>
    </row>
    <row r="250" spans="1:7">
      <c r="A250" s="349" t="s">
        <v>311</v>
      </c>
      <c r="B250" s="338" t="s">
        <v>3139</v>
      </c>
      <c r="C250" s="339">
        <v>0.14399999999999999</v>
      </c>
      <c r="D250" s="339">
        <v>0.14299999999999999</v>
      </c>
      <c r="E250" s="339">
        <v>0.14899999999999999</v>
      </c>
      <c r="F250" s="339">
        <v>0.15</v>
      </c>
      <c r="G250" s="340">
        <v>0.14599999999999999</v>
      </c>
    </row>
    <row r="251" spans="1:7">
      <c r="A251" s="349" t="s">
        <v>311</v>
      </c>
      <c r="B251" s="338" t="s">
        <v>3140</v>
      </c>
      <c r="C251" s="355"/>
      <c r="D251" s="350"/>
      <c r="E251" s="350"/>
      <c r="F251" s="339">
        <v>0.1</v>
      </c>
      <c r="G251" s="356"/>
    </row>
    <row r="252" spans="1:7">
      <c r="A252" s="349" t="s">
        <v>311</v>
      </c>
      <c r="B252" s="338" t="s">
        <v>3141</v>
      </c>
      <c r="C252" s="339">
        <v>0.14399999999999999</v>
      </c>
      <c r="D252" s="339">
        <v>0.14399999999999999</v>
      </c>
      <c r="E252" s="339">
        <v>0.15</v>
      </c>
      <c r="F252" s="339">
        <v>0.14899999999999999</v>
      </c>
      <c r="G252" s="340">
        <v>0.14599999999999999</v>
      </c>
    </row>
    <row r="253" spans="1:7">
      <c r="A253" s="349" t="s">
        <v>311</v>
      </c>
      <c r="B253" s="338" t="s">
        <v>3142</v>
      </c>
      <c r="C253" s="339">
        <v>0.14199999999999999</v>
      </c>
      <c r="D253" s="339">
        <v>0.14199999999999999</v>
      </c>
      <c r="E253" s="339">
        <v>0.14599999999999999</v>
      </c>
      <c r="F253" s="339">
        <v>0.14799999999999999</v>
      </c>
      <c r="G253" s="340">
        <v>0.14499999999999999</v>
      </c>
    </row>
    <row r="254" spans="1:7">
      <c r="A254" s="349" t="s">
        <v>311</v>
      </c>
      <c r="B254" s="338" t="s">
        <v>3143</v>
      </c>
      <c r="C254" s="339">
        <v>0.15</v>
      </c>
      <c r="D254" s="339">
        <v>0.15</v>
      </c>
      <c r="E254" s="339">
        <v>0.15</v>
      </c>
      <c r="F254" s="339">
        <v>0.15</v>
      </c>
      <c r="G254" s="340">
        <v>0.15</v>
      </c>
    </row>
    <row r="255" spans="1:7">
      <c r="A255" s="349" t="s">
        <v>311</v>
      </c>
      <c r="B255" s="338" t="s">
        <v>3144</v>
      </c>
      <c r="C255" s="339">
        <v>0.14299999999999999</v>
      </c>
      <c r="D255" s="339">
        <v>0.14299999999999999</v>
      </c>
      <c r="E255" s="339">
        <v>0.15</v>
      </c>
      <c r="F255" s="339">
        <v>0.15</v>
      </c>
      <c r="G255" s="340">
        <v>0.14499999999999999</v>
      </c>
    </row>
    <row r="256" spans="1:7">
      <c r="A256" s="349" t="s">
        <v>311</v>
      </c>
      <c r="B256" s="338" t="s">
        <v>3145</v>
      </c>
      <c r="C256" s="339">
        <v>0.15</v>
      </c>
      <c r="D256" s="339">
        <v>0.15</v>
      </c>
      <c r="E256" s="339">
        <v>0.15</v>
      </c>
      <c r="F256" s="339">
        <v>0.14599999999999999</v>
      </c>
      <c r="G256" s="340">
        <v>0.15</v>
      </c>
    </row>
    <row r="257" spans="1:7">
      <c r="A257" s="349" t="s">
        <v>311</v>
      </c>
      <c r="B257" s="338" t="s">
        <v>3146</v>
      </c>
      <c r="C257" s="339">
        <v>0.14199999999999999</v>
      </c>
      <c r="D257" s="339">
        <v>0.14299999999999999</v>
      </c>
      <c r="E257" s="339">
        <v>0.14799999999999999</v>
      </c>
      <c r="F257" s="339">
        <v>0.15</v>
      </c>
      <c r="G257" s="340">
        <v>0.14499999999999999</v>
      </c>
    </row>
    <row r="258" spans="1:7">
      <c r="A258" s="349" t="s">
        <v>311</v>
      </c>
      <c r="B258" s="338" t="s">
        <v>3147</v>
      </c>
      <c r="C258" s="339">
        <v>0.14299999999999999</v>
      </c>
      <c r="D258" s="339">
        <v>0.14299999999999999</v>
      </c>
      <c r="E258" s="339">
        <v>0.15</v>
      </c>
      <c r="F258" s="339">
        <v>0.14799999999999999</v>
      </c>
      <c r="G258" s="340">
        <v>0.14599999999999999</v>
      </c>
    </row>
    <row r="259" spans="1:7">
      <c r="A259" s="349" t="s">
        <v>311</v>
      </c>
      <c r="B259" s="338" t="s">
        <v>3148</v>
      </c>
      <c r="C259" s="339">
        <v>0.14399999999999999</v>
      </c>
      <c r="D259" s="339">
        <v>0.14399999999999999</v>
      </c>
      <c r="E259" s="339">
        <v>0.14899999999999999</v>
      </c>
      <c r="F259" s="339">
        <v>0.14699999999999999</v>
      </c>
      <c r="G259" s="340">
        <v>0.14599999999999999</v>
      </c>
    </row>
    <row r="260" spans="1:7">
      <c r="A260" s="349" t="s">
        <v>311</v>
      </c>
      <c r="B260" s="338" t="s">
        <v>3149</v>
      </c>
      <c r="C260" s="339">
        <v>0.109</v>
      </c>
      <c r="D260" s="339">
        <v>0.111</v>
      </c>
      <c r="E260" s="339">
        <v>0.13100000000000001</v>
      </c>
      <c r="F260" s="339">
        <v>0.126</v>
      </c>
      <c r="G260" s="340">
        <v>0.11899999999999999</v>
      </c>
    </row>
    <row r="261" spans="1:7">
      <c r="A261" s="349" t="s">
        <v>311</v>
      </c>
      <c r="B261" s="338" t="s">
        <v>3150</v>
      </c>
      <c r="C261" s="339">
        <v>0.1</v>
      </c>
      <c r="D261" s="339">
        <v>0.1</v>
      </c>
      <c r="E261" s="339">
        <v>0.11799999999999999</v>
      </c>
      <c r="F261" s="339">
        <v>0.108</v>
      </c>
      <c r="G261" s="340">
        <v>0.107</v>
      </c>
    </row>
    <row r="262" spans="1:7">
      <c r="A262" s="349" t="s">
        <v>311</v>
      </c>
      <c r="B262" s="338" t="s">
        <v>3151</v>
      </c>
      <c r="C262" s="339">
        <v>0.1</v>
      </c>
      <c r="D262" s="339">
        <v>0.1</v>
      </c>
      <c r="E262" s="339">
        <v>0.1</v>
      </c>
      <c r="F262" s="339">
        <v>0.14099999999999999</v>
      </c>
      <c r="G262" s="340">
        <v>0.1</v>
      </c>
    </row>
    <row r="263" spans="1:7">
      <c r="A263" s="349" t="s">
        <v>311</v>
      </c>
      <c r="B263" s="338" t="s">
        <v>3152</v>
      </c>
      <c r="C263" s="339">
        <v>0.14799999999999999</v>
      </c>
      <c r="D263" s="339">
        <v>0.14799999999999999</v>
      </c>
      <c r="E263" s="339">
        <v>0.15</v>
      </c>
      <c r="F263" s="339">
        <v>0.14699999999999999</v>
      </c>
      <c r="G263" s="340">
        <v>0.15</v>
      </c>
    </row>
    <row r="264" spans="1:7">
      <c r="A264" s="349" t="s">
        <v>311</v>
      </c>
      <c r="B264" s="338" t="s">
        <v>3153</v>
      </c>
      <c r="C264" s="339">
        <v>0.14299999999999999</v>
      </c>
      <c r="D264" s="339">
        <v>0.14299999999999999</v>
      </c>
      <c r="E264" s="339">
        <v>0.15</v>
      </c>
      <c r="F264" s="339">
        <v>0.14899999999999999</v>
      </c>
      <c r="G264" s="340">
        <v>0.14599999999999999</v>
      </c>
    </row>
    <row r="265" spans="1:7">
      <c r="A265" s="349" t="s">
        <v>311</v>
      </c>
      <c r="B265" s="338" t="s">
        <v>3154</v>
      </c>
      <c r="C265" s="350"/>
      <c r="D265" s="350"/>
      <c r="E265" s="350"/>
      <c r="F265" s="339">
        <v>0.05</v>
      </c>
      <c r="G265" s="356"/>
    </row>
    <row r="266" spans="1:7">
      <c r="A266" s="349" t="s">
        <v>311</v>
      </c>
      <c r="B266" s="338" t="s">
        <v>3155</v>
      </c>
      <c r="C266" s="350"/>
      <c r="D266" s="350"/>
      <c r="E266" s="350"/>
      <c r="F266" s="339">
        <v>0.05</v>
      </c>
      <c r="G266" s="356"/>
    </row>
    <row r="267" spans="1:7">
      <c r="A267" s="349" t="s">
        <v>311</v>
      </c>
      <c r="B267" s="338" t="s">
        <v>3156</v>
      </c>
      <c r="C267" s="350"/>
      <c r="D267" s="350"/>
      <c r="E267" s="350"/>
      <c r="F267" s="339">
        <v>0.05</v>
      </c>
      <c r="G267" s="356"/>
    </row>
    <row r="268" spans="1:7">
      <c r="A268" s="349" t="s">
        <v>311</v>
      </c>
      <c r="B268" s="338" t="s">
        <v>3157</v>
      </c>
      <c r="C268" s="350"/>
      <c r="D268" s="350"/>
      <c r="E268" s="350"/>
      <c r="F268" s="339">
        <v>0.05</v>
      </c>
      <c r="G268" s="356"/>
    </row>
    <row r="269" spans="1:7">
      <c r="A269" s="349" t="s">
        <v>311</v>
      </c>
      <c r="B269" s="338" t="s">
        <v>3158</v>
      </c>
      <c r="C269" s="350"/>
      <c r="D269" s="350"/>
      <c r="E269" s="350"/>
      <c r="F269" s="339">
        <v>0.05</v>
      </c>
      <c r="G269" s="356"/>
    </row>
    <row r="270" spans="1:7">
      <c r="A270" s="349" t="s">
        <v>311</v>
      </c>
      <c r="B270" s="338" t="s">
        <v>3159</v>
      </c>
      <c r="C270" s="350"/>
      <c r="D270" s="350"/>
      <c r="E270" s="350"/>
      <c r="F270" s="339">
        <v>0.05</v>
      </c>
      <c r="G270" s="356"/>
    </row>
    <row r="271" spans="1:7">
      <c r="A271" s="349" t="s">
        <v>311</v>
      </c>
      <c r="B271" s="338" t="s">
        <v>3160</v>
      </c>
      <c r="C271" s="350"/>
      <c r="D271" s="350"/>
      <c r="E271" s="350"/>
      <c r="F271" s="339">
        <v>0.05</v>
      </c>
      <c r="G271" s="356"/>
    </row>
    <row r="272" spans="1:7">
      <c r="A272" s="349" t="s">
        <v>311</v>
      </c>
      <c r="B272" s="338" t="s">
        <v>3161</v>
      </c>
      <c r="C272" s="350"/>
      <c r="D272" s="350"/>
      <c r="E272" s="350"/>
      <c r="F272" s="339">
        <v>0.05</v>
      </c>
      <c r="G272" s="356"/>
    </row>
    <row r="273" spans="1:7">
      <c r="A273" s="349" t="s">
        <v>311</v>
      </c>
      <c r="B273" s="338" t="s">
        <v>3162</v>
      </c>
      <c r="C273" s="350"/>
      <c r="D273" s="350"/>
      <c r="E273" s="350"/>
      <c r="F273" s="339">
        <v>0.05</v>
      </c>
      <c r="G273" s="356"/>
    </row>
    <row r="274" spans="1:7">
      <c r="A274" s="349" t="s">
        <v>311</v>
      </c>
      <c r="B274" s="338" t="s">
        <v>3163</v>
      </c>
      <c r="C274" s="350"/>
      <c r="D274" s="350"/>
      <c r="E274" s="350"/>
      <c r="F274" s="339">
        <v>0.05</v>
      </c>
      <c r="G274" s="356"/>
    </row>
    <row r="275" spans="1:7">
      <c r="A275" s="349" t="s">
        <v>311</v>
      </c>
      <c r="B275" s="338" t="s">
        <v>3164</v>
      </c>
      <c r="C275" s="350"/>
      <c r="D275" s="350"/>
      <c r="E275" s="350"/>
      <c r="F275" s="339">
        <v>0.05</v>
      </c>
      <c r="G275" s="356"/>
    </row>
    <row r="276" spans="1:7">
      <c r="A276" s="352" t="s">
        <v>311</v>
      </c>
      <c r="B276" s="342" t="s">
        <v>3165</v>
      </c>
      <c r="C276" s="344"/>
      <c r="D276" s="344"/>
      <c r="E276" s="344"/>
      <c r="F276" s="343">
        <v>0.05</v>
      </c>
      <c r="G276" s="357"/>
    </row>
    <row r="277" spans="1:7">
      <c r="A277" s="348" t="s">
        <v>318</v>
      </c>
      <c r="B277" s="334" t="s">
        <v>3166</v>
      </c>
      <c r="C277" s="335">
        <v>0.15</v>
      </c>
      <c r="D277" s="335">
        <v>0.15</v>
      </c>
      <c r="E277" s="335">
        <v>0.15</v>
      </c>
      <c r="F277" s="335">
        <v>0.15</v>
      </c>
      <c r="G277" s="336">
        <v>0.15</v>
      </c>
    </row>
    <row r="278" spans="1:7">
      <c r="A278" s="349" t="s">
        <v>318</v>
      </c>
      <c r="B278" s="338" t="s">
        <v>3167</v>
      </c>
      <c r="C278" s="339">
        <v>0.15</v>
      </c>
      <c r="D278" s="339">
        <v>0.15</v>
      </c>
      <c r="E278" s="339">
        <v>0.15</v>
      </c>
      <c r="F278" s="339">
        <v>0.15</v>
      </c>
      <c r="G278" s="340">
        <v>0.15</v>
      </c>
    </row>
    <row r="279" spans="1:7">
      <c r="A279" s="349" t="s">
        <v>318</v>
      </c>
      <c r="B279" s="338" t="s">
        <v>3168</v>
      </c>
      <c r="C279" s="339">
        <v>0.15</v>
      </c>
      <c r="D279" s="339">
        <v>0.15</v>
      </c>
      <c r="E279" s="339">
        <v>0.15</v>
      </c>
      <c r="F279" s="339">
        <v>0.15</v>
      </c>
      <c r="G279" s="340">
        <v>0.15</v>
      </c>
    </row>
    <row r="280" spans="1:7">
      <c r="A280" s="349" t="s">
        <v>318</v>
      </c>
      <c r="B280" s="338" t="s">
        <v>3169</v>
      </c>
      <c r="C280" s="339">
        <v>0.15</v>
      </c>
      <c r="D280" s="339">
        <v>0.15</v>
      </c>
      <c r="E280" s="339">
        <v>0.15</v>
      </c>
      <c r="F280" s="339">
        <v>0.15</v>
      </c>
      <c r="G280" s="340">
        <v>0.15</v>
      </c>
    </row>
    <row r="281" spans="1:7">
      <c r="A281" s="349" t="s">
        <v>318</v>
      </c>
      <c r="B281" s="338" t="s">
        <v>3170</v>
      </c>
      <c r="C281" s="339">
        <v>0.15</v>
      </c>
      <c r="D281" s="339">
        <v>0.15</v>
      </c>
      <c r="E281" s="339">
        <v>0.15</v>
      </c>
      <c r="F281" s="339">
        <v>0.15</v>
      </c>
      <c r="G281" s="340">
        <v>0.15</v>
      </c>
    </row>
    <row r="282" spans="1:7">
      <c r="A282" s="349" t="s">
        <v>318</v>
      </c>
      <c r="B282" s="338" t="s">
        <v>3171</v>
      </c>
      <c r="C282" s="339">
        <v>0.15</v>
      </c>
      <c r="D282" s="339">
        <v>0.15</v>
      </c>
      <c r="E282" s="339">
        <v>0.15</v>
      </c>
      <c r="F282" s="339">
        <v>0.14499999999999999</v>
      </c>
      <c r="G282" s="340">
        <v>0.15</v>
      </c>
    </row>
    <row r="283" spans="1:7">
      <c r="A283" s="349" t="s">
        <v>318</v>
      </c>
      <c r="B283" s="338" t="s">
        <v>3172</v>
      </c>
      <c r="C283" s="339">
        <v>0.15</v>
      </c>
      <c r="D283" s="339">
        <v>0.15</v>
      </c>
      <c r="E283" s="339">
        <v>0.15</v>
      </c>
      <c r="F283" s="339">
        <v>0.14199999999999999</v>
      </c>
      <c r="G283" s="340">
        <v>0.15</v>
      </c>
    </row>
    <row r="284" spans="1:7">
      <c r="A284" s="349" t="s">
        <v>318</v>
      </c>
      <c r="B284" s="338" t="s">
        <v>3173</v>
      </c>
      <c r="C284" s="339">
        <v>0.15</v>
      </c>
      <c r="D284" s="339">
        <v>0.15</v>
      </c>
      <c r="E284" s="339">
        <v>0.15</v>
      </c>
      <c r="F284" s="339">
        <v>0.15</v>
      </c>
      <c r="G284" s="340">
        <v>0.15</v>
      </c>
    </row>
    <row r="285" spans="1:7">
      <c r="A285" s="349" t="s">
        <v>318</v>
      </c>
      <c r="B285" s="338" t="s">
        <v>3174</v>
      </c>
      <c r="C285" s="339">
        <v>0.15</v>
      </c>
      <c r="D285" s="339">
        <v>0.15</v>
      </c>
      <c r="E285" s="339">
        <v>0.15</v>
      </c>
      <c r="F285" s="339">
        <v>0.15</v>
      </c>
      <c r="G285" s="340">
        <v>0.15</v>
      </c>
    </row>
    <row r="286" spans="1:7">
      <c r="A286" s="349" t="s">
        <v>318</v>
      </c>
      <c r="B286" s="338" t="s">
        <v>3175</v>
      </c>
      <c r="C286" s="339">
        <v>0.14499999999999999</v>
      </c>
      <c r="D286" s="339">
        <v>0.14499999999999999</v>
      </c>
      <c r="E286" s="339">
        <v>0.15</v>
      </c>
      <c r="F286" s="339">
        <v>0.14099999999999999</v>
      </c>
      <c r="G286" s="340">
        <v>0.14499999999999999</v>
      </c>
    </row>
    <row r="287" spans="1:7">
      <c r="A287" s="349" t="s">
        <v>318</v>
      </c>
      <c r="B287" s="338" t="s">
        <v>3176</v>
      </c>
      <c r="C287" s="339">
        <v>0.11</v>
      </c>
      <c r="D287" s="339">
        <v>0.111</v>
      </c>
      <c r="E287" s="339">
        <v>0.14099999999999999</v>
      </c>
      <c r="F287" s="339">
        <v>0.11</v>
      </c>
      <c r="G287" s="340">
        <v>0.12</v>
      </c>
    </row>
    <row r="288" spans="1:7">
      <c r="A288" s="349" t="s">
        <v>318</v>
      </c>
      <c r="B288" s="338" t="s">
        <v>3177</v>
      </c>
      <c r="C288" s="339">
        <v>0.14199999999999999</v>
      </c>
      <c r="D288" s="339">
        <v>0.14299999999999999</v>
      </c>
      <c r="E288" s="339">
        <v>0.15</v>
      </c>
      <c r="F288" s="339">
        <v>0.14199999999999999</v>
      </c>
      <c r="G288" s="340">
        <v>0.14399999999999999</v>
      </c>
    </row>
    <row r="289" spans="1:7">
      <c r="A289" s="349" t="s">
        <v>318</v>
      </c>
      <c r="B289" s="338" t="s">
        <v>3178</v>
      </c>
      <c r="C289" s="339">
        <v>0.14299999999999999</v>
      </c>
      <c r="D289" s="339">
        <v>0.14299999999999999</v>
      </c>
      <c r="E289" s="339">
        <v>0.14799999999999999</v>
      </c>
      <c r="F289" s="339">
        <v>0.14399999999999999</v>
      </c>
      <c r="G289" s="340">
        <v>0.14399999999999999</v>
      </c>
    </row>
    <row r="290" spans="1:7">
      <c r="A290" s="349" t="s">
        <v>318</v>
      </c>
      <c r="B290" s="338" t="s">
        <v>3179</v>
      </c>
      <c r="C290" s="339">
        <v>0.14799999999999999</v>
      </c>
      <c r="D290" s="339">
        <v>0.14899999999999999</v>
      </c>
      <c r="E290" s="339">
        <v>0.15</v>
      </c>
      <c r="F290" s="339">
        <v>0.127</v>
      </c>
      <c r="G290" s="340">
        <v>0.15</v>
      </c>
    </row>
    <row r="291" spans="1:7">
      <c r="A291" s="349" t="s">
        <v>318</v>
      </c>
      <c r="B291" s="338" t="s">
        <v>3180</v>
      </c>
      <c r="C291" s="339">
        <v>0.15</v>
      </c>
      <c r="D291" s="339">
        <v>0.15</v>
      </c>
      <c r="E291" s="339">
        <v>0.15</v>
      </c>
      <c r="F291" s="339">
        <v>0.14899999999999999</v>
      </c>
      <c r="G291" s="340">
        <v>0.15</v>
      </c>
    </row>
    <row r="292" spans="1:7">
      <c r="A292" s="349" t="s">
        <v>318</v>
      </c>
      <c r="B292" s="338" t="s">
        <v>3181</v>
      </c>
      <c r="C292" s="339">
        <v>0.15</v>
      </c>
      <c r="D292" s="339">
        <v>0.15</v>
      </c>
      <c r="E292" s="339">
        <v>0.15</v>
      </c>
      <c r="F292" s="339">
        <v>0.14399999999999999</v>
      </c>
      <c r="G292" s="340">
        <v>0.15</v>
      </c>
    </row>
    <row r="293" spans="1:7">
      <c r="A293" s="349" t="s">
        <v>318</v>
      </c>
      <c r="B293" s="338" t="s">
        <v>3182</v>
      </c>
      <c r="C293" s="339">
        <v>0.15</v>
      </c>
      <c r="D293" s="339">
        <v>0.15</v>
      </c>
      <c r="E293" s="339">
        <v>0.15</v>
      </c>
      <c r="F293" s="339">
        <v>0.14499999999999999</v>
      </c>
      <c r="G293" s="340">
        <v>0.15</v>
      </c>
    </row>
    <row r="294" spans="1:7">
      <c r="A294" s="349" t="s">
        <v>318</v>
      </c>
      <c r="B294" s="338" t="s">
        <v>3183</v>
      </c>
      <c r="C294" s="339">
        <v>0.15</v>
      </c>
      <c r="D294" s="339">
        <v>0.15</v>
      </c>
      <c r="E294" s="339">
        <v>0.15</v>
      </c>
      <c r="F294" s="339">
        <v>0.14899999999999999</v>
      </c>
      <c r="G294" s="340">
        <v>0.15</v>
      </c>
    </row>
    <row r="295" spans="1:7">
      <c r="A295" s="349" t="s">
        <v>318</v>
      </c>
      <c r="B295" s="338" t="s">
        <v>3184</v>
      </c>
      <c r="C295" s="339">
        <v>0.15</v>
      </c>
      <c r="D295" s="339">
        <v>0.15</v>
      </c>
      <c r="E295" s="339">
        <v>0.15</v>
      </c>
      <c r="F295" s="339">
        <v>0.14799999999999999</v>
      </c>
      <c r="G295" s="340">
        <v>0.15</v>
      </c>
    </row>
    <row r="296" spans="1:7">
      <c r="A296" s="349" t="s">
        <v>318</v>
      </c>
      <c r="B296" s="338" t="s">
        <v>3185</v>
      </c>
      <c r="C296" s="339">
        <v>0.15</v>
      </c>
      <c r="D296" s="339">
        <v>0.15</v>
      </c>
      <c r="E296" s="339">
        <v>0.15</v>
      </c>
      <c r="F296" s="339">
        <v>0.14399999999999999</v>
      </c>
      <c r="G296" s="340">
        <v>0.15</v>
      </c>
    </row>
    <row r="297" spans="1:7">
      <c r="A297" s="349" t="s">
        <v>318</v>
      </c>
      <c r="B297" s="338" t="s">
        <v>3186</v>
      </c>
      <c r="C297" s="339">
        <v>0.15</v>
      </c>
      <c r="D297" s="339">
        <v>0.15</v>
      </c>
      <c r="E297" s="339">
        <v>0.15</v>
      </c>
      <c r="F297" s="339">
        <v>0.14499999999999999</v>
      </c>
      <c r="G297" s="340">
        <v>0.15</v>
      </c>
    </row>
    <row r="298" spans="1:7">
      <c r="A298" s="349" t="s">
        <v>318</v>
      </c>
      <c r="B298" s="338" t="s">
        <v>3187</v>
      </c>
      <c r="C298" s="339">
        <v>0.15</v>
      </c>
      <c r="D298" s="339">
        <v>0.15</v>
      </c>
      <c r="E298" s="339">
        <v>0.15</v>
      </c>
      <c r="F298" s="339">
        <v>0.15</v>
      </c>
      <c r="G298" s="340">
        <v>0.15</v>
      </c>
    </row>
    <row r="299" spans="1:7">
      <c r="A299" s="349" t="s">
        <v>318</v>
      </c>
      <c r="B299" s="358" t="s">
        <v>3188</v>
      </c>
      <c r="C299" s="339">
        <v>0.15</v>
      </c>
      <c r="D299" s="339">
        <v>0.15</v>
      </c>
      <c r="E299" s="339">
        <v>0.15</v>
      </c>
      <c r="F299" s="339">
        <v>0.14499999999999999</v>
      </c>
      <c r="G299" s="340">
        <v>0.15</v>
      </c>
    </row>
    <row r="300" spans="1:7">
      <c r="A300" s="349" t="s">
        <v>318</v>
      </c>
      <c r="B300" s="358" t="s">
        <v>3189</v>
      </c>
      <c r="C300" s="339">
        <v>0.15</v>
      </c>
      <c r="D300" s="339">
        <v>0.15</v>
      </c>
      <c r="E300" s="339">
        <v>0.15</v>
      </c>
      <c r="F300" s="339">
        <v>0.14599999999999999</v>
      </c>
      <c r="G300" s="340">
        <v>0.15</v>
      </c>
    </row>
    <row r="301" spans="1:7">
      <c r="A301" s="349" t="s">
        <v>318</v>
      </c>
      <c r="B301" s="358" t="s">
        <v>3190</v>
      </c>
      <c r="C301" s="339">
        <v>0.126</v>
      </c>
      <c r="D301" s="339">
        <v>0.124</v>
      </c>
      <c r="E301" s="339">
        <v>0.14099999999999999</v>
      </c>
      <c r="F301" s="339">
        <v>0.14399999999999999</v>
      </c>
      <c r="G301" s="340">
        <v>0.13</v>
      </c>
    </row>
    <row r="302" spans="1:7">
      <c r="A302" s="349" t="s">
        <v>318</v>
      </c>
      <c r="B302" s="338" t="s">
        <v>3191</v>
      </c>
      <c r="C302" s="339">
        <v>0.15</v>
      </c>
      <c r="D302" s="339">
        <v>0.15</v>
      </c>
      <c r="E302" s="339">
        <v>0.15</v>
      </c>
      <c r="F302" s="339">
        <v>0.14699999999999999</v>
      </c>
      <c r="G302" s="340">
        <v>0.15</v>
      </c>
    </row>
    <row r="303" spans="1:7">
      <c r="A303" s="349" t="s">
        <v>318</v>
      </c>
      <c r="B303" s="338" t="s">
        <v>3192</v>
      </c>
      <c r="C303" s="339">
        <v>0.15</v>
      </c>
      <c r="D303" s="339">
        <v>0.15</v>
      </c>
      <c r="E303" s="339">
        <v>0.15</v>
      </c>
      <c r="F303" s="339">
        <v>0.14199999999999999</v>
      </c>
      <c r="G303" s="340">
        <v>0.15</v>
      </c>
    </row>
    <row r="304" spans="1:7">
      <c r="A304" s="349" t="s">
        <v>318</v>
      </c>
      <c r="B304" s="338" t="s">
        <v>3193</v>
      </c>
      <c r="C304" s="339">
        <v>0.15</v>
      </c>
      <c r="D304" s="339">
        <v>0.15</v>
      </c>
      <c r="E304" s="339">
        <v>0.15</v>
      </c>
      <c r="F304" s="339">
        <v>0.14499999999999999</v>
      </c>
      <c r="G304" s="340">
        <v>0.15</v>
      </c>
    </row>
    <row r="305" spans="1:7">
      <c r="A305" s="349" t="s">
        <v>318</v>
      </c>
      <c r="B305" s="338" t="s">
        <v>3194</v>
      </c>
      <c r="C305" s="339">
        <v>0.15</v>
      </c>
      <c r="D305" s="339">
        <v>0.15</v>
      </c>
      <c r="E305" s="339">
        <v>0.15</v>
      </c>
      <c r="F305" s="339">
        <v>0.111</v>
      </c>
      <c r="G305" s="340">
        <v>0.15</v>
      </c>
    </row>
    <row r="306" spans="1:7">
      <c r="A306" s="349" t="s">
        <v>318</v>
      </c>
      <c r="B306" s="338" t="s">
        <v>3195</v>
      </c>
      <c r="C306" s="339">
        <v>0.15</v>
      </c>
      <c r="D306" s="339">
        <v>0.15</v>
      </c>
      <c r="E306" s="339">
        <v>0.15</v>
      </c>
      <c r="F306" s="339">
        <v>0.126</v>
      </c>
      <c r="G306" s="340">
        <v>0.15</v>
      </c>
    </row>
    <row r="307" spans="1:7">
      <c r="A307" s="349" t="s">
        <v>318</v>
      </c>
      <c r="B307" s="338" t="s">
        <v>3196</v>
      </c>
      <c r="C307" s="339">
        <v>0.15</v>
      </c>
      <c r="D307" s="339">
        <v>0.15</v>
      </c>
      <c r="E307" s="339">
        <v>0.15</v>
      </c>
      <c r="F307" s="339">
        <v>0.12</v>
      </c>
      <c r="G307" s="340">
        <v>0.15</v>
      </c>
    </row>
    <row r="308" spans="1:7">
      <c r="A308" s="349" t="s">
        <v>318</v>
      </c>
      <c r="B308" s="338" t="s">
        <v>3197</v>
      </c>
      <c r="C308" s="339">
        <v>0.15</v>
      </c>
      <c r="D308" s="339">
        <v>0.15</v>
      </c>
      <c r="E308" s="339">
        <v>0.15</v>
      </c>
      <c r="F308" s="339">
        <v>0.13</v>
      </c>
      <c r="G308" s="340">
        <v>0.15</v>
      </c>
    </row>
    <row r="309" spans="1:7">
      <c r="A309" s="349" t="s">
        <v>318</v>
      </c>
      <c r="B309" s="338" t="s">
        <v>3198</v>
      </c>
      <c r="C309" s="339">
        <v>0.15</v>
      </c>
      <c r="D309" s="339">
        <v>0.15</v>
      </c>
      <c r="E309" s="339">
        <v>0.15</v>
      </c>
      <c r="F309" s="339">
        <v>0.14099999999999999</v>
      </c>
      <c r="G309" s="340">
        <v>0.15</v>
      </c>
    </row>
    <row r="310" spans="1:7">
      <c r="A310" s="349" t="s">
        <v>318</v>
      </c>
      <c r="B310" s="338" t="s">
        <v>3199</v>
      </c>
      <c r="C310" s="339">
        <v>0.15</v>
      </c>
      <c r="D310" s="339">
        <v>0.15</v>
      </c>
      <c r="E310" s="339">
        <v>0.15</v>
      </c>
      <c r="F310" s="339">
        <v>0.15</v>
      </c>
      <c r="G310" s="340">
        <v>0.15</v>
      </c>
    </row>
    <row r="311" spans="1:7">
      <c r="A311" s="349" t="s">
        <v>318</v>
      </c>
      <c r="B311" s="338" t="s">
        <v>3200</v>
      </c>
      <c r="C311" s="339">
        <v>0.13200000000000001</v>
      </c>
      <c r="D311" s="339">
        <v>0.13300000000000001</v>
      </c>
      <c r="E311" s="339">
        <v>0.14499999999999999</v>
      </c>
      <c r="F311" s="339">
        <v>0.14199999999999999</v>
      </c>
      <c r="G311" s="340">
        <v>0.14000000000000001</v>
      </c>
    </row>
    <row r="312" spans="1:7">
      <c r="A312" s="349" t="s">
        <v>318</v>
      </c>
      <c r="B312" s="338" t="s">
        <v>3201</v>
      </c>
      <c r="C312" s="339">
        <v>0.13800000000000001</v>
      </c>
      <c r="D312" s="339">
        <v>0.14000000000000001</v>
      </c>
      <c r="E312" s="339">
        <v>0.14599999999999999</v>
      </c>
      <c r="F312" s="339">
        <v>0.14899999999999999</v>
      </c>
      <c r="G312" s="340">
        <v>0.14199999999999999</v>
      </c>
    </row>
    <row r="313" spans="1:7">
      <c r="A313" s="349" t="s">
        <v>318</v>
      </c>
      <c r="B313" s="338" t="s">
        <v>3202</v>
      </c>
      <c r="C313" s="339">
        <v>0.125</v>
      </c>
      <c r="D313" s="339">
        <v>0.127</v>
      </c>
      <c r="E313" s="339">
        <v>0.14399999999999999</v>
      </c>
      <c r="F313" s="339">
        <v>0.115</v>
      </c>
      <c r="G313" s="340">
        <v>0.13600000000000001</v>
      </c>
    </row>
    <row r="314" spans="1:7">
      <c r="A314" s="349" t="s">
        <v>318</v>
      </c>
      <c r="B314" s="338" t="s">
        <v>3203</v>
      </c>
      <c r="C314" s="355"/>
      <c r="D314" s="355"/>
      <c r="E314" s="355"/>
      <c r="F314" s="339">
        <v>0.05</v>
      </c>
      <c r="G314" s="356"/>
    </row>
    <row r="315" spans="1:7">
      <c r="A315" s="349" t="s">
        <v>318</v>
      </c>
      <c r="B315" s="338" t="s">
        <v>3204</v>
      </c>
      <c r="C315" s="355"/>
      <c r="D315" s="355"/>
      <c r="E315" s="355"/>
      <c r="F315" s="339">
        <v>0.05</v>
      </c>
      <c r="G315" s="356"/>
    </row>
    <row r="316" spans="1:7">
      <c r="A316" s="349" t="s">
        <v>318</v>
      </c>
      <c r="B316" s="338" t="s">
        <v>3205</v>
      </c>
      <c r="C316" s="350"/>
      <c r="D316" s="350"/>
      <c r="E316" s="350"/>
      <c r="F316" s="339">
        <v>0.05</v>
      </c>
      <c r="G316" s="356"/>
    </row>
    <row r="317" spans="1:7">
      <c r="A317" s="349" t="s">
        <v>318</v>
      </c>
      <c r="B317" s="338" t="s">
        <v>3206</v>
      </c>
      <c r="C317" s="350"/>
      <c r="D317" s="350"/>
      <c r="E317" s="350"/>
      <c r="F317" s="339">
        <v>0.05</v>
      </c>
      <c r="G317" s="356"/>
    </row>
    <row r="318" spans="1:7">
      <c r="A318" s="349" t="s">
        <v>318</v>
      </c>
      <c r="B318" s="338" t="s">
        <v>3207</v>
      </c>
      <c r="C318" s="350"/>
      <c r="D318" s="350"/>
      <c r="E318" s="350"/>
      <c r="F318" s="339">
        <v>0.05</v>
      </c>
      <c r="G318" s="356"/>
    </row>
    <row r="319" spans="1:7">
      <c r="A319" s="349" t="s">
        <v>318</v>
      </c>
      <c r="B319" s="338" t="s">
        <v>3208</v>
      </c>
      <c r="C319" s="350"/>
      <c r="D319" s="350"/>
      <c r="E319" s="350"/>
      <c r="F319" s="339">
        <v>0.05</v>
      </c>
      <c r="G319" s="356"/>
    </row>
    <row r="320" spans="1:7">
      <c r="A320" s="349" t="s">
        <v>318</v>
      </c>
      <c r="B320" s="338" t="s">
        <v>3209</v>
      </c>
      <c r="C320" s="350"/>
      <c r="D320" s="350"/>
      <c r="E320" s="350"/>
      <c r="F320" s="339">
        <v>0.05</v>
      </c>
      <c r="G320" s="356"/>
    </row>
    <row r="321" spans="1:7">
      <c r="A321" s="349" t="s">
        <v>318</v>
      </c>
      <c r="B321" s="338" t="s">
        <v>3210</v>
      </c>
      <c r="C321" s="350"/>
      <c r="D321" s="350"/>
      <c r="E321" s="350"/>
      <c r="F321" s="339">
        <v>0.05</v>
      </c>
      <c r="G321" s="356"/>
    </row>
    <row r="322" spans="1:7">
      <c r="A322" s="349" t="s">
        <v>318</v>
      </c>
      <c r="B322" s="338" t="s">
        <v>3211</v>
      </c>
      <c r="C322" s="350"/>
      <c r="D322" s="350"/>
      <c r="E322" s="350"/>
      <c r="F322" s="339">
        <v>0.05</v>
      </c>
      <c r="G322" s="356"/>
    </row>
    <row r="323" spans="1:7">
      <c r="A323" s="349" t="s">
        <v>318</v>
      </c>
      <c r="B323" s="338" t="s">
        <v>3212</v>
      </c>
      <c r="C323" s="350"/>
      <c r="D323" s="350"/>
      <c r="E323" s="350"/>
      <c r="F323" s="339">
        <v>0.05</v>
      </c>
      <c r="G323" s="356"/>
    </row>
    <row r="324" spans="1:7">
      <c r="A324" s="349" t="s">
        <v>318</v>
      </c>
      <c r="B324" s="338" t="s">
        <v>3213</v>
      </c>
      <c r="C324" s="350"/>
      <c r="D324" s="350"/>
      <c r="E324" s="350"/>
      <c r="F324" s="339">
        <v>0.05</v>
      </c>
      <c r="G324" s="356"/>
    </row>
    <row r="325" spans="1:7">
      <c r="A325" s="349" t="s">
        <v>318</v>
      </c>
      <c r="B325" s="338" t="s">
        <v>3214</v>
      </c>
      <c r="C325" s="350"/>
      <c r="D325" s="350"/>
      <c r="E325" s="350"/>
      <c r="F325" s="339">
        <v>0.05</v>
      </c>
      <c r="G325" s="356"/>
    </row>
    <row r="326" spans="1:7">
      <c r="A326" s="352" t="s">
        <v>318</v>
      </c>
      <c r="B326" s="342" t="s">
        <v>3215</v>
      </c>
      <c r="C326" s="344"/>
      <c r="D326" s="344"/>
      <c r="E326" s="344"/>
      <c r="F326" s="343">
        <v>0.05</v>
      </c>
      <c r="G326" s="357"/>
    </row>
    <row r="327" spans="1:7">
      <c r="A327" s="348" t="s">
        <v>324</v>
      </c>
      <c r="B327" s="334" t="s">
        <v>3216</v>
      </c>
      <c r="C327" s="335">
        <v>0.15</v>
      </c>
      <c r="D327" s="335">
        <v>0.15</v>
      </c>
      <c r="E327" s="335">
        <v>0.15</v>
      </c>
      <c r="F327" s="335">
        <v>0.15</v>
      </c>
      <c r="G327" s="336">
        <v>0.15</v>
      </c>
    </row>
    <row r="328" spans="1:7">
      <c r="A328" s="349" t="s">
        <v>324</v>
      </c>
      <c r="B328" s="338" t="s">
        <v>3217</v>
      </c>
      <c r="C328" s="339">
        <v>0.15</v>
      </c>
      <c r="D328" s="339">
        <v>0.15</v>
      </c>
      <c r="E328" s="339">
        <v>0.15</v>
      </c>
      <c r="F328" s="339">
        <v>0.126</v>
      </c>
      <c r="G328" s="340">
        <v>0.15</v>
      </c>
    </row>
    <row r="329" spans="1:7">
      <c r="A329" s="349" t="s">
        <v>324</v>
      </c>
      <c r="B329" s="338" t="s">
        <v>3218</v>
      </c>
      <c r="C329" s="339">
        <v>0.15</v>
      </c>
      <c r="D329" s="339">
        <v>0.15</v>
      </c>
      <c r="E329" s="339">
        <v>0.15</v>
      </c>
      <c r="F329" s="339">
        <v>0.15</v>
      </c>
      <c r="G329" s="340">
        <v>0.15</v>
      </c>
    </row>
    <row r="330" spans="1:7">
      <c r="A330" s="349" t="s">
        <v>324</v>
      </c>
      <c r="B330" s="338" t="s">
        <v>3219</v>
      </c>
      <c r="C330" s="339">
        <v>0.15</v>
      </c>
      <c r="D330" s="339">
        <v>0.15</v>
      </c>
      <c r="E330" s="339">
        <v>0.15</v>
      </c>
      <c r="F330" s="339">
        <v>0.15</v>
      </c>
      <c r="G330" s="340">
        <v>0.15</v>
      </c>
    </row>
    <row r="331" spans="1:7">
      <c r="A331" s="349" t="s">
        <v>324</v>
      </c>
      <c r="B331" s="338" t="s">
        <v>3220</v>
      </c>
      <c r="C331" s="339">
        <v>0.15</v>
      </c>
      <c r="D331" s="339">
        <v>0.15</v>
      </c>
      <c r="E331" s="339">
        <v>0.15</v>
      </c>
      <c r="F331" s="339">
        <v>0.15</v>
      </c>
      <c r="G331" s="340">
        <v>0.15</v>
      </c>
    </row>
    <row r="332" spans="1:7">
      <c r="A332" s="349" t="s">
        <v>324</v>
      </c>
      <c r="B332" s="338" t="s">
        <v>3221</v>
      </c>
      <c r="C332" s="339">
        <v>0.15</v>
      </c>
      <c r="D332" s="339">
        <v>0.15</v>
      </c>
      <c r="E332" s="339">
        <v>0.15</v>
      </c>
      <c r="F332" s="339">
        <v>0.15</v>
      </c>
      <c r="G332" s="340">
        <v>0.15</v>
      </c>
    </row>
    <row r="333" spans="1:7">
      <c r="A333" s="349" t="s">
        <v>324</v>
      </c>
      <c r="B333" s="338" t="s">
        <v>3222</v>
      </c>
      <c r="C333" s="339">
        <v>0.14899999999999999</v>
      </c>
      <c r="D333" s="339">
        <v>0.14899999999999999</v>
      </c>
      <c r="E333" s="339">
        <v>0.15</v>
      </c>
      <c r="F333" s="339">
        <v>0.11600000000000001</v>
      </c>
      <c r="G333" s="340">
        <v>0.15</v>
      </c>
    </row>
    <row r="334" spans="1:7">
      <c r="A334" s="349" t="s">
        <v>324</v>
      </c>
      <c r="B334" s="338" t="s">
        <v>3223</v>
      </c>
      <c r="C334" s="339">
        <v>0.15</v>
      </c>
      <c r="D334" s="339">
        <v>0.15</v>
      </c>
      <c r="E334" s="339">
        <v>0.15</v>
      </c>
      <c r="F334" s="339">
        <v>0.13</v>
      </c>
      <c r="G334" s="340">
        <v>0.15</v>
      </c>
    </row>
    <row r="335" spans="1:7">
      <c r="A335" s="349" t="s">
        <v>324</v>
      </c>
      <c r="B335" s="338" t="s">
        <v>3224</v>
      </c>
      <c r="C335" s="339">
        <v>0.15</v>
      </c>
      <c r="D335" s="339">
        <v>0.15</v>
      </c>
      <c r="E335" s="339">
        <v>0.15</v>
      </c>
      <c r="F335" s="339">
        <v>0.14399999999999999</v>
      </c>
      <c r="G335" s="340">
        <v>0.15</v>
      </c>
    </row>
    <row r="336" spans="1:7">
      <c r="A336" s="349" t="s">
        <v>324</v>
      </c>
      <c r="B336" s="338" t="s">
        <v>3225</v>
      </c>
      <c r="C336" s="339">
        <v>0.15</v>
      </c>
      <c r="D336" s="339">
        <v>0.15</v>
      </c>
      <c r="E336" s="339">
        <v>0.15</v>
      </c>
      <c r="F336" s="339">
        <v>0.14199999999999999</v>
      </c>
      <c r="G336" s="340">
        <v>0.15</v>
      </c>
    </row>
    <row r="337" spans="1:7">
      <c r="A337" s="349" t="s">
        <v>324</v>
      </c>
      <c r="B337" s="338" t="s">
        <v>3226</v>
      </c>
      <c r="C337" s="339">
        <v>0.15</v>
      </c>
      <c r="D337" s="339">
        <v>0.15</v>
      </c>
      <c r="E337" s="339">
        <v>0.15</v>
      </c>
      <c r="F337" s="339">
        <v>0.14499999999999999</v>
      </c>
      <c r="G337" s="340">
        <v>0.15</v>
      </c>
    </row>
    <row r="338" spans="1:7">
      <c r="A338" s="349" t="s">
        <v>324</v>
      </c>
      <c r="B338" s="338" t="s">
        <v>3227</v>
      </c>
      <c r="C338" s="339">
        <v>0.15</v>
      </c>
      <c r="D338" s="339">
        <v>0.15</v>
      </c>
      <c r="E338" s="339">
        <v>0.15</v>
      </c>
      <c r="F338" s="339">
        <v>0.15</v>
      </c>
      <c r="G338" s="340">
        <v>0.15</v>
      </c>
    </row>
    <row r="339" spans="1:7">
      <c r="A339" s="349" t="s">
        <v>324</v>
      </c>
      <c r="B339" s="338" t="s">
        <v>3228</v>
      </c>
      <c r="C339" s="339">
        <v>0.15</v>
      </c>
      <c r="D339" s="339">
        <v>0.15</v>
      </c>
      <c r="E339" s="339">
        <v>0.15</v>
      </c>
      <c r="F339" s="339">
        <v>0.14699999999999999</v>
      </c>
      <c r="G339" s="340">
        <v>0.15</v>
      </c>
    </row>
    <row r="340" spans="1:7">
      <c r="A340" s="349" t="s">
        <v>324</v>
      </c>
      <c r="B340" s="338" t="s">
        <v>3229</v>
      </c>
      <c r="C340" s="339">
        <v>0.14599999999999999</v>
      </c>
      <c r="D340" s="339">
        <v>0.14599999999999999</v>
      </c>
      <c r="E340" s="339">
        <v>0.15</v>
      </c>
      <c r="F340" s="339">
        <v>0.14099999999999999</v>
      </c>
      <c r="G340" s="340">
        <v>0.14699999999999999</v>
      </c>
    </row>
    <row r="341" spans="1:7">
      <c r="A341" s="349" t="s">
        <v>324</v>
      </c>
      <c r="B341" s="338" t="s">
        <v>3230</v>
      </c>
      <c r="C341" s="339">
        <v>0.126</v>
      </c>
      <c r="D341" s="339">
        <v>0.124</v>
      </c>
      <c r="E341" s="339">
        <v>0.14099999999999999</v>
      </c>
      <c r="F341" s="339">
        <v>0.14399999999999999</v>
      </c>
      <c r="G341" s="340">
        <v>0.13</v>
      </c>
    </row>
    <row r="342" spans="1:7">
      <c r="A342" s="349" t="s">
        <v>324</v>
      </c>
      <c r="B342" s="338" t="s">
        <v>3231</v>
      </c>
      <c r="C342" s="339">
        <v>0.15</v>
      </c>
      <c r="D342" s="339">
        <v>0.15</v>
      </c>
      <c r="E342" s="339">
        <v>0.15</v>
      </c>
      <c r="F342" s="339">
        <v>0.14399999999999999</v>
      </c>
      <c r="G342" s="340">
        <v>0.15</v>
      </c>
    </row>
    <row r="343" spans="1:7">
      <c r="A343" s="349" t="s">
        <v>324</v>
      </c>
      <c r="B343" s="338" t="s">
        <v>3232</v>
      </c>
      <c r="C343" s="339">
        <v>0.15</v>
      </c>
      <c r="D343" s="339">
        <v>0.15</v>
      </c>
      <c r="E343" s="339">
        <v>0.15</v>
      </c>
      <c r="F343" s="339">
        <v>0.128</v>
      </c>
      <c r="G343" s="340">
        <v>0.15</v>
      </c>
    </row>
    <row r="344" spans="1:7">
      <c r="A344" s="349" t="s">
        <v>324</v>
      </c>
      <c r="B344" s="338" t="s">
        <v>3233</v>
      </c>
      <c r="C344" s="339">
        <v>0.15</v>
      </c>
      <c r="D344" s="339">
        <v>0.15</v>
      </c>
      <c r="E344" s="339">
        <v>0.15</v>
      </c>
      <c r="F344" s="339">
        <v>0.14799999999999999</v>
      </c>
      <c r="G344" s="340">
        <v>0.15</v>
      </c>
    </row>
    <row r="345" spans="1:7">
      <c r="A345" s="349" t="s">
        <v>324</v>
      </c>
      <c r="B345" s="338" t="s">
        <v>3234</v>
      </c>
      <c r="C345" s="339">
        <v>0.15</v>
      </c>
      <c r="D345" s="339">
        <v>0.15</v>
      </c>
      <c r="E345" s="339">
        <v>0.15</v>
      </c>
      <c r="F345" s="339">
        <v>0.13800000000000001</v>
      </c>
      <c r="G345" s="340">
        <v>0.15</v>
      </c>
    </row>
    <row r="346" spans="1:7">
      <c r="A346" s="349" t="s">
        <v>324</v>
      </c>
      <c r="B346" s="338" t="s">
        <v>3235</v>
      </c>
      <c r="C346" s="339">
        <v>0.15</v>
      </c>
      <c r="D346" s="339">
        <v>0.15</v>
      </c>
      <c r="E346" s="339">
        <v>0.15</v>
      </c>
      <c r="F346" s="339">
        <v>0.14399999999999999</v>
      </c>
      <c r="G346" s="340">
        <v>0.15</v>
      </c>
    </row>
    <row r="347" spans="1:7">
      <c r="A347" s="349" t="s">
        <v>324</v>
      </c>
      <c r="B347" s="338" t="s">
        <v>3236</v>
      </c>
      <c r="C347" s="339">
        <v>0.15</v>
      </c>
      <c r="D347" s="339">
        <v>0.15</v>
      </c>
      <c r="E347" s="339">
        <v>0.15</v>
      </c>
      <c r="F347" s="339">
        <v>0.14599999999999999</v>
      </c>
      <c r="G347" s="340">
        <v>0.15</v>
      </c>
    </row>
    <row r="348" spans="1:7">
      <c r="A348" s="349" t="s">
        <v>324</v>
      </c>
      <c r="B348" s="338" t="s">
        <v>3237</v>
      </c>
      <c r="C348" s="339">
        <v>0.15</v>
      </c>
      <c r="D348" s="339">
        <v>0.15</v>
      </c>
      <c r="E348" s="339">
        <v>0.15</v>
      </c>
      <c r="F348" s="339">
        <v>0.14399999999999999</v>
      </c>
      <c r="G348" s="340">
        <v>0.15</v>
      </c>
    </row>
    <row r="349" spans="1:7">
      <c r="A349" s="349" t="s">
        <v>324</v>
      </c>
      <c r="B349" s="338" t="s">
        <v>3238</v>
      </c>
      <c r="C349" s="339">
        <v>0.15</v>
      </c>
      <c r="D349" s="339">
        <v>0.15</v>
      </c>
      <c r="E349" s="339">
        <v>0.15</v>
      </c>
      <c r="F349" s="339">
        <v>0.15</v>
      </c>
      <c r="G349" s="340">
        <v>0.15</v>
      </c>
    </row>
    <row r="350" spans="1:7">
      <c r="A350" s="349" t="s">
        <v>324</v>
      </c>
      <c r="B350" s="338" t="s">
        <v>3239</v>
      </c>
      <c r="C350" s="339">
        <v>0.15</v>
      </c>
      <c r="D350" s="339">
        <v>0.15</v>
      </c>
      <c r="E350" s="339">
        <v>0.15</v>
      </c>
      <c r="F350" s="339">
        <v>0.14699999999999999</v>
      </c>
      <c r="G350" s="340">
        <v>0.15</v>
      </c>
    </row>
    <row r="351" spans="1:7">
      <c r="A351" s="349" t="s">
        <v>324</v>
      </c>
      <c r="B351" s="338" t="s">
        <v>3240</v>
      </c>
      <c r="C351" s="339">
        <v>0.15</v>
      </c>
      <c r="D351" s="339">
        <v>0.15</v>
      </c>
      <c r="E351" s="339">
        <v>0.15</v>
      </c>
      <c r="F351" s="339">
        <v>0.13</v>
      </c>
      <c r="G351" s="340">
        <v>0.15</v>
      </c>
    </row>
    <row r="352" spans="1:7">
      <c r="A352" s="349" t="s">
        <v>324</v>
      </c>
      <c r="B352" s="338" t="s">
        <v>3241</v>
      </c>
      <c r="C352" s="339">
        <v>0.15</v>
      </c>
      <c r="D352" s="339">
        <v>0.15</v>
      </c>
      <c r="E352" s="339">
        <v>0.15</v>
      </c>
      <c r="F352" s="339">
        <v>0.14599999999999999</v>
      </c>
      <c r="G352" s="340">
        <v>0.15</v>
      </c>
    </row>
    <row r="353" spans="1:7">
      <c r="A353" s="349" t="s">
        <v>324</v>
      </c>
      <c r="B353" s="338" t="s">
        <v>3242</v>
      </c>
      <c r="C353" s="339">
        <v>0.15</v>
      </c>
      <c r="D353" s="339">
        <v>0.15</v>
      </c>
      <c r="E353" s="339">
        <v>0.15</v>
      </c>
      <c r="F353" s="339">
        <v>0.14499999999999999</v>
      </c>
      <c r="G353" s="340">
        <v>0.15</v>
      </c>
    </row>
    <row r="354" spans="1:7">
      <c r="A354" s="349" t="s">
        <v>324</v>
      </c>
      <c r="B354" s="338" t="s">
        <v>3243</v>
      </c>
      <c r="C354" s="339">
        <v>0.15</v>
      </c>
      <c r="D354" s="339">
        <v>0.15</v>
      </c>
      <c r="E354" s="339">
        <v>0.15</v>
      </c>
      <c r="F354" s="339">
        <v>0.14099999999999999</v>
      </c>
      <c r="G354" s="340">
        <v>0.15</v>
      </c>
    </row>
    <row r="355" spans="1:7">
      <c r="A355" s="349" t="s">
        <v>324</v>
      </c>
      <c r="B355" s="338" t="s">
        <v>3244</v>
      </c>
      <c r="C355" s="339">
        <v>0.15</v>
      </c>
      <c r="D355" s="339">
        <v>0.15</v>
      </c>
      <c r="E355" s="339">
        <v>0.15</v>
      </c>
      <c r="F355" s="339">
        <v>0.15</v>
      </c>
      <c r="G355" s="340">
        <v>0.15</v>
      </c>
    </row>
    <row r="356" spans="1:7">
      <c r="A356" s="349" t="s">
        <v>324</v>
      </c>
      <c r="B356" s="338" t="s">
        <v>3245</v>
      </c>
      <c r="C356" s="339">
        <v>0.15</v>
      </c>
      <c r="D356" s="339">
        <v>0.15</v>
      </c>
      <c r="E356" s="339">
        <v>0.15</v>
      </c>
      <c r="F356" s="339">
        <v>0.15</v>
      </c>
      <c r="G356" s="340">
        <v>0.15</v>
      </c>
    </row>
    <row r="357" spans="1:7">
      <c r="A357" s="352" t="s">
        <v>324</v>
      </c>
      <c r="B357" s="342" t="s">
        <v>3246</v>
      </c>
      <c r="C357" s="343">
        <v>0.126</v>
      </c>
      <c r="D357" s="343">
        <v>0.127</v>
      </c>
      <c r="E357" s="343">
        <v>0.14299999999999999</v>
      </c>
      <c r="F357" s="343">
        <v>0.125</v>
      </c>
      <c r="G357" s="345">
        <v>0.129</v>
      </c>
    </row>
    <row r="358" spans="1:7">
      <c r="A358" s="348" t="s">
        <v>330</v>
      </c>
      <c r="B358" s="334" t="s">
        <v>3247</v>
      </c>
      <c r="C358" s="335">
        <v>0.15</v>
      </c>
      <c r="D358" s="335">
        <v>0.15</v>
      </c>
      <c r="E358" s="335">
        <v>0.15</v>
      </c>
      <c r="F358" s="335">
        <v>0.15</v>
      </c>
      <c r="G358" s="336">
        <v>0.15</v>
      </c>
    </row>
    <row r="359" spans="1:7">
      <c r="A359" s="349" t="s">
        <v>330</v>
      </c>
      <c r="B359" s="338" t="s">
        <v>3248</v>
      </c>
      <c r="C359" s="339">
        <v>0.1</v>
      </c>
      <c r="D359" s="339">
        <v>0.1</v>
      </c>
      <c r="E359" s="339">
        <v>0.1</v>
      </c>
      <c r="F359" s="339">
        <v>0.1</v>
      </c>
      <c r="G359" s="340">
        <v>0.1</v>
      </c>
    </row>
    <row r="360" spans="1:7">
      <c r="A360" s="349" t="s">
        <v>330</v>
      </c>
      <c r="B360" s="338" t="s">
        <v>3249</v>
      </c>
      <c r="C360" s="339">
        <v>0.15</v>
      </c>
      <c r="D360" s="339">
        <v>0.15</v>
      </c>
      <c r="E360" s="339">
        <v>0.15</v>
      </c>
      <c r="F360" s="339">
        <v>0.14899999999999999</v>
      </c>
      <c r="G360" s="340">
        <v>0.15</v>
      </c>
    </row>
    <row r="361" spans="1:7">
      <c r="A361" s="349" t="s">
        <v>330</v>
      </c>
      <c r="B361" s="338" t="s">
        <v>3250</v>
      </c>
      <c r="C361" s="339">
        <v>0.15</v>
      </c>
      <c r="D361" s="339">
        <v>0.15</v>
      </c>
      <c r="E361" s="339">
        <v>0.15</v>
      </c>
      <c r="F361" s="339">
        <v>0.115</v>
      </c>
      <c r="G361" s="340">
        <v>0.15</v>
      </c>
    </row>
    <row r="362" spans="1:7">
      <c r="A362" s="349" t="s">
        <v>330</v>
      </c>
      <c r="B362" s="338" t="s">
        <v>3251</v>
      </c>
      <c r="C362" s="339">
        <v>0.15</v>
      </c>
      <c r="D362" s="339">
        <v>0.15</v>
      </c>
      <c r="E362" s="339">
        <v>0.15</v>
      </c>
      <c r="F362" s="339">
        <v>0.106</v>
      </c>
      <c r="G362" s="340">
        <v>0.15</v>
      </c>
    </row>
    <row r="363" spans="1:7">
      <c r="A363" s="349" t="s">
        <v>330</v>
      </c>
      <c r="B363" s="338" t="s">
        <v>3252</v>
      </c>
      <c r="C363" s="339">
        <v>0.15</v>
      </c>
      <c r="D363" s="339">
        <v>0.15</v>
      </c>
      <c r="E363" s="339">
        <v>0.15</v>
      </c>
      <c r="F363" s="339">
        <v>0.14699999999999999</v>
      </c>
      <c r="G363" s="340">
        <v>0.15</v>
      </c>
    </row>
    <row r="364" spans="1:7">
      <c r="A364" s="349" t="s">
        <v>330</v>
      </c>
      <c r="B364" s="338" t="s">
        <v>3253</v>
      </c>
      <c r="C364" s="339">
        <v>0.15</v>
      </c>
      <c r="D364" s="339">
        <v>0.15</v>
      </c>
      <c r="E364" s="339">
        <v>0.15</v>
      </c>
      <c r="F364" s="339">
        <v>0.14799999999999999</v>
      </c>
      <c r="G364" s="340">
        <v>0.15</v>
      </c>
    </row>
    <row r="365" spans="1:7">
      <c r="A365" s="349" t="s">
        <v>330</v>
      </c>
      <c r="B365" s="338" t="s">
        <v>3254</v>
      </c>
      <c r="C365" s="339">
        <v>0.15</v>
      </c>
      <c r="D365" s="339">
        <v>0.15</v>
      </c>
      <c r="E365" s="339">
        <v>0.15</v>
      </c>
      <c r="F365" s="339">
        <v>0.15</v>
      </c>
      <c r="G365" s="340">
        <v>0.15</v>
      </c>
    </row>
    <row r="366" spans="1:7">
      <c r="A366" s="349" t="s">
        <v>330</v>
      </c>
      <c r="B366" s="338" t="s">
        <v>3255</v>
      </c>
      <c r="C366" s="339">
        <v>0.15</v>
      </c>
      <c r="D366" s="339">
        <v>0.15</v>
      </c>
      <c r="E366" s="339">
        <v>0.15</v>
      </c>
      <c r="F366" s="339">
        <v>0.15</v>
      </c>
      <c r="G366" s="340">
        <v>0.15</v>
      </c>
    </row>
    <row r="367" spans="1:7">
      <c r="A367" s="349" t="s">
        <v>330</v>
      </c>
      <c r="B367" s="338" t="s">
        <v>3256</v>
      </c>
      <c r="C367" s="339">
        <v>0.15</v>
      </c>
      <c r="D367" s="339">
        <v>0.15</v>
      </c>
      <c r="E367" s="339">
        <v>0.15</v>
      </c>
      <c r="F367" s="339">
        <v>0.14699999999999999</v>
      </c>
      <c r="G367" s="340">
        <v>0.15</v>
      </c>
    </row>
    <row r="368" spans="1:7">
      <c r="A368" s="349" t="s">
        <v>330</v>
      </c>
      <c r="B368" s="338" t="s">
        <v>3257</v>
      </c>
      <c r="C368" s="339">
        <v>0.15</v>
      </c>
      <c r="D368" s="339">
        <v>0.15</v>
      </c>
      <c r="E368" s="339">
        <v>0.15</v>
      </c>
      <c r="F368" s="339">
        <v>0.13600000000000001</v>
      </c>
      <c r="G368" s="340">
        <v>0.15</v>
      </c>
    </row>
    <row r="369" spans="1:7">
      <c r="A369" s="349" t="s">
        <v>330</v>
      </c>
      <c r="B369" s="338" t="s">
        <v>3258</v>
      </c>
      <c r="C369" s="339">
        <v>0.15</v>
      </c>
      <c r="D369" s="339">
        <v>0.15</v>
      </c>
      <c r="E369" s="339">
        <v>0.15</v>
      </c>
      <c r="F369" s="339">
        <v>0.14399999999999999</v>
      </c>
      <c r="G369" s="340">
        <v>0.15</v>
      </c>
    </row>
    <row r="370" spans="1:7">
      <c r="A370" s="349" t="s">
        <v>330</v>
      </c>
      <c r="B370" s="338" t="s">
        <v>3259</v>
      </c>
      <c r="C370" s="339">
        <v>0.15</v>
      </c>
      <c r="D370" s="339">
        <v>0.15</v>
      </c>
      <c r="E370" s="339">
        <v>0.15</v>
      </c>
      <c r="F370" s="339">
        <v>0.14599999999999999</v>
      </c>
      <c r="G370" s="340">
        <v>0.15</v>
      </c>
    </row>
    <row r="371" spans="1:7">
      <c r="A371" s="349" t="s">
        <v>330</v>
      </c>
      <c r="B371" s="338" t="s">
        <v>3260</v>
      </c>
      <c r="C371" s="339">
        <v>0.15</v>
      </c>
      <c r="D371" s="339">
        <v>0.15</v>
      </c>
      <c r="E371" s="339">
        <v>0.15</v>
      </c>
      <c r="F371" s="339">
        <v>0.12</v>
      </c>
      <c r="G371" s="340">
        <v>0.15</v>
      </c>
    </row>
    <row r="372" spans="1:7">
      <c r="A372" s="349" t="s">
        <v>330</v>
      </c>
      <c r="B372" s="338" t="s">
        <v>3261</v>
      </c>
      <c r="C372" s="339">
        <v>0.15</v>
      </c>
      <c r="D372" s="339">
        <v>0.15</v>
      </c>
      <c r="E372" s="339">
        <v>0.15</v>
      </c>
      <c r="F372" s="339">
        <v>0.14299999999999999</v>
      </c>
      <c r="G372" s="340">
        <v>0.15</v>
      </c>
    </row>
    <row r="373" spans="1:7">
      <c r="A373" s="349" t="s">
        <v>330</v>
      </c>
      <c r="B373" s="338" t="s">
        <v>3262</v>
      </c>
      <c r="C373" s="339">
        <v>0.15</v>
      </c>
      <c r="D373" s="339">
        <v>0.15</v>
      </c>
      <c r="E373" s="339">
        <v>0.15</v>
      </c>
      <c r="F373" s="339">
        <v>0.14599999999999999</v>
      </c>
      <c r="G373" s="340">
        <v>0.15</v>
      </c>
    </row>
    <row r="374" spans="1:7">
      <c r="A374" s="349" t="s">
        <v>330</v>
      </c>
      <c r="B374" s="338" t="s">
        <v>3263</v>
      </c>
      <c r="C374" s="339">
        <v>0.15</v>
      </c>
      <c r="D374" s="339">
        <v>0.15</v>
      </c>
      <c r="E374" s="339">
        <v>0.15</v>
      </c>
      <c r="F374" s="339">
        <v>0.14399999999999999</v>
      </c>
      <c r="G374" s="340">
        <v>0.15</v>
      </c>
    </row>
    <row r="375" spans="1:7">
      <c r="A375" s="349" t="s">
        <v>330</v>
      </c>
      <c r="B375" s="338" t="s">
        <v>3264</v>
      </c>
      <c r="C375" s="339">
        <v>0.15</v>
      </c>
      <c r="D375" s="339">
        <v>0.15</v>
      </c>
      <c r="E375" s="339">
        <v>0.15</v>
      </c>
      <c r="F375" s="339">
        <v>0.13</v>
      </c>
      <c r="G375" s="340">
        <v>0.15</v>
      </c>
    </row>
    <row r="376" spans="1:7">
      <c r="A376" s="349" t="s">
        <v>330</v>
      </c>
      <c r="B376" s="338" t="s">
        <v>3265</v>
      </c>
      <c r="C376" s="339">
        <v>0.15</v>
      </c>
      <c r="D376" s="339">
        <v>0.15</v>
      </c>
      <c r="E376" s="339">
        <v>0.15</v>
      </c>
      <c r="F376" s="339">
        <v>0.14199999999999999</v>
      </c>
      <c r="G376" s="340">
        <v>0.15</v>
      </c>
    </row>
    <row r="377" spans="1:7">
      <c r="A377" s="352" t="s">
        <v>330</v>
      </c>
      <c r="B377" s="342" t="s">
        <v>3266</v>
      </c>
      <c r="C377" s="343">
        <v>0.15</v>
      </c>
      <c r="D377" s="343">
        <v>0.15</v>
      </c>
      <c r="E377" s="343">
        <v>0.15</v>
      </c>
      <c r="F377" s="343">
        <v>0.14000000000000001</v>
      </c>
      <c r="G377" s="345">
        <v>0.15</v>
      </c>
    </row>
    <row r="378" spans="1:7">
      <c r="A378" s="348" t="s">
        <v>336</v>
      </c>
      <c r="B378" s="334" t="s">
        <v>3267</v>
      </c>
      <c r="C378" s="335">
        <v>0.15</v>
      </c>
      <c r="D378" s="335">
        <v>0.15</v>
      </c>
      <c r="E378" s="335">
        <v>0.15</v>
      </c>
      <c r="F378" s="335">
        <v>0.107</v>
      </c>
      <c r="G378" s="336">
        <v>0.15</v>
      </c>
    </row>
    <row r="379" spans="1:7">
      <c r="A379" s="349" t="s">
        <v>336</v>
      </c>
      <c r="B379" s="338" t="s">
        <v>3268</v>
      </c>
      <c r="C379" s="339">
        <v>0.15</v>
      </c>
      <c r="D379" s="339">
        <v>0.15</v>
      </c>
      <c r="E379" s="339">
        <v>0.15</v>
      </c>
      <c r="F379" s="339">
        <v>0.115</v>
      </c>
      <c r="G379" s="340">
        <v>0.14899999999999999</v>
      </c>
    </row>
    <row r="380" spans="1:7">
      <c r="A380" s="349" t="s">
        <v>336</v>
      </c>
      <c r="B380" s="338" t="s">
        <v>3269</v>
      </c>
      <c r="C380" s="339">
        <v>0.15</v>
      </c>
      <c r="D380" s="339">
        <v>0.15</v>
      </c>
      <c r="E380" s="339">
        <v>0.15</v>
      </c>
      <c r="F380" s="339">
        <v>0.1</v>
      </c>
      <c r="G380" s="340">
        <v>0.14799999999999999</v>
      </c>
    </row>
    <row r="381" spans="1:7">
      <c r="A381" s="349" t="s">
        <v>336</v>
      </c>
      <c r="B381" s="338" t="s">
        <v>3270</v>
      </c>
      <c r="C381" s="339">
        <v>0.15</v>
      </c>
      <c r="D381" s="339">
        <v>0.15</v>
      </c>
      <c r="E381" s="339">
        <v>0.15</v>
      </c>
      <c r="F381" s="339">
        <v>0.126</v>
      </c>
      <c r="G381" s="340">
        <v>0.15</v>
      </c>
    </row>
    <row r="382" spans="1:7">
      <c r="A382" s="349" t="s">
        <v>336</v>
      </c>
      <c r="B382" s="338" t="s">
        <v>3271</v>
      </c>
      <c r="C382" s="339">
        <v>0.15</v>
      </c>
      <c r="D382" s="339">
        <v>0.15</v>
      </c>
      <c r="E382" s="339">
        <v>0.15</v>
      </c>
      <c r="F382" s="339">
        <v>0.15</v>
      </c>
      <c r="G382" s="340">
        <v>0.15</v>
      </c>
    </row>
    <row r="383" spans="1:7">
      <c r="A383" s="349" t="s">
        <v>336</v>
      </c>
      <c r="B383" s="338" t="s">
        <v>3272</v>
      </c>
      <c r="C383" s="339">
        <v>0.15</v>
      </c>
      <c r="D383" s="339">
        <v>0.15</v>
      </c>
      <c r="E383" s="339">
        <v>0.15</v>
      </c>
      <c r="F383" s="339">
        <v>0.14699999999999999</v>
      </c>
      <c r="G383" s="340">
        <v>0.15</v>
      </c>
    </row>
    <row r="384" spans="1:7">
      <c r="A384" s="359" t="s">
        <v>336</v>
      </c>
      <c r="B384" s="360" t="s">
        <v>3273</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23" t="s">
        <v>3274</v>
      </c>
      <c r="B1" s="4723"/>
      <c r="C1" s="4723"/>
      <c r="D1" s="4723"/>
      <c r="E1" s="4723"/>
      <c r="F1" s="4724"/>
    </row>
    <row r="2" spans="1:6">
      <c r="A2" s="322" t="s">
        <v>3275</v>
      </c>
    </row>
    <row r="3" spans="1:6">
      <c r="A3" s="322" t="s">
        <v>3276</v>
      </c>
      <c r="F3" s="323" t="s">
        <v>3277</v>
      </c>
    </row>
    <row r="4" spans="1:6">
      <c r="A4" s="324" t="s">
        <v>452</v>
      </c>
      <c r="B4" s="324" t="s">
        <v>229</v>
      </c>
      <c r="C4" s="324" t="s">
        <v>230</v>
      </c>
      <c r="D4" s="324" t="s">
        <v>3278</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3279</v>
      </c>
      <c r="C1" s="250"/>
      <c r="D1" s="250"/>
      <c r="E1" s="250"/>
      <c r="F1" s="250"/>
      <c r="G1" s="250"/>
      <c r="H1" s="250"/>
      <c r="I1" s="250"/>
      <c r="J1" s="250"/>
      <c r="K1" s="251"/>
      <c r="L1" s="250" t="s">
        <v>3280</v>
      </c>
      <c r="M1" s="250"/>
      <c r="N1" s="250"/>
      <c r="O1" s="250"/>
      <c r="P1" s="250"/>
      <c r="Q1" s="250"/>
      <c r="R1" s="250"/>
      <c r="S1" s="251"/>
      <c r="T1" s="4725" t="s">
        <v>3281</v>
      </c>
      <c r="U1" s="4726"/>
      <c r="V1" s="4726"/>
      <c r="W1" s="4726"/>
      <c r="X1" s="4726"/>
      <c r="Y1" s="4726"/>
      <c r="Z1" s="4726"/>
      <c r="AA1" s="251"/>
      <c r="AB1" s="4725" t="s">
        <v>3282</v>
      </c>
      <c r="AC1" s="4726"/>
      <c r="AD1" s="4726"/>
      <c r="AE1" s="4726"/>
      <c r="AF1" s="4726"/>
      <c r="AG1" s="4726"/>
      <c r="AH1" s="4726"/>
    </row>
    <row r="2" spans="1:50" s="110" customFormat="1">
      <c r="B2" s="252"/>
      <c r="C2" s="253"/>
      <c r="D2" s="119" t="s">
        <v>3283</v>
      </c>
      <c r="E2" s="120" t="s">
        <v>229</v>
      </c>
      <c r="F2" s="120" t="s">
        <v>230</v>
      </c>
      <c r="G2" s="120" t="s">
        <v>232</v>
      </c>
      <c r="H2" s="120" t="s">
        <v>233</v>
      </c>
      <c r="I2" s="120" t="s">
        <v>3284</v>
      </c>
      <c r="J2" s="120" t="s">
        <v>231</v>
      </c>
      <c r="K2" s="254"/>
      <c r="L2" s="119" t="s">
        <v>3283</v>
      </c>
      <c r="M2" s="120" t="s">
        <v>229</v>
      </c>
      <c r="N2" s="120" t="s">
        <v>230</v>
      </c>
      <c r="O2" s="120" t="s">
        <v>232</v>
      </c>
      <c r="P2" s="120" t="s">
        <v>233</v>
      </c>
      <c r="Q2" s="120" t="s">
        <v>3284</v>
      </c>
      <c r="R2" s="120" t="s">
        <v>231</v>
      </c>
      <c r="S2" s="254"/>
      <c r="T2" s="119" t="s">
        <v>3283</v>
      </c>
      <c r="U2" s="120" t="s">
        <v>229</v>
      </c>
      <c r="V2" s="120" t="s">
        <v>230</v>
      </c>
      <c r="W2" s="120" t="s">
        <v>232</v>
      </c>
      <c r="X2" s="120" t="s">
        <v>233</v>
      </c>
      <c r="Y2" s="120" t="s">
        <v>3284</v>
      </c>
      <c r="Z2" s="120" t="s">
        <v>231</v>
      </c>
      <c r="AA2" s="254"/>
      <c r="AB2" s="119" t="s">
        <v>3283</v>
      </c>
      <c r="AC2" s="120" t="s">
        <v>229</v>
      </c>
      <c r="AD2" s="120" t="s">
        <v>230</v>
      </c>
      <c r="AE2" s="120" t="s">
        <v>232</v>
      </c>
      <c r="AF2" s="120" t="s">
        <v>233</v>
      </c>
      <c r="AG2" s="120" t="s">
        <v>3284</v>
      </c>
      <c r="AH2" s="120" t="s">
        <v>231</v>
      </c>
      <c r="AJ2" t="s">
        <v>3283</v>
      </c>
      <c r="AK2" t="s">
        <v>229</v>
      </c>
      <c r="AL2" t="s">
        <v>230</v>
      </c>
      <c r="AM2" t="s">
        <v>232</v>
      </c>
      <c r="AN2" t="s">
        <v>233</v>
      </c>
      <c r="AO2" s="255" t="s">
        <v>3284</v>
      </c>
      <c r="AP2" t="s">
        <v>231</v>
      </c>
      <c r="AR2" t="s">
        <v>3283</v>
      </c>
      <c r="AS2" t="s">
        <v>229</v>
      </c>
      <c r="AT2" t="s">
        <v>230</v>
      </c>
      <c r="AU2" t="s">
        <v>232</v>
      </c>
      <c r="AV2" t="s">
        <v>233</v>
      </c>
      <c r="AW2" s="255" t="s">
        <v>3284</v>
      </c>
      <c r="AX2" t="s">
        <v>231</v>
      </c>
    </row>
    <row r="3" spans="1:50" s="245" customFormat="1" ht="13.2">
      <c r="A3" s="256" t="s">
        <v>3285</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3286</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3287</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3288</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3289</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3290</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3291</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3292</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3293</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3294</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3295</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3296</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3297</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3298</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3299</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3300</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3301</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3302</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3303</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3304</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3305</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3306</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3307</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3308</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3309</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3310</v>
      </c>
    </row>
    <row r="31" spans="1:50">
      <c r="J31" s="255" t="s">
        <v>2048</v>
      </c>
    </row>
    <row r="33" spans="1:50" s="109" customFormat="1" ht="13.2">
      <c r="B33" s="249" t="s">
        <v>3311</v>
      </c>
      <c r="C33" s="250"/>
      <c r="D33" s="250"/>
      <c r="E33" s="250"/>
      <c r="F33" s="250"/>
      <c r="G33" s="250"/>
      <c r="H33" s="250"/>
      <c r="I33" s="250"/>
      <c r="J33" s="250"/>
      <c r="K33" s="251"/>
      <c r="L33" s="250" t="s">
        <v>3280</v>
      </c>
      <c r="M33" s="250"/>
      <c r="N33" s="250"/>
      <c r="O33" s="250"/>
      <c r="P33" s="250"/>
      <c r="Q33" s="250"/>
      <c r="R33" s="250"/>
      <c r="S33" s="251"/>
      <c r="T33" s="4725" t="s">
        <v>3281</v>
      </c>
      <c r="U33" s="4726"/>
      <c r="V33" s="4726"/>
      <c r="W33" s="4726"/>
      <c r="X33" s="4726"/>
      <c r="Y33" s="4726"/>
      <c r="Z33" s="4726"/>
      <c r="AA33" s="251"/>
      <c r="AB33" s="4725" t="s">
        <v>3282</v>
      </c>
      <c r="AC33" s="4726"/>
      <c r="AD33" s="4726"/>
      <c r="AE33" s="4726"/>
      <c r="AF33" s="4726"/>
      <c r="AG33" s="4726"/>
      <c r="AH33" s="4726"/>
    </row>
    <row r="34" spans="1:50" s="110" customFormat="1">
      <c r="B34" s="252"/>
      <c r="C34" s="253"/>
      <c r="D34" s="119" t="s">
        <v>3283</v>
      </c>
      <c r="E34" s="120" t="s">
        <v>229</v>
      </c>
      <c r="F34" s="120" t="s">
        <v>230</v>
      </c>
      <c r="G34" s="120" t="s">
        <v>232</v>
      </c>
      <c r="H34" s="120"/>
      <c r="I34" s="120" t="s">
        <v>3312</v>
      </c>
      <c r="J34" s="120" t="s">
        <v>231</v>
      </c>
      <c r="K34" s="254"/>
      <c r="L34" s="119" t="s">
        <v>3283</v>
      </c>
      <c r="M34" s="120" t="s">
        <v>229</v>
      </c>
      <c r="N34" s="120" t="s">
        <v>230</v>
      </c>
      <c r="O34" s="120" t="s">
        <v>232</v>
      </c>
      <c r="P34" s="120"/>
      <c r="Q34" s="120" t="s">
        <v>3312</v>
      </c>
      <c r="R34" s="120" t="s">
        <v>231</v>
      </c>
      <c r="S34" s="254"/>
      <c r="T34" s="119" t="s">
        <v>3283</v>
      </c>
      <c r="U34" s="120" t="s">
        <v>229</v>
      </c>
      <c r="V34" s="120" t="s">
        <v>230</v>
      </c>
      <c r="W34" s="120" t="s">
        <v>232</v>
      </c>
      <c r="X34" s="120"/>
      <c r="Y34" s="120" t="s">
        <v>3312</v>
      </c>
      <c r="Z34" s="120" t="s">
        <v>231</v>
      </c>
      <c r="AA34" s="254"/>
      <c r="AB34" s="119" t="s">
        <v>3283</v>
      </c>
      <c r="AC34" s="120" t="s">
        <v>229</v>
      </c>
      <c r="AD34" s="120" t="s">
        <v>230</v>
      </c>
      <c r="AE34" s="120" t="s">
        <v>232</v>
      </c>
      <c r="AF34" s="120"/>
      <c r="AG34" s="120" t="s">
        <v>3312</v>
      </c>
      <c r="AH34" s="120" t="s">
        <v>231</v>
      </c>
      <c r="AK34" t="s">
        <v>229</v>
      </c>
      <c r="AL34" t="s">
        <v>230</v>
      </c>
      <c r="AM34" t="s">
        <v>232</v>
      </c>
      <c r="AN34"/>
      <c r="AO34" s="310" t="s">
        <v>3312</v>
      </c>
      <c r="AP34" t="s">
        <v>231</v>
      </c>
      <c r="AS34" t="s">
        <v>229</v>
      </c>
      <c r="AT34" t="s">
        <v>230</v>
      </c>
      <c r="AU34" t="s">
        <v>232</v>
      </c>
      <c r="AV34"/>
      <c r="AW34" s="310" t="s">
        <v>3312</v>
      </c>
      <c r="AX34" t="s">
        <v>231</v>
      </c>
    </row>
    <row r="35" spans="1:50" s="245" customFormat="1" ht="13.2">
      <c r="A35" s="256" t="s">
        <v>3285</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3286</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3287</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3288</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3289</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3290</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3291</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3292</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3293</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3294</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3295</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3296</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3297</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3298</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3299</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3300</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3301</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3302</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3303</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3304</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3305</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3306</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3307</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3308</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3309</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3313</v>
      </c>
    </row>
    <row r="65" spans="3:17">
      <c r="Q65" s="320"/>
    </row>
    <row r="66" spans="3:17">
      <c r="Q66" s="320"/>
    </row>
    <row r="67" spans="3:17">
      <c r="Q67" s="320"/>
    </row>
    <row r="68" spans="3:17">
      <c r="Q68" s="320"/>
    </row>
    <row r="69" spans="3:17">
      <c r="Q69" s="320"/>
    </row>
    <row r="70" spans="3:17">
      <c r="Q70" s="320"/>
    </row>
    <row r="71" spans="3:17">
      <c r="C71" s="255" t="s">
        <v>3314</v>
      </c>
      <c r="Q71" s="320"/>
    </row>
    <row r="72" spans="3:17">
      <c r="C72" s="255" t="s">
        <v>3315</v>
      </c>
      <c r="Q72" s="320"/>
    </row>
    <row r="73" spans="3:17">
      <c r="C73" s="255" t="s">
        <v>3316</v>
      </c>
      <c r="Q73" s="320"/>
    </row>
    <row r="74" spans="3:17">
      <c r="C74" s="255" t="s">
        <v>3317</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14" t="str">
        <f>IF(项目基本情况!B9="房地产市场价值","估价结果一览表","结果表-2")</f>
        <v>结果表-2</v>
      </c>
      <c r="B1" s="4314"/>
      <c r="C1" s="4314"/>
      <c r="D1" s="4314"/>
      <c r="E1" s="4314"/>
      <c r="F1" s="4314"/>
      <c r="G1" s="4314"/>
      <c r="H1" s="4314"/>
      <c r="I1" s="4314"/>
    </row>
    <row r="2" spans="1:9" ht="30" customHeight="1">
      <c r="A2" s="4315" t="s">
        <v>107</v>
      </c>
      <c r="B2" s="4315" t="s">
        <v>108</v>
      </c>
      <c r="C2" s="4315" t="s">
        <v>109</v>
      </c>
      <c r="D2" s="4315" t="str">
        <f>结果表!D116</f>
        <v>出让国有建设用地使用权价值</v>
      </c>
      <c r="E2" s="4315"/>
      <c r="F2" s="4315">
        <f>结果表!F116</f>
        <v>0</v>
      </c>
      <c r="G2" s="4315"/>
      <c r="H2" s="4315" t="str">
        <f>IF(项目基本情况!B9="房地产市场价值","房地产市场价值","房地产价值")</f>
        <v>房地产价值</v>
      </c>
      <c r="I2" s="4315"/>
    </row>
    <row r="3" spans="1:9" ht="15.6">
      <c r="A3" s="4310"/>
      <c r="B3" s="4310"/>
      <c r="C3" s="4310"/>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25832.71</v>
      </c>
      <c r="C4" s="4241">
        <f>项目基本情况!C18</f>
        <v>11094.04</v>
      </c>
      <c r="D4" s="4241" t="e">
        <f ca="1">结果表!E118</f>
        <v>#REF!</v>
      </c>
      <c r="E4" s="4241" t="e">
        <f ca="1">结果表!D118</f>
        <v>#REF!</v>
      </c>
      <c r="F4" s="4241" t="e">
        <f ca="1">结果表!G118</f>
        <v>#REF!</v>
      </c>
      <c r="G4" s="4241" t="e">
        <f ca="1">结果表!F118</f>
        <v>#REF!</v>
      </c>
      <c r="H4" s="4241">
        <f ca="1">结果表!I118</f>
        <v>58418.090400000001</v>
      </c>
      <c r="I4" s="4241">
        <f ca="1">结果表!H118</f>
        <v>8754</v>
      </c>
    </row>
    <row r="5" spans="1:9" ht="30" customHeight="1">
      <c r="A5" s="4310" t="s">
        <v>112</v>
      </c>
      <c r="B5" s="4310"/>
      <c r="C5" s="4310"/>
      <c r="D5" s="4310" t="e">
        <f ca="1">结果表!D119</f>
        <v>#REF!</v>
      </c>
      <c r="E5" s="4310"/>
      <c r="F5" s="4310" t="e">
        <f ca="1">结果表!F119</f>
        <v>#REF!</v>
      </c>
      <c r="G5" s="4310"/>
      <c r="H5" s="4310" t="str">
        <f ca="1">结果表!H119</f>
        <v>伍亿捌仟肆佰壹拾捌万零玖佰零肆元整</v>
      </c>
      <c r="I5" s="4310"/>
    </row>
    <row r="6" spans="1:9" ht="15.6">
      <c r="A6" s="4307" t="str">
        <f>结果表!A120</f>
        <v>估价师知悉的法定优先受偿款</v>
      </c>
      <c r="B6" s="4307"/>
      <c r="C6" s="4307"/>
      <c r="D6" s="4307">
        <f>结果表!H120</f>
        <v>849</v>
      </c>
      <c r="E6" s="4307"/>
      <c r="F6" s="4307"/>
      <c r="G6" s="4307"/>
      <c r="H6" s="4307"/>
      <c r="I6" s="4307"/>
    </row>
    <row r="7" spans="1:9" ht="15">
      <c r="A7" s="4310" t="s">
        <v>112</v>
      </c>
      <c r="B7" s="4310"/>
      <c r="C7" s="4310"/>
      <c r="D7" s="4311" t="str">
        <f>结果表!H121</f>
        <v>捌佰肆拾玖万元整</v>
      </c>
      <c r="E7" s="4312"/>
      <c r="F7" s="4312"/>
      <c r="G7" s="4312"/>
      <c r="H7" s="4312"/>
      <c r="I7" s="4313"/>
    </row>
    <row r="8" spans="1:9" ht="15.6">
      <c r="A8" s="4307" t="str">
        <f>结果表!A122</f>
        <v>房地产抵押价值</v>
      </c>
      <c r="B8" s="4307"/>
      <c r="C8" s="4307"/>
      <c r="D8" s="4307">
        <f ca="1">结果表!H122</f>
        <v>57569.090400000001</v>
      </c>
      <c r="E8" s="4307"/>
      <c r="F8" s="4307"/>
      <c r="G8" s="4307"/>
      <c r="H8" s="4307"/>
      <c r="I8" s="4307"/>
    </row>
    <row r="9" spans="1:9" ht="15">
      <c r="A9" s="4310" t="s">
        <v>112</v>
      </c>
      <c r="B9" s="4310"/>
      <c r="C9" s="4310"/>
      <c r="D9" s="4310" t="str">
        <f ca="1">结果表!H123</f>
        <v>伍亿柒仟伍佰陆拾玖万零玖佰零肆元整</v>
      </c>
      <c r="E9" s="4310"/>
      <c r="F9" s="4310"/>
      <c r="G9" s="4310"/>
      <c r="H9" s="4310"/>
      <c r="I9" s="4310"/>
    </row>
    <row r="10" spans="1:9" ht="15.6">
      <c r="A10" s="4307" t="str">
        <f>结果表!A124</f>
        <v/>
      </c>
      <c r="B10" s="4307"/>
      <c r="C10" s="4307"/>
      <c r="D10" s="4307" t="str">
        <f>结果表!H124</f>
        <v>——</v>
      </c>
      <c r="E10" s="4307"/>
      <c r="F10" s="4307"/>
      <c r="G10" s="4307"/>
      <c r="H10" s="4307"/>
      <c r="I10" s="4307"/>
    </row>
    <row r="11" spans="1:9" ht="15">
      <c r="A11" s="4310" t="s">
        <v>112</v>
      </c>
      <c r="B11" s="4310"/>
      <c r="C11" s="4310"/>
      <c r="D11" s="4310" t="e">
        <f>结果表!H125</f>
        <v>#VALUE!</v>
      </c>
      <c r="E11" s="4310"/>
      <c r="F11" s="4310"/>
      <c r="G11" s="4310"/>
      <c r="H11" s="4310"/>
      <c r="I11" s="4310"/>
    </row>
    <row r="12" spans="1:9" ht="15.6">
      <c r="A12" s="4307" t="str">
        <f>结果表!A126</f>
        <v/>
      </c>
      <c r="B12" s="4307"/>
      <c r="C12" s="4307"/>
      <c r="D12" s="4307" t="str">
        <f>结果表!H126</f>
        <v>——</v>
      </c>
      <c r="E12" s="4307"/>
      <c r="F12" s="4307"/>
      <c r="G12" s="4307"/>
      <c r="H12" s="4307"/>
      <c r="I12" s="4307"/>
    </row>
    <row r="13" spans="1:9" ht="15">
      <c r="A13" s="4308" t="s">
        <v>112</v>
      </c>
      <c r="B13" s="4308"/>
      <c r="C13" s="4308"/>
      <c r="D13" s="4308" t="e">
        <f>结果表!H127</f>
        <v>#VALUE!</v>
      </c>
      <c r="E13" s="4308"/>
      <c r="F13" s="4308"/>
      <c r="G13" s="4308"/>
      <c r="H13" s="4308"/>
      <c r="I13" s="4308"/>
    </row>
    <row r="14" spans="1:9">
      <c r="A14" s="4309" t="s">
        <v>113</v>
      </c>
      <c r="B14" s="4309"/>
      <c r="C14" s="4309"/>
      <c r="D14" s="4309"/>
      <c r="E14" s="4309"/>
      <c r="F14" s="4309"/>
      <c r="G14" s="4309"/>
      <c r="H14" s="4309"/>
      <c r="I14" s="4309"/>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35" t="s">
        <v>3318</v>
      </c>
      <c r="C1" s="4735"/>
      <c r="D1" s="4735"/>
      <c r="E1" s="4735"/>
      <c r="F1" s="4735"/>
      <c r="G1" s="4726" t="s">
        <v>3319</v>
      </c>
      <c r="H1" s="4726"/>
      <c r="I1" s="4726"/>
      <c r="J1" s="4726"/>
      <c r="K1" s="4726"/>
      <c r="L1" s="4726"/>
      <c r="N1" s="4726" t="s">
        <v>3280</v>
      </c>
      <c r="O1" s="4726"/>
      <c r="P1" s="4726"/>
      <c r="Q1" s="4726"/>
      <c r="S1" s="4726" t="s">
        <v>3320</v>
      </c>
      <c r="T1" s="4726"/>
      <c r="U1" s="4726"/>
      <c r="V1" s="4726"/>
      <c r="X1" s="4725" t="s">
        <v>3281</v>
      </c>
      <c r="Y1" s="4726"/>
      <c r="Z1" s="4726"/>
      <c r="AA1" s="4726"/>
      <c r="AB1" s="4726"/>
      <c r="AD1" s="4725" t="s">
        <v>3282</v>
      </c>
      <c r="AE1" s="4726"/>
      <c r="AF1" s="4726"/>
      <c r="AG1" s="4726"/>
      <c r="AH1" s="4726"/>
    </row>
    <row r="2" spans="1:34" s="110" customFormat="1" ht="14.4">
      <c r="B2" s="119" t="s">
        <v>3321</v>
      </c>
      <c r="C2" s="119" t="s">
        <v>3322</v>
      </c>
      <c r="D2" s="120" t="s">
        <v>230</v>
      </c>
      <c r="E2" s="120" t="s">
        <v>232</v>
      </c>
      <c r="F2" s="119" t="s">
        <v>3323</v>
      </c>
      <c r="G2" s="121"/>
      <c r="I2" s="119" t="s">
        <v>3321</v>
      </c>
      <c r="J2" s="120" t="s">
        <v>2615</v>
      </c>
      <c r="K2" s="120" t="s">
        <v>232</v>
      </c>
      <c r="L2" s="119" t="s">
        <v>3323</v>
      </c>
      <c r="N2" s="119" t="s">
        <v>3321</v>
      </c>
      <c r="O2" s="120" t="s">
        <v>2615</v>
      </c>
      <c r="P2" s="120" t="s">
        <v>232</v>
      </c>
      <c r="Q2" s="119" t="s">
        <v>3323</v>
      </c>
      <c r="S2" s="119" t="s">
        <v>3321</v>
      </c>
      <c r="T2" s="120" t="s">
        <v>2615</v>
      </c>
      <c r="U2" s="120" t="s">
        <v>232</v>
      </c>
      <c r="V2" s="119" t="s">
        <v>3323</v>
      </c>
      <c r="X2" s="119" t="s">
        <v>3321</v>
      </c>
      <c r="Y2" s="119" t="s">
        <v>3322</v>
      </c>
      <c r="Z2" s="120" t="s">
        <v>230</v>
      </c>
      <c r="AA2" s="120" t="s">
        <v>232</v>
      </c>
      <c r="AB2" s="119" t="s">
        <v>3323</v>
      </c>
      <c r="AD2" s="119" t="s">
        <v>3321</v>
      </c>
      <c r="AE2" s="119" t="s">
        <v>3322</v>
      </c>
      <c r="AF2" s="120" t="s">
        <v>230</v>
      </c>
      <c r="AG2" s="120" t="s">
        <v>232</v>
      </c>
      <c r="AH2" s="119" t="s">
        <v>3323</v>
      </c>
    </row>
    <row r="3" spans="1:34" s="111" customFormat="1" ht="14.4">
      <c r="A3" s="122" t="s">
        <v>3285</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3302</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3303</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3304</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3305</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3306</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3307</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3308</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3325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3330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3331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3332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3333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3334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3335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3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3337</v>
      </c>
      <c r="B25" s="158">
        <v>439</v>
      </c>
      <c r="C25" s="158">
        <v>327</v>
      </c>
      <c r="D25" s="158">
        <f t="shared" si="217"/>
        <v>327</v>
      </c>
      <c r="E25" s="158">
        <v>627</v>
      </c>
      <c r="F25" s="159">
        <v>283</v>
      </c>
      <c r="G25" s="473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3339</v>
      </c>
      <c r="B27" s="136">
        <f t="shared" si="232"/>
        <v>419.31181600000002</v>
      </c>
      <c r="C27" s="136">
        <f t="shared" si="233"/>
        <v>313.95436799999999</v>
      </c>
      <c r="D27" s="136">
        <f t="shared" si="234"/>
        <v>313.95436799999999</v>
      </c>
      <c r="E27" s="136">
        <f t="shared" si="235"/>
        <v>596.63028431999999</v>
      </c>
      <c r="F27" s="136">
        <f t="shared" si="236"/>
        <v>274.74220703999998</v>
      </c>
      <c r="G27" s="472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3340</v>
      </c>
      <c r="B28" s="136">
        <f t="shared" si="232"/>
        <v>405.524</v>
      </c>
      <c r="C28" s="136">
        <f t="shared" si="233"/>
        <v>307.79840000000002</v>
      </c>
      <c r="D28" s="136">
        <f t="shared" si="234"/>
        <v>307.79840000000002</v>
      </c>
      <c r="E28" s="136">
        <f t="shared" si="235"/>
        <v>574.67759999999998</v>
      </c>
      <c r="F28" s="136">
        <f t="shared" si="236"/>
        <v>270.20280000000002</v>
      </c>
      <c r="G28" s="473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3341</v>
      </c>
      <c r="B29" s="158">
        <v>392</v>
      </c>
      <c r="C29" s="158">
        <v>302</v>
      </c>
      <c r="D29" s="158">
        <f t="shared" si="234"/>
        <v>302</v>
      </c>
      <c r="E29" s="158">
        <v>553</v>
      </c>
      <c r="F29" s="159">
        <v>266</v>
      </c>
      <c r="G29" s="473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3342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3343</v>
      </c>
      <c r="B31" s="136">
        <f t="shared" si="245"/>
        <v>360.06949782209398</v>
      </c>
      <c r="C31" s="136">
        <f t="shared" si="245"/>
        <v>289.84672674747799</v>
      </c>
      <c r="D31" s="136">
        <f t="shared" si="246"/>
        <v>289.84672674747799</v>
      </c>
      <c r="E31" s="136">
        <f t="shared" si="247"/>
        <v>501.06543001181501</v>
      </c>
      <c r="F31" s="136">
        <f t="shared" si="247"/>
        <v>256.82882500745001</v>
      </c>
      <c r="G31" s="472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3344</v>
      </c>
      <c r="B32" s="136">
        <f t="shared" si="245"/>
        <v>346.720748986128</v>
      </c>
      <c r="C32" s="136">
        <f t="shared" si="245"/>
        <v>284.30282172386302</v>
      </c>
      <c r="D32" s="136">
        <f t="shared" si="246"/>
        <v>284.30282172386302</v>
      </c>
      <c r="E32" s="136">
        <f t="shared" si="247"/>
        <v>479.58023546306902</v>
      </c>
      <c r="F32" s="136">
        <f t="shared" si="247"/>
        <v>253.25788877571199</v>
      </c>
      <c r="G32" s="472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3345</v>
      </c>
      <c r="B33" s="158">
        <v>333</v>
      </c>
      <c r="C33" s="158">
        <v>277</v>
      </c>
      <c r="D33" s="158">
        <f t="shared" si="246"/>
        <v>277</v>
      </c>
      <c r="E33" s="158">
        <v>459</v>
      </c>
      <c r="F33" s="159">
        <v>249</v>
      </c>
      <c r="G33" s="472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3347</v>
      </c>
      <c r="B35" s="136">
        <f t="shared" si="249"/>
        <v>322.34053690220799</v>
      </c>
      <c r="C35" s="136">
        <f t="shared" si="249"/>
        <v>271.461607704225</v>
      </c>
      <c r="D35" s="136">
        <f t="shared" si="246"/>
        <v>271.461607704225</v>
      </c>
      <c r="E35" s="136">
        <f t="shared" si="250"/>
        <v>442.69434542172502</v>
      </c>
      <c r="F35" s="136">
        <f t="shared" si="250"/>
        <v>241.34030753190899</v>
      </c>
      <c r="G35" s="472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3348</v>
      </c>
      <c r="B36" s="136">
        <f t="shared" si="249"/>
        <v>319.87748030386803</v>
      </c>
      <c r="C36" s="136">
        <f t="shared" si="249"/>
        <v>269.60135833173598</v>
      </c>
      <c r="D36" s="136">
        <f t="shared" si="246"/>
        <v>269.60135833173598</v>
      </c>
      <c r="E36" s="136">
        <f t="shared" si="250"/>
        <v>439.18089823583801</v>
      </c>
      <c r="F36" s="136">
        <f t="shared" si="250"/>
        <v>239.23503918706299</v>
      </c>
      <c r="G36" s="472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3349</v>
      </c>
      <c r="B37" s="175">
        <v>318</v>
      </c>
      <c r="C37" s="175">
        <v>268</v>
      </c>
      <c r="D37" s="175">
        <f t="shared" si="246"/>
        <v>268</v>
      </c>
      <c r="E37" s="175">
        <v>437</v>
      </c>
      <c r="F37" s="176">
        <v>237</v>
      </c>
      <c r="G37" s="472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3350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3351</v>
      </c>
      <c r="B39" s="136">
        <f t="shared" si="251"/>
        <v>314.721411723865</v>
      </c>
      <c r="C39" s="136">
        <f t="shared" si="251"/>
        <v>263.03901319069001</v>
      </c>
      <c r="D39" s="136">
        <f t="shared" si="246"/>
        <v>263.03901319069001</v>
      </c>
      <c r="E39" s="136">
        <f t="shared" si="252"/>
        <v>433.65745506782798</v>
      </c>
      <c r="F39" s="136">
        <f t="shared" si="252"/>
        <v>233.23005080045701</v>
      </c>
      <c r="G39" s="472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3352</v>
      </c>
      <c r="B40" s="181">
        <f t="shared" si="251"/>
        <v>307.34512863658699</v>
      </c>
      <c r="C40" s="181">
        <f t="shared" si="251"/>
        <v>257.80556031626998</v>
      </c>
      <c r="D40" s="181">
        <f t="shared" si="246"/>
        <v>257.80556031626998</v>
      </c>
      <c r="E40" s="181">
        <f t="shared" si="252"/>
        <v>422.70928459677202</v>
      </c>
      <c r="F40" s="181">
        <f t="shared" si="252"/>
        <v>229.738032703366</v>
      </c>
      <c r="G40" s="472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3353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3354</v>
      </c>
      <c r="B41" s="158">
        <v>299</v>
      </c>
      <c r="C41" s="158">
        <v>252</v>
      </c>
      <c r="D41" s="158">
        <f t="shared" si="246"/>
        <v>252</v>
      </c>
      <c r="E41" s="158">
        <v>409</v>
      </c>
      <c r="F41" s="159">
        <v>227</v>
      </c>
      <c r="G41" s="473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3355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3356</v>
      </c>
      <c r="B43" s="136">
        <f t="shared" si="255"/>
        <v>288.264905382878</v>
      </c>
      <c r="C43" s="136">
        <f t="shared" si="255"/>
        <v>243.64564425013299</v>
      </c>
      <c r="D43" s="136">
        <f t="shared" si="246"/>
        <v>243.64564425013299</v>
      </c>
      <c r="E43" s="136">
        <f t="shared" si="256"/>
        <v>393.31080825986498</v>
      </c>
      <c r="F43" s="136">
        <f t="shared" si="256"/>
        <v>223.079037905512</v>
      </c>
      <c r="G43" s="473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3357</v>
      </c>
      <c r="B44" s="136">
        <f t="shared" si="255"/>
        <v>282.50186729015797</v>
      </c>
      <c r="C44" s="136">
        <f t="shared" si="255"/>
        <v>238.097961741555</v>
      </c>
      <c r="D44" s="136">
        <f t="shared" si="246"/>
        <v>238.097961741555</v>
      </c>
      <c r="E44" s="136">
        <f t="shared" si="256"/>
        <v>385.33438646014099</v>
      </c>
      <c r="F44" s="136">
        <f t="shared" si="256"/>
        <v>221.550340555677</v>
      </c>
      <c r="G44" s="473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3358</v>
      </c>
      <c r="B45" s="197">
        <v>278</v>
      </c>
      <c r="C45" s="197">
        <v>234</v>
      </c>
      <c r="D45" s="197">
        <f t="shared" si="246"/>
        <v>234</v>
      </c>
      <c r="E45" s="197">
        <v>379</v>
      </c>
      <c r="F45" s="198">
        <v>220</v>
      </c>
      <c r="G45" s="472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3359</v>
      </c>
      <c r="B46" s="136">
        <f>B45/(1+N45)</f>
        <v>275.49301357645402</v>
      </c>
      <c r="C46" s="136">
        <f>C45/(1+O45)</f>
        <v>232.41954707985701</v>
      </c>
      <c r="D46" s="136">
        <f t="shared" si="246"/>
        <v>232.41954707985701</v>
      </c>
      <c r="E46" s="136">
        <f t="shared" ref="E46:F48" si="257">E45/(1+P45)</f>
        <v>375.32184591008098</v>
      </c>
      <c r="F46" s="136">
        <f t="shared" si="257"/>
        <v>218.03766105054501</v>
      </c>
      <c r="G46" s="472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3360</v>
      </c>
      <c r="B47" s="136">
        <f>B46/(1+N46)</f>
        <v>275.24529281292303</v>
      </c>
      <c r="C47" s="136">
        <f>C46/(1+O46)</f>
        <v>231.74747938962699</v>
      </c>
      <c r="D47" s="136">
        <f t="shared" si="246"/>
        <v>231.74747938962699</v>
      </c>
      <c r="E47" s="136">
        <f t="shared" si="257"/>
        <v>375.35938184826603</v>
      </c>
      <c r="F47" s="136">
        <f t="shared" si="257"/>
        <v>216.78033510692501</v>
      </c>
      <c r="G47" s="472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3361</v>
      </c>
      <c r="B48" s="136">
        <f>B47/(1+N47)</f>
        <v>275.19025476196998</v>
      </c>
      <c r="C48" s="199">
        <v>232</v>
      </c>
      <c r="D48" s="199">
        <f t="shared" si="246"/>
        <v>232</v>
      </c>
      <c r="E48" s="136">
        <f t="shared" si="257"/>
        <v>375.65990977608698</v>
      </c>
      <c r="F48" s="136">
        <f t="shared" si="257"/>
        <v>214.12518283971301</v>
      </c>
      <c r="G48" s="472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3362</v>
      </c>
      <c r="B49" s="158">
        <v>275</v>
      </c>
      <c r="C49" s="158">
        <v>232</v>
      </c>
      <c r="D49" s="158">
        <f t="shared" si="246"/>
        <v>232</v>
      </c>
      <c r="E49" s="158">
        <v>376</v>
      </c>
      <c r="F49" s="159">
        <v>213</v>
      </c>
      <c r="G49" s="472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3363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3364</v>
      </c>
      <c r="B51" s="136">
        <f t="shared" si="258"/>
        <v>275.19335084830601</v>
      </c>
      <c r="C51" s="136">
        <f t="shared" si="258"/>
        <v>230.18088050139701</v>
      </c>
      <c r="D51" s="136">
        <f t="shared" si="246"/>
        <v>230.18088050139701</v>
      </c>
      <c r="E51" s="136">
        <f t="shared" si="259"/>
        <v>377.58482925212297</v>
      </c>
      <c r="F51" s="136">
        <f t="shared" si="259"/>
        <v>210.906879978479</v>
      </c>
      <c r="G51" s="472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3365</v>
      </c>
      <c r="B52" s="136">
        <f t="shared" si="258"/>
        <v>276.29854502841999</v>
      </c>
      <c r="C52" s="136">
        <f t="shared" si="258"/>
        <v>229.79023709833001</v>
      </c>
      <c r="D52" s="136">
        <f t="shared" si="246"/>
        <v>229.79023709833001</v>
      </c>
      <c r="E52" s="136">
        <f t="shared" si="259"/>
        <v>379.78759731655902</v>
      </c>
      <c r="F52" s="136">
        <f t="shared" si="259"/>
        <v>211.32953905659201</v>
      </c>
      <c r="G52" s="472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3366</v>
      </c>
      <c r="B53" s="158">
        <v>269</v>
      </c>
      <c r="C53" s="158">
        <v>221</v>
      </c>
      <c r="D53" s="158">
        <f t="shared" si="246"/>
        <v>221</v>
      </c>
      <c r="E53" s="158">
        <v>373</v>
      </c>
      <c r="F53" s="159">
        <v>196</v>
      </c>
      <c r="G53" s="472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3368</v>
      </c>
      <c r="B55" s="136">
        <f t="shared" si="260"/>
        <v>242.95398227588399</v>
      </c>
      <c r="C55" s="136">
        <f t="shared" si="260"/>
        <v>199.591370536141</v>
      </c>
      <c r="D55" s="136">
        <f t="shared" si="246"/>
        <v>199.591370536141</v>
      </c>
      <c r="E55" s="136">
        <f t="shared" si="261"/>
        <v>335.92189522342102</v>
      </c>
      <c r="F55" s="136">
        <f t="shared" si="261"/>
        <v>183.101399911095</v>
      </c>
      <c r="G55" s="472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3369</v>
      </c>
      <c r="B56" s="136">
        <f t="shared" si="260"/>
        <v>232.06990378821601</v>
      </c>
      <c r="C56" s="136">
        <f t="shared" si="260"/>
        <v>192.74878854286899</v>
      </c>
      <c r="D56" s="136">
        <f t="shared" si="246"/>
        <v>192.74878854286899</v>
      </c>
      <c r="E56" s="136">
        <f t="shared" si="261"/>
        <v>319.71247284993001</v>
      </c>
      <c r="F56" s="136">
        <f t="shared" si="261"/>
        <v>175.670536228624</v>
      </c>
      <c r="G56" s="472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3370</v>
      </c>
      <c r="B57" s="158">
        <v>220</v>
      </c>
      <c r="C57" s="158">
        <v>187</v>
      </c>
      <c r="D57" s="158">
        <f t="shared" si="246"/>
        <v>187</v>
      </c>
      <c r="E57" s="158">
        <v>301</v>
      </c>
      <c r="F57" s="159">
        <v>168</v>
      </c>
      <c r="G57" s="472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3371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3372</v>
      </c>
      <c r="B59" s="136">
        <f t="shared" si="262"/>
        <v>210.630522469011</v>
      </c>
      <c r="C59" s="136">
        <f t="shared" si="262"/>
        <v>181.695678122472</v>
      </c>
      <c r="D59" s="136">
        <f t="shared" si="246"/>
        <v>181.695678122472</v>
      </c>
      <c r="E59" s="136">
        <f t="shared" si="263"/>
        <v>286.13517466736698</v>
      </c>
      <c r="F59" s="136">
        <f t="shared" si="263"/>
        <v>165.47535084591101</v>
      </c>
      <c r="G59" s="472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3373</v>
      </c>
      <c r="B60" s="136">
        <f t="shared" si="262"/>
        <v>208.834545378754</v>
      </c>
      <c r="C60" s="136">
        <f t="shared" si="262"/>
        <v>183.77230517090399</v>
      </c>
      <c r="D60" s="136">
        <f t="shared" si="246"/>
        <v>183.77230517090399</v>
      </c>
      <c r="E60" s="136">
        <f t="shared" si="263"/>
        <v>281.10342338870902</v>
      </c>
      <c r="F60" s="136">
        <f t="shared" si="263"/>
        <v>168.97309388942301</v>
      </c>
      <c r="G60" s="472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3374</v>
      </c>
      <c r="B61" s="197">
        <v>214</v>
      </c>
      <c r="C61" s="197">
        <v>188</v>
      </c>
      <c r="D61" s="197">
        <f t="shared" si="246"/>
        <v>188</v>
      </c>
      <c r="E61" s="197">
        <v>289</v>
      </c>
      <c r="F61" s="198">
        <v>166</v>
      </c>
      <c r="G61" s="472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3375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3376</v>
      </c>
      <c r="B63" s="136">
        <f t="shared" si="264"/>
        <v>206.31694671589099</v>
      </c>
      <c r="C63" s="136">
        <f t="shared" si="264"/>
        <v>183.61041121036101</v>
      </c>
      <c r="D63" s="136">
        <f t="shared" si="246"/>
        <v>183.61041121036101</v>
      </c>
      <c r="E63" s="136">
        <f t="shared" si="265"/>
        <v>276.66850301795603</v>
      </c>
      <c r="F63" s="136">
        <f t="shared" si="265"/>
        <v>165.136093827861</v>
      </c>
      <c r="G63" s="472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3377</v>
      </c>
      <c r="B64" s="200">
        <f t="shared" si="264"/>
        <v>196.62341248059801</v>
      </c>
      <c r="C64" s="200">
        <f t="shared" si="264"/>
        <v>170.99125648199001</v>
      </c>
      <c r="D64" s="200">
        <f t="shared" si="246"/>
        <v>170.99125648199001</v>
      </c>
      <c r="E64" s="200">
        <f t="shared" si="265"/>
        <v>266.07857570490103</v>
      </c>
      <c r="F64" s="200">
        <f t="shared" si="265"/>
        <v>154.53499328828499</v>
      </c>
      <c r="G64" s="472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3378</v>
      </c>
      <c r="B65" s="158">
        <v>188</v>
      </c>
      <c r="C65" s="158">
        <v>165</v>
      </c>
      <c r="D65" s="158">
        <f t="shared" si="246"/>
        <v>165</v>
      </c>
      <c r="E65" s="158">
        <v>254</v>
      </c>
      <c r="F65" s="159">
        <v>148</v>
      </c>
      <c r="G65" s="472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3380</v>
      </c>
      <c r="B67" s="136">
        <f t="shared" si="268"/>
        <v>168.820177487156</v>
      </c>
      <c r="C67" s="136">
        <f t="shared" si="268"/>
        <v>148.06267029972801</v>
      </c>
      <c r="D67" s="136">
        <f t="shared" si="246"/>
        <v>148.06267029972801</v>
      </c>
      <c r="E67" s="136">
        <f t="shared" si="269"/>
        <v>216.46288379323701</v>
      </c>
      <c r="F67" s="136">
        <f t="shared" si="269"/>
        <v>134.23529411764699</v>
      </c>
      <c r="G67" s="472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3381</v>
      </c>
      <c r="B68" s="136">
        <f t="shared" si="268"/>
        <v>163.849135917795</v>
      </c>
      <c r="C68" s="136">
        <f t="shared" si="268"/>
        <v>145.028337874659</v>
      </c>
      <c r="D68" s="136">
        <f t="shared" si="246"/>
        <v>145.028337874659</v>
      </c>
      <c r="E68" s="136">
        <f t="shared" si="269"/>
        <v>204.95180722891601</v>
      </c>
      <c r="F68" s="136">
        <f t="shared" si="269"/>
        <v>125.959203036053</v>
      </c>
      <c r="G68" s="472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3382</v>
      </c>
      <c r="B69" s="175">
        <v>159</v>
      </c>
      <c r="C69" s="175">
        <v>141</v>
      </c>
      <c r="D69" s="175">
        <f t="shared" si="246"/>
        <v>141</v>
      </c>
      <c r="E69" s="175">
        <v>195</v>
      </c>
      <c r="F69" s="176">
        <v>122</v>
      </c>
      <c r="G69" s="472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3383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3384</v>
      </c>
      <c r="B71" s="136">
        <f t="shared" si="272"/>
        <v>146.57412060301499</v>
      </c>
      <c r="C71" s="136">
        <f t="shared" si="272"/>
        <v>136.468319559229</v>
      </c>
      <c r="D71" s="136">
        <f t="shared" si="246"/>
        <v>136.468319559229</v>
      </c>
      <c r="E71" s="136">
        <f t="shared" si="273"/>
        <v>166.73864894795099</v>
      </c>
      <c r="F71" s="136">
        <f t="shared" si="273"/>
        <v>115.058823529412</v>
      </c>
      <c r="G71" s="472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3385</v>
      </c>
      <c r="B72" s="136">
        <f t="shared" si="272"/>
        <v>144.04145728643201</v>
      </c>
      <c r="C72" s="136">
        <f t="shared" si="272"/>
        <v>136.123966942149</v>
      </c>
      <c r="D72" s="136">
        <f t="shared" si="246"/>
        <v>136.123966942149</v>
      </c>
      <c r="E72" s="136">
        <f t="shared" si="273"/>
        <v>158.32225913621301</v>
      </c>
      <c r="F72" s="136">
        <f t="shared" si="273"/>
        <v>114.04278074866301</v>
      </c>
      <c r="G72" s="472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3386</v>
      </c>
      <c r="B73" s="175">
        <v>138</v>
      </c>
      <c r="C73" s="175">
        <v>131</v>
      </c>
      <c r="D73" s="175">
        <f t="shared" si="246"/>
        <v>131</v>
      </c>
      <c r="E73" s="175">
        <v>155</v>
      </c>
      <c r="F73" s="176">
        <v>114</v>
      </c>
      <c r="G73" s="472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3388</v>
      </c>
      <c r="B75" s="136">
        <f t="shared" si="276"/>
        <v>124.290322580645</v>
      </c>
      <c r="C75" s="136">
        <f t="shared" si="276"/>
        <v>123.896860986547</v>
      </c>
      <c r="D75" s="136">
        <f t="shared" si="246"/>
        <v>123.896860986547</v>
      </c>
      <c r="E75" s="136">
        <f t="shared" si="277"/>
        <v>138.005076142132</v>
      </c>
      <c r="F75" s="136">
        <f t="shared" si="277"/>
        <v>107.96106557377</v>
      </c>
      <c r="G75" s="472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3389</v>
      </c>
      <c r="B76" s="136">
        <f t="shared" si="276"/>
        <v>122.57204301075301</v>
      </c>
      <c r="C76" s="136">
        <f t="shared" si="276"/>
        <v>123.493273542601</v>
      </c>
      <c r="D76" s="136">
        <f t="shared" si="246"/>
        <v>123.493273542601</v>
      </c>
      <c r="E76" s="136">
        <f t="shared" si="277"/>
        <v>129.82233502538099</v>
      </c>
      <c r="F76" s="136">
        <f t="shared" si="277"/>
        <v>107.39446721311501</v>
      </c>
      <c r="G76" s="472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3390</v>
      </c>
      <c r="B77" s="197">
        <v>121</v>
      </c>
      <c r="C77" s="197">
        <v>122</v>
      </c>
      <c r="D77" s="197">
        <f t="shared" si="246"/>
        <v>122</v>
      </c>
      <c r="E77" s="197">
        <v>124</v>
      </c>
      <c r="F77" s="198">
        <v>107</v>
      </c>
      <c r="G77" s="472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3391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3392</v>
      </c>
      <c r="B79" s="136">
        <f t="shared" si="280"/>
        <v>116.99099099099099</v>
      </c>
      <c r="C79" s="136">
        <f t="shared" si="280"/>
        <v>118.848484848485</v>
      </c>
      <c r="D79" s="136">
        <f t="shared" si="246"/>
        <v>118.848484848485</v>
      </c>
      <c r="E79" s="136">
        <f t="shared" si="281"/>
        <v>117.60960960961</v>
      </c>
      <c r="F79" s="136">
        <f t="shared" si="281"/>
        <v>104</v>
      </c>
      <c r="G79" s="472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3393</v>
      </c>
      <c r="B80" s="200">
        <f t="shared" si="280"/>
        <v>112.486486486486</v>
      </c>
      <c r="C80" s="200">
        <f t="shared" si="280"/>
        <v>115.212121212121</v>
      </c>
      <c r="D80" s="200">
        <f t="shared" si="246"/>
        <v>115.212121212121</v>
      </c>
      <c r="E80" s="200">
        <f t="shared" si="281"/>
        <v>110.402402402402</v>
      </c>
      <c r="F80" s="200">
        <f t="shared" si="281"/>
        <v>104</v>
      </c>
      <c r="G80" s="472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3394</v>
      </c>
      <c r="B81" s="218">
        <v>111</v>
      </c>
      <c r="C81" s="218">
        <v>114</v>
      </c>
      <c r="D81" s="218">
        <f t="shared" si="246"/>
        <v>114</v>
      </c>
      <c r="E81" s="218">
        <v>108</v>
      </c>
      <c r="F81" s="219">
        <v>104</v>
      </c>
      <c r="G81" s="4727">
        <v>2003</v>
      </c>
      <c r="H81" s="207">
        <v>4</v>
      </c>
      <c r="I81" s="220"/>
      <c r="J81" s="220"/>
      <c r="K81" s="220"/>
      <c r="L81" s="220"/>
      <c r="N81" s="221"/>
      <c r="O81" s="220"/>
      <c r="P81" s="220"/>
      <c r="Q81" s="220"/>
      <c r="S81" s="221"/>
      <c r="T81" s="220"/>
      <c r="U81" s="220"/>
      <c r="V81" s="220"/>
      <c r="X81" s="212"/>
      <c r="Y81" s="212"/>
      <c r="Z81" s="212"/>
    </row>
    <row r="82" spans="1:26">
      <c r="A82" s="135" t="s">
        <v>3395</v>
      </c>
      <c r="B82" s="222">
        <f t="shared" ref="B82:C84" si="282">B83+(B$81-B$85)/4</f>
        <v>109.75</v>
      </c>
      <c r="C82" s="222">
        <f t="shared" si="282"/>
        <v>112.25</v>
      </c>
      <c r="D82" s="222">
        <f t="shared" si="246"/>
        <v>112.25</v>
      </c>
      <c r="E82" s="222">
        <f t="shared" ref="E82:F84" si="283">E83+(E$81-E$85)/4</f>
        <v>107.25</v>
      </c>
      <c r="F82" s="222">
        <f t="shared" si="283"/>
        <v>103.5</v>
      </c>
      <c r="G82" s="4728">
        <v>2003</v>
      </c>
      <c r="H82" s="172">
        <v>3</v>
      </c>
      <c r="I82" s="220"/>
      <c r="J82" s="220"/>
      <c r="K82" s="220"/>
      <c r="L82" s="220"/>
      <c r="X82" s="212"/>
      <c r="Y82" s="212"/>
      <c r="Z82" s="212"/>
    </row>
    <row r="83" spans="1:26">
      <c r="A83" s="135" t="s">
        <v>3396</v>
      </c>
      <c r="B83" s="222">
        <f t="shared" si="282"/>
        <v>108.5</v>
      </c>
      <c r="C83" s="222">
        <f t="shared" si="282"/>
        <v>110.5</v>
      </c>
      <c r="D83" s="222">
        <f t="shared" si="246"/>
        <v>110.5</v>
      </c>
      <c r="E83" s="222">
        <f t="shared" si="283"/>
        <v>106.5</v>
      </c>
      <c r="F83" s="222">
        <f t="shared" si="283"/>
        <v>103</v>
      </c>
      <c r="G83" s="4728">
        <v>2003</v>
      </c>
      <c r="H83" s="160">
        <v>2</v>
      </c>
      <c r="I83" s="220"/>
      <c r="J83" s="220"/>
      <c r="K83" s="220"/>
      <c r="L83" s="220"/>
      <c r="X83" s="212"/>
      <c r="Y83" s="212"/>
      <c r="Z83" s="212"/>
    </row>
    <row r="84" spans="1:26">
      <c r="A84" s="135" t="s">
        <v>3397</v>
      </c>
      <c r="B84" s="222">
        <f t="shared" si="282"/>
        <v>107.25</v>
      </c>
      <c r="C84" s="222">
        <f t="shared" si="282"/>
        <v>108.75</v>
      </c>
      <c r="D84" s="222">
        <f t="shared" si="246"/>
        <v>108.75</v>
      </c>
      <c r="E84" s="222">
        <f t="shared" si="283"/>
        <v>105.75</v>
      </c>
      <c r="F84" s="222">
        <f t="shared" si="283"/>
        <v>102.5</v>
      </c>
      <c r="G84" s="4729">
        <v>2003</v>
      </c>
      <c r="H84" s="223">
        <v>1</v>
      </c>
      <c r="I84" s="220"/>
      <c r="J84" s="220"/>
      <c r="K84" s="220"/>
      <c r="L84" s="220"/>
      <c r="S84" s="141"/>
      <c r="T84" s="134"/>
      <c r="U84" s="134"/>
      <c r="X84" s="212"/>
      <c r="Y84" s="212"/>
      <c r="Z84" s="212"/>
    </row>
    <row r="85" spans="1:26">
      <c r="A85" s="135" t="s">
        <v>3398</v>
      </c>
      <c r="B85" s="224">
        <v>106</v>
      </c>
      <c r="C85" s="224">
        <v>107</v>
      </c>
      <c r="D85" s="224">
        <f t="shared" si="246"/>
        <v>107</v>
      </c>
      <c r="E85" s="224">
        <v>105</v>
      </c>
      <c r="F85" s="225">
        <v>102</v>
      </c>
      <c r="G85" s="4727">
        <v>2002</v>
      </c>
      <c r="H85" s="167">
        <v>4</v>
      </c>
      <c r="I85" s="220"/>
      <c r="J85" s="220"/>
      <c r="K85" s="220"/>
      <c r="L85" s="220"/>
      <c r="N85" s="221"/>
      <c r="O85" s="220"/>
      <c r="P85" s="220"/>
      <c r="Q85" s="220"/>
      <c r="S85" s="221"/>
      <c r="T85" s="220"/>
      <c r="U85" s="220"/>
      <c r="V85" s="220"/>
      <c r="X85" s="212"/>
      <c r="Y85" s="212"/>
      <c r="Z85" s="212"/>
    </row>
    <row r="86" spans="1:26">
      <c r="A86" s="135" t="s">
        <v>3399</v>
      </c>
      <c r="B86" s="222">
        <f t="shared" ref="B86:C88" si="284">B87+(B$85-B$89)/4</f>
        <v>105</v>
      </c>
      <c r="C86" s="222">
        <f t="shared" si="284"/>
        <v>106</v>
      </c>
      <c r="D86" s="222">
        <f t="shared" si="246"/>
        <v>106</v>
      </c>
      <c r="E86" s="222">
        <f t="shared" ref="E86:F88" si="285">E87+(E$85-E$89)/4</f>
        <v>104.5</v>
      </c>
      <c r="F86" s="222">
        <f t="shared" si="285"/>
        <v>101.5</v>
      </c>
      <c r="G86" s="4728">
        <v>2002</v>
      </c>
      <c r="H86" s="172">
        <v>3</v>
      </c>
      <c r="I86" s="220"/>
      <c r="J86" s="220"/>
      <c r="K86" s="220"/>
      <c r="L86" s="220"/>
      <c r="X86" s="212"/>
      <c r="Y86" s="212"/>
      <c r="Z86" s="212"/>
    </row>
    <row r="87" spans="1:26">
      <c r="A87" s="135" t="s">
        <v>3400</v>
      </c>
      <c r="B87" s="222">
        <f t="shared" si="284"/>
        <v>104</v>
      </c>
      <c r="C87" s="222">
        <f t="shared" si="284"/>
        <v>105</v>
      </c>
      <c r="D87" s="222">
        <f t="shared" si="246"/>
        <v>105</v>
      </c>
      <c r="E87" s="222">
        <f t="shared" si="285"/>
        <v>104</v>
      </c>
      <c r="F87" s="222">
        <f t="shared" si="285"/>
        <v>101</v>
      </c>
      <c r="G87" s="4728">
        <v>2002</v>
      </c>
      <c r="H87" s="160">
        <v>2</v>
      </c>
      <c r="I87" s="220"/>
      <c r="J87" s="220"/>
      <c r="K87" s="220"/>
      <c r="L87" s="220"/>
      <c r="X87" s="212"/>
      <c r="Y87" s="212"/>
      <c r="Z87" s="212"/>
    </row>
    <row r="88" spans="1:26" s="114" customFormat="1">
      <c r="A88" s="180" t="s">
        <v>3401</v>
      </c>
      <c r="B88" s="187">
        <f t="shared" si="284"/>
        <v>103</v>
      </c>
      <c r="C88" s="187">
        <f t="shared" si="284"/>
        <v>104</v>
      </c>
      <c r="D88" s="187">
        <f t="shared" si="246"/>
        <v>104</v>
      </c>
      <c r="E88" s="187">
        <f t="shared" si="285"/>
        <v>103.5</v>
      </c>
      <c r="F88" s="187">
        <f t="shared" si="285"/>
        <v>100.5</v>
      </c>
      <c r="G88" s="472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2550</v>
      </c>
      <c r="G91" s="234"/>
      <c r="N91" s="234"/>
      <c r="S91" s="234"/>
    </row>
    <row r="92" spans="1:26" s="116" customFormat="1">
      <c r="A92" s="116" t="s">
        <v>3402</v>
      </c>
      <c r="G92" s="234"/>
      <c r="N92" s="234"/>
      <c r="S92" s="234"/>
    </row>
    <row r="93" spans="1:26" s="116" customFormat="1">
      <c r="A93" s="116" t="s">
        <v>3403</v>
      </c>
      <c r="G93" s="234"/>
      <c r="I93" s="235"/>
      <c r="J93" s="235"/>
      <c r="K93" s="235"/>
      <c r="L93" s="235"/>
      <c r="N93" s="236"/>
      <c r="O93" s="235"/>
      <c r="P93" s="235"/>
      <c r="Q93" s="235"/>
      <c r="S93" s="236"/>
      <c r="T93" s="235"/>
      <c r="U93" s="235"/>
      <c r="V93" s="235"/>
    </row>
    <row r="94" spans="1:26" s="116" customFormat="1">
      <c r="A94" s="116" t="s">
        <v>3404</v>
      </c>
      <c r="G94" s="234"/>
      <c r="N94" s="234"/>
      <c r="S94" s="234"/>
    </row>
    <row r="102" spans="7:22">
      <c r="G102" s="117"/>
      <c r="S102" s="237" t="s">
        <v>3405</v>
      </c>
      <c r="T102" s="238" t="s">
        <v>3406</v>
      </c>
      <c r="U102" s="238" t="s">
        <v>3407</v>
      </c>
      <c r="V102" s="238" t="s">
        <v>3408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36" t="s">
        <v>3409</v>
      </c>
      <c r="B1" s="4736"/>
      <c r="C1" s="4736"/>
      <c r="D1" s="4736"/>
      <c r="E1" s="4736"/>
      <c r="F1" s="4736"/>
      <c r="G1" s="473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3410</v>
      </c>
      <c r="B2" s="80"/>
      <c r="C2" s="80"/>
      <c r="D2" s="80"/>
      <c r="E2" s="80"/>
      <c r="F2" s="80"/>
      <c r="G2" s="81" t="s">
        <v>3411</v>
      </c>
      <c r="I2" s="82" t="s">
        <v>2894</v>
      </c>
      <c r="J2" s="82" t="s">
        <v>2899</v>
      </c>
      <c r="K2" s="82" t="s">
        <v>2919</v>
      </c>
      <c r="L2" s="82" t="s">
        <v>2944</v>
      </c>
      <c r="M2" s="82" t="s">
        <v>2976</v>
      </c>
      <c r="N2" s="82" t="s">
        <v>3016</v>
      </c>
      <c r="O2" s="82" t="s">
        <v>3079</v>
      </c>
      <c r="P2" s="82" t="s">
        <v>3123</v>
      </c>
      <c r="Q2" s="82" t="s">
        <v>3166</v>
      </c>
      <c r="R2" s="82" t="s">
        <v>3216</v>
      </c>
      <c r="S2" s="82" t="s">
        <v>3247</v>
      </c>
      <c r="T2" s="82" t="s">
        <v>3267</v>
      </c>
    </row>
    <row r="3" spans="1:20" s="74" customFormat="1">
      <c r="A3" s="4738" t="s">
        <v>2892</v>
      </c>
      <c r="B3" s="83"/>
      <c r="C3" s="84" t="s">
        <v>229</v>
      </c>
      <c r="D3" s="84" t="s">
        <v>230</v>
      </c>
      <c r="E3" s="84" t="s">
        <v>232</v>
      </c>
      <c r="F3" s="84" t="s">
        <v>233</v>
      </c>
      <c r="G3" s="84" t="s">
        <v>231</v>
      </c>
      <c r="H3" s="85"/>
      <c r="I3" s="86" t="s">
        <v>2895</v>
      </c>
      <c r="J3" s="87" t="s">
        <v>2900</v>
      </c>
      <c r="K3" s="87" t="s">
        <v>2920</v>
      </c>
      <c r="L3" s="86" t="s">
        <v>2945</v>
      </c>
      <c r="M3" s="86" t="s">
        <v>2977</v>
      </c>
      <c r="N3" s="86" t="s">
        <v>3017</v>
      </c>
      <c r="O3" s="86" t="s">
        <v>3080</v>
      </c>
      <c r="P3" s="86" t="s">
        <v>3124</v>
      </c>
      <c r="Q3" s="86" t="s">
        <v>3167</v>
      </c>
      <c r="R3" s="86" t="s">
        <v>3217</v>
      </c>
      <c r="S3" s="86" t="s">
        <v>3248</v>
      </c>
      <c r="T3" s="86" t="s">
        <v>3268</v>
      </c>
    </row>
    <row r="4" spans="1:20" s="74" customFormat="1">
      <c r="A4" s="4739"/>
      <c r="B4" s="88" t="s">
        <v>2893</v>
      </c>
      <c r="C4" s="88" t="s">
        <v>3412</v>
      </c>
      <c r="D4" s="88" t="s">
        <v>3412</v>
      </c>
      <c r="E4" s="88" t="s">
        <v>3412</v>
      </c>
      <c r="F4" s="89" t="s">
        <v>3412</v>
      </c>
      <c r="G4" s="89" t="s">
        <v>3412</v>
      </c>
      <c r="H4" s="85"/>
      <c r="I4" s="87" t="s">
        <v>2896</v>
      </c>
      <c r="J4" s="87" t="s">
        <v>2901</v>
      </c>
      <c r="K4" s="87" t="s">
        <v>2921</v>
      </c>
      <c r="L4" s="86" t="s">
        <v>2946</v>
      </c>
      <c r="M4" s="86" t="s">
        <v>2978</v>
      </c>
      <c r="N4" s="86" t="s">
        <v>3018</v>
      </c>
      <c r="O4" s="86" t="s">
        <v>3081</v>
      </c>
      <c r="P4" s="86" t="s">
        <v>3125</v>
      </c>
      <c r="Q4" s="86" t="s">
        <v>3168</v>
      </c>
      <c r="R4" s="86" t="s">
        <v>3218</v>
      </c>
      <c r="S4" s="86" t="s">
        <v>3249</v>
      </c>
      <c r="T4" s="86" t="s">
        <v>3269</v>
      </c>
    </row>
    <row r="5" spans="1:20">
      <c r="A5" s="90" t="s">
        <v>235</v>
      </c>
      <c r="B5" s="82" t="s">
        <v>2894</v>
      </c>
      <c r="C5" s="91">
        <v>34550</v>
      </c>
      <c r="D5" s="91">
        <v>34470</v>
      </c>
      <c r="E5" s="91">
        <v>34330</v>
      </c>
      <c r="F5" s="91">
        <v>13400</v>
      </c>
      <c r="G5" s="91">
        <v>25450</v>
      </c>
      <c r="H5" s="85"/>
      <c r="I5" s="86" t="s">
        <v>2897</v>
      </c>
      <c r="J5" s="87" t="s">
        <v>2902</v>
      </c>
      <c r="K5" s="87" t="s">
        <v>2922</v>
      </c>
      <c r="L5" s="86" t="s">
        <v>2947</v>
      </c>
      <c r="M5" s="86" t="s">
        <v>2979</v>
      </c>
      <c r="N5" s="86" t="s">
        <v>3019</v>
      </c>
      <c r="O5" s="86" t="s">
        <v>3082</v>
      </c>
      <c r="P5" s="86" t="s">
        <v>3126</v>
      </c>
      <c r="Q5" s="86" t="s">
        <v>3169</v>
      </c>
      <c r="R5" s="86" t="s">
        <v>3219</v>
      </c>
      <c r="S5" s="86" t="s">
        <v>3250</v>
      </c>
      <c r="T5" s="86" t="s">
        <v>3270</v>
      </c>
    </row>
    <row r="6" spans="1:20">
      <c r="A6" s="86" t="s">
        <v>235</v>
      </c>
      <c r="B6" s="86" t="s">
        <v>2895</v>
      </c>
      <c r="C6" s="92">
        <v>36990</v>
      </c>
      <c r="D6" s="92">
        <v>36850</v>
      </c>
      <c r="E6" s="92">
        <v>36700</v>
      </c>
      <c r="F6" s="92">
        <v>14590</v>
      </c>
      <c r="G6" s="92">
        <v>27450</v>
      </c>
      <c r="H6" s="85"/>
      <c r="I6" s="93" t="s">
        <v>2898</v>
      </c>
      <c r="J6" s="87" t="s">
        <v>2903</v>
      </c>
      <c r="K6" s="87" t="s">
        <v>2923</v>
      </c>
      <c r="L6" s="86" t="s">
        <v>2948</v>
      </c>
      <c r="M6" s="86" t="s">
        <v>2980</v>
      </c>
      <c r="N6" s="86" t="s">
        <v>3020</v>
      </c>
      <c r="O6" s="86" t="s">
        <v>3083</v>
      </c>
      <c r="P6" s="86" t="s">
        <v>3127</v>
      </c>
      <c r="Q6" s="86" t="s">
        <v>3170</v>
      </c>
      <c r="R6" s="86" t="s">
        <v>3220</v>
      </c>
      <c r="S6" s="86" t="s">
        <v>3251</v>
      </c>
      <c r="T6" s="86" t="s">
        <v>3271</v>
      </c>
    </row>
    <row r="7" spans="1:20">
      <c r="A7" s="86" t="s">
        <v>235</v>
      </c>
      <c r="B7" s="87" t="s">
        <v>2896</v>
      </c>
      <c r="C7" s="92">
        <v>34850</v>
      </c>
      <c r="D7" s="92">
        <v>34690</v>
      </c>
      <c r="E7" s="92">
        <v>34550</v>
      </c>
      <c r="F7" s="92">
        <v>14360</v>
      </c>
      <c r="G7" s="92">
        <v>25620</v>
      </c>
      <c r="H7" s="85"/>
      <c r="J7" s="87" t="s">
        <v>2904</v>
      </c>
      <c r="K7" s="87" t="s">
        <v>2924</v>
      </c>
      <c r="L7" s="86" t="s">
        <v>2949</v>
      </c>
      <c r="M7" s="86" t="s">
        <v>2981</v>
      </c>
      <c r="N7" s="86" t="s">
        <v>3021</v>
      </c>
      <c r="O7" s="86" t="s">
        <v>3084</v>
      </c>
      <c r="P7" s="86" t="s">
        <v>3128</v>
      </c>
      <c r="Q7" s="86" t="s">
        <v>3171</v>
      </c>
      <c r="R7" s="86" t="s">
        <v>3221</v>
      </c>
      <c r="S7" s="86" t="s">
        <v>3252</v>
      </c>
      <c r="T7" s="86" t="s">
        <v>3272</v>
      </c>
    </row>
    <row r="8" spans="1:20">
      <c r="A8" s="86" t="s">
        <v>235</v>
      </c>
      <c r="B8" s="86" t="s">
        <v>2897</v>
      </c>
      <c r="C8" s="92">
        <v>32630</v>
      </c>
      <c r="D8" s="92">
        <v>32510</v>
      </c>
      <c r="E8" s="92">
        <v>32420</v>
      </c>
      <c r="F8" s="92">
        <v>13300</v>
      </c>
      <c r="G8" s="92">
        <v>24010</v>
      </c>
      <c r="H8" s="85"/>
      <c r="J8" s="87" t="s">
        <v>2905</v>
      </c>
      <c r="K8" s="87" t="s">
        <v>2925</v>
      </c>
      <c r="L8" s="86" t="s">
        <v>2950</v>
      </c>
      <c r="M8" s="86" t="s">
        <v>2982</v>
      </c>
      <c r="N8" s="86" t="s">
        <v>3022</v>
      </c>
      <c r="O8" s="86" t="s">
        <v>3085</v>
      </c>
      <c r="P8" s="86" t="s">
        <v>3129</v>
      </c>
      <c r="Q8" s="86" t="s">
        <v>3172</v>
      </c>
      <c r="R8" s="86" t="s">
        <v>3222</v>
      </c>
      <c r="S8" s="86" t="s">
        <v>3253</v>
      </c>
      <c r="T8" s="94" t="s">
        <v>3273</v>
      </c>
    </row>
    <row r="9" spans="1:20">
      <c r="A9" s="95" t="s">
        <v>235</v>
      </c>
      <c r="B9" s="93" t="s">
        <v>2898</v>
      </c>
      <c r="C9" s="96">
        <v>36370</v>
      </c>
      <c r="D9" s="96">
        <v>36210</v>
      </c>
      <c r="E9" s="96">
        <v>36050</v>
      </c>
      <c r="F9" s="96"/>
      <c r="G9" s="96">
        <v>26740</v>
      </c>
      <c r="H9" s="85"/>
      <c r="J9" s="87" t="s">
        <v>2906</v>
      </c>
      <c r="K9" s="87" t="s">
        <v>2926</v>
      </c>
      <c r="L9" s="86" t="s">
        <v>2951</v>
      </c>
      <c r="M9" s="86" t="s">
        <v>2983</v>
      </c>
      <c r="N9" s="86" t="s">
        <v>3023</v>
      </c>
      <c r="O9" s="86" t="s">
        <v>3086</v>
      </c>
      <c r="P9" s="86" t="s">
        <v>3130</v>
      </c>
      <c r="Q9" s="86" t="s">
        <v>3173</v>
      </c>
      <c r="R9" s="86" t="s">
        <v>3223</v>
      </c>
      <c r="S9" s="86" t="s">
        <v>3254</v>
      </c>
    </row>
    <row r="10" spans="1:20">
      <c r="A10" s="90" t="s">
        <v>251</v>
      </c>
      <c r="B10" s="82" t="s">
        <v>2899</v>
      </c>
      <c r="C10" s="92">
        <v>32350</v>
      </c>
      <c r="D10" s="92">
        <v>31430</v>
      </c>
      <c r="E10" s="92">
        <v>31320</v>
      </c>
      <c r="F10" s="92">
        <v>10850</v>
      </c>
      <c r="G10" s="92">
        <v>22860</v>
      </c>
      <c r="H10" s="85"/>
      <c r="J10" s="87" t="s">
        <v>2907</v>
      </c>
      <c r="K10" s="87" t="s">
        <v>2927</v>
      </c>
      <c r="L10" s="86" t="s">
        <v>2952</v>
      </c>
      <c r="M10" s="86" t="s">
        <v>2984</v>
      </c>
      <c r="N10" s="86" t="s">
        <v>3024</v>
      </c>
      <c r="O10" s="86" t="s">
        <v>3087</v>
      </c>
      <c r="P10" s="86" t="s">
        <v>3131</v>
      </c>
      <c r="Q10" s="86" t="s">
        <v>3174</v>
      </c>
      <c r="R10" s="86" t="s">
        <v>3224</v>
      </c>
      <c r="S10" s="86" t="s">
        <v>3255</v>
      </c>
    </row>
    <row r="11" spans="1:20">
      <c r="A11" s="86" t="s">
        <v>251</v>
      </c>
      <c r="B11" s="87" t="s">
        <v>2900</v>
      </c>
      <c r="C11" s="92">
        <v>31590</v>
      </c>
      <c r="D11" s="92">
        <v>29490</v>
      </c>
      <c r="E11" s="92">
        <v>28700</v>
      </c>
      <c r="F11" s="92">
        <v>10410</v>
      </c>
      <c r="G11" s="92">
        <v>21460</v>
      </c>
      <c r="H11" s="85"/>
      <c r="J11" s="87" t="s">
        <v>2908</v>
      </c>
      <c r="K11" s="87" t="s">
        <v>2928</v>
      </c>
      <c r="L11" s="86" t="s">
        <v>2953</v>
      </c>
      <c r="M11" s="86" t="s">
        <v>2985</v>
      </c>
      <c r="N11" s="86" t="s">
        <v>3025</v>
      </c>
      <c r="O11" s="86" t="s">
        <v>3088</v>
      </c>
      <c r="P11" s="86" t="s">
        <v>3132</v>
      </c>
      <c r="Q11" s="86" t="s">
        <v>3175</v>
      </c>
      <c r="R11" s="86" t="s">
        <v>3225</v>
      </c>
      <c r="S11" s="86" t="s">
        <v>3256</v>
      </c>
    </row>
    <row r="12" spans="1:20">
      <c r="A12" s="86" t="s">
        <v>251</v>
      </c>
      <c r="B12" s="87" t="s">
        <v>2901</v>
      </c>
      <c r="C12" s="92">
        <v>29640</v>
      </c>
      <c r="D12" s="92">
        <v>27550</v>
      </c>
      <c r="E12" s="92">
        <v>28010</v>
      </c>
      <c r="F12" s="86">
        <v>8730</v>
      </c>
      <c r="G12" s="92">
        <v>20050</v>
      </c>
      <c r="H12" s="85"/>
      <c r="J12" s="87" t="s">
        <v>2909</v>
      </c>
      <c r="K12" s="87" t="s">
        <v>2929</v>
      </c>
      <c r="L12" s="86" t="s">
        <v>2954</v>
      </c>
      <c r="M12" s="86" t="s">
        <v>2986</v>
      </c>
      <c r="N12" s="86" t="s">
        <v>3026</v>
      </c>
      <c r="O12" s="86" t="s">
        <v>3089</v>
      </c>
      <c r="P12" s="86" t="s">
        <v>3133</v>
      </c>
      <c r="Q12" s="86" t="s">
        <v>3176</v>
      </c>
      <c r="R12" s="86" t="s">
        <v>3226</v>
      </c>
      <c r="S12" s="86" t="s">
        <v>3257</v>
      </c>
    </row>
    <row r="13" spans="1:20">
      <c r="A13" s="86" t="s">
        <v>251</v>
      </c>
      <c r="B13" s="87" t="s">
        <v>2902</v>
      </c>
      <c r="C13" s="92">
        <v>29680</v>
      </c>
      <c r="D13" s="92">
        <v>27660</v>
      </c>
      <c r="E13" s="92">
        <v>28210</v>
      </c>
      <c r="F13" s="92">
        <v>9590</v>
      </c>
      <c r="G13" s="92">
        <v>20120</v>
      </c>
      <c r="H13" s="85"/>
      <c r="J13" s="87" t="s">
        <v>2910</v>
      </c>
      <c r="K13" s="87" t="s">
        <v>2930</v>
      </c>
      <c r="L13" s="86" t="s">
        <v>2955</v>
      </c>
      <c r="M13" s="86" t="s">
        <v>2987</v>
      </c>
      <c r="N13" s="86" t="s">
        <v>3027</v>
      </c>
      <c r="O13" s="86" t="s">
        <v>3090</v>
      </c>
      <c r="P13" s="86" t="s">
        <v>3134</v>
      </c>
      <c r="Q13" s="86" t="s">
        <v>3177</v>
      </c>
      <c r="R13" s="86" t="s">
        <v>3227</v>
      </c>
      <c r="S13" s="86" t="s">
        <v>3258</v>
      </c>
    </row>
    <row r="14" spans="1:20">
      <c r="A14" s="86" t="s">
        <v>251</v>
      </c>
      <c r="B14" s="87" t="s">
        <v>2903</v>
      </c>
      <c r="C14" s="92">
        <v>30520</v>
      </c>
      <c r="D14" s="92">
        <v>29510</v>
      </c>
      <c r="E14" s="92">
        <v>29400</v>
      </c>
      <c r="F14" s="92">
        <v>9630</v>
      </c>
      <c r="G14" s="92">
        <v>21480</v>
      </c>
      <c r="H14" s="85"/>
      <c r="J14" s="87" t="s">
        <v>2911</v>
      </c>
      <c r="K14" s="87" t="s">
        <v>2931</v>
      </c>
      <c r="L14" s="86" t="s">
        <v>2956</v>
      </c>
      <c r="M14" s="86" t="s">
        <v>2988</v>
      </c>
      <c r="N14" s="86" t="s">
        <v>3028</v>
      </c>
      <c r="O14" s="86" t="s">
        <v>3091</v>
      </c>
      <c r="P14" s="86" t="s">
        <v>3135</v>
      </c>
      <c r="Q14" s="86" t="s">
        <v>3178</v>
      </c>
      <c r="R14" s="86" t="s">
        <v>3228</v>
      </c>
      <c r="S14" s="86" t="s">
        <v>3259</v>
      </c>
    </row>
    <row r="15" spans="1:20">
      <c r="A15" s="86" t="s">
        <v>251</v>
      </c>
      <c r="B15" s="87" t="s">
        <v>2904</v>
      </c>
      <c r="C15" s="92">
        <v>29090</v>
      </c>
      <c r="D15" s="92">
        <v>27590</v>
      </c>
      <c r="E15" s="92">
        <v>28120</v>
      </c>
      <c r="F15" s="92">
        <v>9110</v>
      </c>
      <c r="G15" s="92">
        <v>20070</v>
      </c>
      <c r="H15" s="85"/>
      <c r="J15" s="87" t="s">
        <v>2912</v>
      </c>
      <c r="K15" s="87" t="s">
        <v>2932</v>
      </c>
      <c r="L15" s="86" t="s">
        <v>2957</v>
      </c>
      <c r="M15" s="86" t="s">
        <v>2989</v>
      </c>
      <c r="N15" s="86" t="s">
        <v>3029</v>
      </c>
      <c r="O15" s="86" t="s">
        <v>3092</v>
      </c>
      <c r="P15" s="86" t="s">
        <v>3136</v>
      </c>
      <c r="Q15" s="86" t="s">
        <v>3179</v>
      </c>
      <c r="R15" s="86" t="s">
        <v>3229</v>
      </c>
      <c r="S15" s="86" t="s">
        <v>3260</v>
      </c>
    </row>
    <row r="16" spans="1:20">
      <c r="A16" s="86" t="s">
        <v>251</v>
      </c>
      <c r="B16" s="87" t="s">
        <v>2905</v>
      </c>
      <c r="C16" s="92">
        <v>26790</v>
      </c>
      <c r="D16" s="92">
        <v>30370</v>
      </c>
      <c r="E16" s="92">
        <v>30240</v>
      </c>
      <c r="F16" s="92">
        <v>11590</v>
      </c>
      <c r="G16" s="92">
        <v>22090</v>
      </c>
      <c r="H16" s="85"/>
      <c r="J16" s="87" t="s">
        <v>2913</v>
      </c>
      <c r="K16" s="87" t="s">
        <v>2933</v>
      </c>
      <c r="L16" s="86" t="s">
        <v>2958</v>
      </c>
      <c r="M16" s="86" t="s">
        <v>2990</v>
      </c>
      <c r="N16" s="86" t="s">
        <v>3030</v>
      </c>
      <c r="O16" s="86" t="s">
        <v>3093</v>
      </c>
      <c r="P16" s="86" t="s">
        <v>3137</v>
      </c>
      <c r="Q16" s="86" t="s">
        <v>3180</v>
      </c>
      <c r="R16" s="86" t="s">
        <v>3230</v>
      </c>
      <c r="S16" s="86" t="s">
        <v>3261</v>
      </c>
    </row>
    <row r="17" spans="1:19" ht="14.25" customHeight="1">
      <c r="A17" s="86" t="s">
        <v>251</v>
      </c>
      <c r="B17" s="87" t="s">
        <v>2906</v>
      </c>
      <c r="C17" s="92">
        <v>29180</v>
      </c>
      <c r="D17" s="92">
        <v>27620</v>
      </c>
      <c r="E17" s="92">
        <v>28180</v>
      </c>
      <c r="F17" s="92">
        <v>10790</v>
      </c>
      <c r="G17" s="92">
        <v>20090</v>
      </c>
      <c r="H17" s="85"/>
      <c r="J17" s="87" t="s">
        <v>2914</v>
      </c>
      <c r="K17" s="87" t="s">
        <v>2934</v>
      </c>
      <c r="L17" s="86" t="s">
        <v>2959</v>
      </c>
      <c r="M17" s="86" t="s">
        <v>2991</v>
      </c>
      <c r="N17" s="86" t="s">
        <v>3031</v>
      </c>
      <c r="O17" s="86" t="s">
        <v>3094</v>
      </c>
      <c r="P17" s="86" t="s">
        <v>3138</v>
      </c>
      <c r="Q17" s="86" t="s">
        <v>3181</v>
      </c>
      <c r="R17" s="86" t="s">
        <v>3231</v>
      </c>
      <c r="S17" s="86" t="s">
        <v>3262</v>
      </c>
    </row>
    <row r="18" spans="1:19" ht="14.25" customHeight="1">
      <c r="A18" s="86" t="s">
        <v>251</v>
      </c>
      <c r="B18" s="87" t="s">
        <v>2907</v>
      </c>
      <c r="C18" s="92">
        <v>26840</v>
      </c>
      <c r="D18" s="92">
        <v>28930</v>
      </c>
      <c r="E18" s="92">
        <v>28820</v>
      </c>
      <c r="F18" s="92"/>
      <c r="G18" s="92">
        <v>21050</v>
      </c>
      <c r="H18" s="85"/>
      <c r="J18" s="87" t="s">
        <v>2915</v>
      </c>
      <c r="K18" s="87" t="s">
        <v>2935</v>
      </c>
      <c r="L18" s="86" t="s">
        <v>2960</v>
      </c>
      <c r="M18" s="86" t="s">
        <v>2992</v>
      </c>
      <c r="N18" s="86" t="s">
        <v>3032</v>
      </c>
      <c r="O18" s="86" t="s">
        <v>3095</v>
      </c>
      <c r="P18" s="86" t="s">
        <v>3139</v>
      </c>
      <c r="Q18" s="86" t="s">
        <v>3182</v>
      </c>
      <c r="R18" s="86" t="s">
        <v>3232</v>
      </c>
      <c r="S18" s="86" t="s">
        <v>3263</v>
      </c>
    </row>
    <row r="19" spans="1:19" ht="14.25" customHeight="1">
      <c r="A19" s="86" t="s">
        <v>251</v>
      </c>
      <c r="B19" s="87" t="s">
        <v>2908</v>
      </c>
      <c r="C19" s="92">
        <v>27750</v>
      </c>
      <c r="D19" s="92">
        <v>26680</v>
      </c>
      <c r="E19" s="92">
        <v>26590</v>
      </c>
      <c r="F19" s="92"/>
      <c r="G19" s="92">
        <v>19420</v>
      </c>
      <c r="H19" s="85"/>
      <c r="J19" s="87" t="s">
        <v>2916</v>
      </c>
      <c r="K19" s="87" t="s">
        <v>2936</v>
      </c>
      <c r="L19" s="86" t="s">
        <v>2961</v>
      </c>
      <c r="M19" s="86" t="s">
        <v>2993</v>
      </c>
      <c r="N19" s="86" t="s">
        <v>3033</v>
      </c>
      <c r="O19" s="86" t="s">
        <v>3096</v>
      </c>
      <c r="P19" s="86" t="s">
        <v>3140</v>
      </c>
      <c r="Q19" s="86" t="s">
        <v>3183</v>
      </c>
      <c r="R19" s="86" t="s">
        <v>3233</v>
      </c>
      <c r="S19" s="86" t="s">
        <v>3264</v>
      </c>
    </row>
    <row r="20" spans="1:19" ht="14.25" customHeight="1">
      <c r="A20" s="86" t="s">
        <v>251</v>
      </c>
      <c r="B20" s="87" t="s">
        <v>2909</v>
      </c>
      <c r="C20" s="92">
        <v>27050</v>
      </c>
      <c r="D20" s="92">
        <v>29010</v>
      </c>
      <c r="E20" s="92">
        <v>28910</v>
      </c>
      <c r="F20" s="92"/>
      <c r="G20" s="92">
        <v>21110</v>
      </c>
      <c r="J20" s="87" t="s">
        <v>2917</v>
      </c>
      <c r="K20" s="87" t="s">
        <v>2937</v>
      </c>
      <c r="L20" s="86" t="s">
        <v>2962</v>
      </c>
      <c r="M20" s="86" t="s">
        <v>2994</v>
      </c>
      <c r="N20" s="86" t="s">
        <v>3034</v>
      </c>
      <c r="O20" s="86" t="s">
        <v>3097</v>
      </c>
      <c r="P20" s="86" t="s">
        <v>3141</v>
      </c>
      <c r="Q20" s="86" t="s">
        <v>3184</v>
      </c>
      <c r="R20" s="86" t="s">
        <v>3234</v>
      </c>
      <c r="S20" s="86" t="s">
        <v>3265</v>
      </c>
    </row>
    <row r="21" spans="1:19" ht="14.25" customHeight="1">
      <c r="A21" s="86" t="s">
        <v>251</v>
      </c>
      <c r="B21" s="87" t="s">
        <v>2910</v>
      </c>
      <c r="C21" s="92">
        <v>32370</v>
      </c>
      <c r="D21" s="92">
        <v>26730</v>
      </c>
      <c r="E21" s="92">
        <v>26640</v>
      </c>
      <c r="F21" s="92"/>
      <c r="G21" s="92">
        <v>19440</v>
      </c>
      <c r="J21" s="94" t="s">
        <v>2918</v>
      </c>
      <c r="K21" s="87" t="s">
        <v>2938</v>
      </c>
      <c r="L21" s="86" t="s">
        <v>2963</v>
      </c>
      <c r="M21" s="86" t="s">
        <v>2995</v>
      </c>
      <c r="N21" s="86" t="s">
        <v>3035</v>
      </c>
      <c r="O21" s="86" t="s">
        <v>3098</v>
      </c>
      <c r="P21" s="86" t="s">
        <v>3142</v>
      </c>
      <c r="Q21" s="86" t="s">
        <v>3185</v>
      </c>
      <c r="R21" s="86" t="s">
        <v>3235</v>
      </c>
      <c r="S21" s="94" t="s">
        <v>3266</v>
      </c>
    </row>
    <row r="22" spans="1:19" ht="14.25" customHeight="1">
      <c r="A22" s="86" t="s">
        <v>251</v>
      </c>
      <c r="B22" s="87" t="s">
        <v>2911</v>
      </c>
      <c r="C22" s="92">
        <v>29830</v>
      </c>
      <c r="D22" s="92">
        <v>27600</v>
      </c>
      <c r="E22" s="92">
        <v>28150</v>
      </c>
      <c r="F22" s="92"/>
      <c r="G22" s="92">
        <v>20080</v>
      </c>
      <c r="K22" s="87" t="s">
        <v>2939</v>
      </c>
      <c r="L22" s="86" t="s">
        <v>2964</v>
      </c>
      <c r="M22" s="86" t="s">
        <v>2996</v>
      </c>
      <c r="N22" s="86" t="s">
        <v>3036</v>
      </c>
      <c r="O22" s="86" t="s">
        <v>3099</v>
      </c>
      <c r="P22" s="86" t="s">
        <v>3143</v>
      </c>
      <c r="Q22" s="86" t="s">
        <v>3186</v>
      </c>
      <c r="R22" s="86" t="s">
        <v>3236</v>
      </c>
    </row>
    <row r="23" spans="1:19" ht="14.25" customHeight="1">
      <c r="A23" s="86" t="s">
        <v>251</v>
      </c>
      <c r="B23" s="87" t="s">
        <v>2912</v>
      </c>
      <c r="C23" s="92">
        <v>27800</v>
      </c>
      <c r="D23" s="92">
        <v>26900</v>
      </c>
      <c r="E23" s="92">
        <v>27170</v>
      </c>
      <c r="F23" s="92"/>
      <c r="G23" s="92">
        <v>19570</v>
      </c>
      <c r="K23" s="87" t="s">
        <v>2940</v>
      </c>
      <c r="L23" s="86" t="s">
        <v>2965</v>
      </c>
      <c r="M23" s="86" t="s">
        <v>2997</v>
      </c>
      <c r="N23" s="86" t="s">
        <v>3037</v>
      </c>
      <c r="O23" s="86" t="s">
        <v>3100</v>
      </c>
      <c r="P23" s="86" t="s">
        <v>3144</v>
      </c>
      <c r="Q23" s="86" t="s">
        <v>3187</v>
      </c>
      <c r="R23" s="86" t="s">
        <v>3237</v>
      </c>
    </row>
    <row r="24" spans="1:19" ht="14.25" customHeight="1">
      <c r="A24" s="86" t="s">
        <v>251</v>
      </c>
      <c r="B24" s="87" t="s">
        <v>2913</v>
      </c>
      <c r="C24" s="92">
        <v>27930</v>
      </c>
      <c r="D24" s="92">
        <v>32260</v>
      </c>
      <c r="E24" s="92">
        <v>32120</v>
      </c>
      <c r="F24" s="92"/>
      <c r="G24" s="92">
        <v>23470</v>
      </c>
      <c r="K24" s="87" t="s">
        <v>2941</v>
      </c>
      <c r="L24" s="86" t="s">
        <v>2966</v>
      </c>
      <c r="M24" s="86" t="s">
        <v>2998</v>
      </c>
      <c r="N24" s="86" t="s">
        <v>3038</v>
      </c>
      <c r="O24" s="86" t="s">
        <v>3101</v>
      </c>
      <c r="P24" s="86" t="s">
        <v>3145</v>
      </c>
      <c r="Q24" s="97" t="s">
        <v>3188</v>
      </c>
      <c r="R24" s="86" t="s">
        <v>3238</v>
      </c>
    </row>
    <row r="25" spans="1:19" ht="14.25" customHeight="1">
      <c r="A25" s="86" t="s">
        <v>251</v>
      </c>
      <c r="B25" s="87" t="s">
        <v>2914</v>
      </c>
      <c r="C25" s="92">
        <v>32230</v>
      </c>
      <c r="D25" s="92">
        <v>29640</v>
      </c>
      <c r="E25" s="92">
        <v>29510</v>
      </c>
      <c r="F25" s="92"/>
      <c r="G25" s="92">
        <v>21560</v>
      </c>
      <c r="K25" s="87" t="s">
        <v>2942</v>
      </c>
      <c r="L25" s="86" t="s">
        <v>2967</v>
      </c>
      <c r="M25" s="86" t="s">
        <v>2999</v>
      </c>
      <c r="N25" s="86" t="s">
        <v>3039</v>
      </c>
      <c r="O25" s="86" t="s">
        <v>3102</v>
      </c>
      <c r="P25" s="86" t="s">
        <v>3146</v>
      </c>
      <c r="Q25" s="97" t="s">
        <v>3189</v>
      </c>
      <c r="R25" s="86" t="s">
        <v>3239</v>
      </c>
    </row>
    <row r="26" spans="1:19" ht="14.25" customHeight="1">
      <c r="A26" s="86" t="s">
        <v>251</v>
      </c>
      <c r="B26" s="87" t="s">
        <v>2915</v>
      </c>
      <c r="C26" s="92">
        <v>31690</v>
      </c>
      <c r="D26" s="92">
        <v>27650</v>
      </c>
      <c r="E26" s="92">
        <v>28200</v>
      </c>
      <c r="F26" s="92"/>
      <c r="G26" s="92">
        <v>20110</v>
      </c>
      <c r="K26" s="93" t="s">
        <v>2943</v>
      </c>
      <c r="L26" s="86" t="s">
        <v>2968</v>
      </c>
      <c r="M26" s="86" t="s">
        <v>3000</v>
      </c>
      <c r="N26" s="86" t="s">
        <v>3040</v>
      </c>
      <c r="O26" s="86" t="s">
        <v>3103</v>
      </c>
      <c r="P26" s="86" t="s">
        <v>3147</v>
      </c>
      <c r="Q26" s="97" t="s">
        <v>3190</v>
      </c>
      <c r="R26" s="86" t="s">
        <v>3240</v>
      </c>
    </row>
    <row r="27" spans="1:19" ht="14.25" customHeight="1">
      <c r="A27" s="86" t="s">
        <v>251</v>
      </c>
      <c r="B27" s="87" t="s">
        <v>2916</v>
      </c>
      <c r="C27" s="92">
        <v>29610</v>
      </c>
      <c r="D27" s="92">
        <v>27770</v>
      </c>
      <c r="E27" s="92">
        <v>28300</v>
      </c>
      <c r="F27" s="92"/>
      <c r="G27" s="92">
        <v>20210</v>
      </c>
      <c r="L27" s="86" t="s">
        <v>2969</v>
      </c>
      <c r="M27" s="86" t="s">
        <v>3001</v>
      </c>
      <c r="N27" s="86" t="s">
        <v>3041</v>
      </c>
      <c r="O27" s="86" t="s">
        <v>3104</v>
      </c>
      <c r="P27" s="86" t="s">
        <v>3148</v>
      </c>
      <c r="Q27" s="86" t="s">
        <v>3191</v>
      </c>
      <c r="R27" s="86" t="s">
        <v>3241</v>
      </c>
    </row>
    <row r="28" spans="1:19" ht="14.25" customHeight="1">
      <c r="A28" s="86" t="s">
        <v>251</v>
      </c>
      <c r="B28" s="87" t="s">
        <v>2917</v>
      </c>
      <c r="C28" s="92"/>
      <c r="D28" s="92">
        <v>31520</v>
      </c>
      <c r="E28" s="92">
        <v>31410</v>
      </c>
      <c r="F28" s="92"/>
      <c r="G28" s="92">
        <v>22940</v>
      </c>
      <c r="L28" s="86" t="s">
        <v>2970</v>
      </c>
      <c r="M28" s="86" t="s">
        <v>3002</v>
      </c>
      <c r="N28" s="86" t="s">
        <v>3042</v>
      </c>
      <c r="O28" s="86" t="s">
        <v>3105</v>
      </c>
      <c r="P28" s="86" t="s">
        <v>3149</v>
      </c>
      <c r="Q28" s="86" t="s">
        <v>3192</v>
      </c>
      <c r="R28" s="86" t="s">
        <v>3242</v>
      </c>
    </row>
    <row r="29" spans="1:19" ht="14.25" customHeight="1">
      <c r="A29" s="95" t="s">
        <v>251</v>
      </c>
      <c r="B29" s="98" t="s">
        <v>2918</v>
      </c>
      <c r="C29" s="99"/>
      <c r="D29" s="99">
        <v>29460</v>
      </c>
      <c r="E29" s="99">
        <v>28640</v>
      </c>
      <c r="F29" s="99"/>
      <c r="G29" s="99">
        <v>21430</v>
      </c>
      <c r="L29" s="86" t="s">
        <v>2971</v>
      </c>
      <c r="M29" s="86" t="s">
        <v>3003</v>
      </c>
      <c r="N29" s="86" t="s">
        <v>3043</v>
      </c>
      <c r="O29" s="86" t="s">
        <v>3106</v>
      </c>
      <c r="P29" s="86" t="s">
        <v>3150</v>
      </c>
      <c r="Q29" s="86" t="s">
        <v>3193</v>
      </c>
      <c r="R29" s="86" t="s">
        <v>3243</v>
      </c>
    </row>
    <row r="30" spans="1:19" ht="14.25" customHeight="1">
      <c r="A30" s="90" t="s">
        <v>264</v>
      </c>
      <c r="B30" s="82" t="s">
        <v>2919</v>
      </c>
      <c r="C30" s="91">
        <v>26890</v>
      </c>
      <c r="D30" s="91">
        <v>26770</v>
      </c>
      <c r="E30" s="91">
        <v>25700</v>
      </c>
      <c r="F30" s="91">
        <v>8180</v>
      </c>
      <c r="G30" s="100">
        <v>18740</v>
      </c>
      <c r="L30" s="86" t="s">
        <v>2972</v>
      </c>
      <c r="M30" s="86" t="s">
        <v>3004</v>
      </c>
      <c r="N30" s="86" t="s">
        <v>3044</v>
      </c>
      <c r="O30" s="86" t="s">
        <v>3107</v>
      </c>
      <c r="P30" s="86" t="s">
        <v>3151</v>
      </c>
      <c r="Q30" s="86" t="s">
        <v>3194</v>
      </c>
      <c r="R30" s="86" t="s">
        <v>3244</v>
      </c>
    </row>
    <row r="31" spans="1:19" ht="14.25" customHeight="1">
      <c r="A31" s="86" t="s">
        <v>264</v>
      </c>
      <c r="B31" s="87" t="s">
        <v>2920</v>
      </c>
      <c r="C31" s="92">
        <v>24550</v>
      </c>
      <c r="D31" s="92">
        <v>23990</v>
      </c>
      <c r="E31" s="92">
        <v>22930</v>
      </c>
      <c r="F31" s="92">
        <v>7470</v>
      </c>
      <c r="G31" s="101">
        <v>16790</v>
      </c>
      <c r="L31" s="86" t="s">
        <v>2973</v>
      </c>
      <c r="M31" s="86" t="s">
        <v>3005</v>
      </c>
      <c r="N31" s="86" t="s">
        <v>3045</v>
      </c>
      <c r="O31" s="86" t="s">
        <v>3108</v>
      </c>
      <c r="P31" s="86" t="s">
        <v>3152</v>
      </c>
      <c r="Q31" s="86" t="s">
        <v>3195</v>
      </c>
      <c r="R31" s="86" t="s">
        <v>3245</v>
      </c>
    </row>
    <row r="32" spans="1:19" ht="14.25" customHeight="1">
      <c r="A32" s="86" t="s">
        <v>264</v>
      </c>
      <c r="B32" s="87" t="s">
        <v>2921</v>
      </c>
      <c r="C32" s="92">
        <v>27210</v>
      </c>
      <c r="D32" s="92">
        <v>23240</v>
      </c>
      <c r="E32" s="92">
        <v>23260</v>
      </c>
      <c r="F32" s="92">
        <v>7130</v>
      </c>
      <c r="G32" s="101">
        <v>16270</v>
      </c>
      <c r="L32" s="86" t="s">
        <v>2974</v>
      </c>
      <c r="M32" s="86" t="s">
        <v>3006</v>
      </c>
      <c r="N32" s="86" t="s">
        <v>3046</v>
      </c>
      <c r="O32" s="86" t="s">
        <v>3109</v>
      </c>
      <c r="P32" s="86" t="s">
        <v>3153</v>
      </c>
      <c r="Q32" s="86" t="s">
        <v>3196</v>
      </c>
      <c r="R32" s="94" t="s">
        <v>3246</v>
      </c>
    </row>
    <row r="33" spans="1:17" ht="14.25" customHeight="1">
      <c r="A33" s="86" t="s">
        <v>264</v>
      </c>
      <c r="B33" s="87" t="s">
        <v>2922</v>
      </c>
      <c r="C33" s="92">
        <v>27300</v>
      </c>
      <c r="D33" s="92">
        <v>22980</v>
      </c>
      <c r="E33" s="92">
        <v>24260</v>
      </c>
      <c r="F33" s="92">
        <v>5860</v>
      </c>
      <c r="G33" s="101">
        <v>16090</v>
      </c>
      <c r="L33" s="94" t="s">
        <v>2975</v>
      </c>
      <c r="M33" s="86" t="s">
        <v>3007</v>
      </c>
      <c r="N33" s="86" t="s">
        <v>3047</v>
      </c>
      <c r="O33" s="86" t="s">
        <v>3110</v>
      </c>
      <c r="P33" s="86" t="s">
        <v>3154</v>
      </c>
      <c r="Q33" s="86" t="s">
        <v>3197</v>
      </c>
    </row>
    <row r="34" spans="1:17" ht="14.25" customHeight="1">
      <c r="A34" s="86" t="s">
        <v>264</v>
      </c>
      <c r="B34" s="87" t="s">
        <v>2923</v>
      </c>
      <c r="C34" s="92">
        <v>23090</v>
      </c>
      <c r="D34" s="92">
        <v>23390</v>
      </c>
      <c r="E34" s="92">
        <v>23510</v>
      </c>
      <c r="F34" s="92">
        <v>6700</v>
      </c>
      <c r="G34" s="101">
        <v>16370</v>
      </c>
      <c r="M34" s="86" t="s">
        <v>3008</v>
      </c>
      <c r="N34" s="86" t="s">
        <v>3048</v>
      </c>
      <c r="O34" s="86" t="s">
        <v>3111</v>
      </c>
      <c r="P34" s="86" t="s">
        <v>3155</v>
      </c>
      <c r="Q34" s="86" t="s">
        <v>3198</v>
      </c>
    </row>
    <row r="35" spans="1:17" ht="14.25" customHeight="1">
      <c r="A35" s="86" t="s">
        <v>264</v>
      </c>
      <c r="B35" s="87" t="s">
        <v>2924</v>
      </c>
      <c r="C35" s="92">
        <v>27270</v>
      </c>
      <c r="D35" s="92">
        <v>24270</v>
      </c>
      <c r="E35" s="92">
        <v>24950</v>
      </c>
      <c r="F35" s="92">
        <v>6600</v>
      </c>
      <c r="G35" s="101">
        <v>16990</v>
      </c>
      <c r="M35" s="86" t="s">
        <v>3009</v>
      </c>
      <c r="N35" s="86" t="s">
        <v>3049</v>
      </c>
      <c r="O35" s="86" t="s">
        <v>3112</v>
      </c>
      <c r="P35" s="86" t="s">
        <v>3156</v>
      </c>
      <c r="Q35" s="86" t="s">
        <v>3199</v>
      </c>
    </row>
    <row r="36" spans="1:17" ht="14.25" customHeight="1">
      <c r="A36" s="86" t="s">
        <v>264</v>
      </c>
      <c r="B36" s="87" t="s">
        <v>2925</v>
      </c>
      <c r="C36" s="92">
        <v>23490</v>
      </c>
      <c r="D36" s="92">
        <v>23020</v>
      </c>
      <c r="E36" s="92">
        <v>25230</v>
      </c>
      <c r="F36" s="92">
        <v>6780</v>
      </c>
      <c r="G36" s="101">
        <v>16120</v>
      </c>
      <c r="M36" s="86" t="s">
        <v>3010</v>
      </c>
      <c r="N36" s="86" t="s">
        <v>3050</v>
      </c>
      <c r="O36" s="86" t="s">
        <v>3113</v>
      </c>
      <c r="P36" s="86" t="s">
        <v>3157</v>
      </c>
      <c r="Q36" s="86" t="s">
        <v>3200</v>
      </c>
    </row>
    <row r="37" spans="1:17" ht="14.25" customHeight="1">
      <c r="A37" s="86" t="s">
        <v>264</v>
      </c>
      <c r="B37" s="87" t="s">
        <v>2926</v>
      </c>
      <c r="C37" s="92">
        <v>24380</v>
      </c>
      <c r="D37" s="92">
        <v>22240</v>
      </c>
      <c r="E37" s="92">
        <v>25980</v>
      </c>
      <c r="F37" s="92">
        <v>8160</v>
      </c>
      <c r="G37" s="101">
        <v>15570</v>
      </c>
      <c r="M37" s="86" t="s">
        <v>3011</v>
      </c>
      <c r="N37" s="86" t="s">
        <v>3051</v>
      </c>
      <c r="O37" s="86" t="s">
        <v>3114</v>
      </c>
      <c r="P37" s="86" t="s">
        <v>3158</v>
      </c>
      <c r="Q37" s="86" t="s">
        <v>3201</v>
      </c>
    </row>
    <row r="38" spans="1:17" ht="14.25" customHeight="1">
      <c r="A38" s="86" t="s">
        <v>264</v>
      </c>
      <c r="B38" s="87" t="s">
        <v>2927</v>
      </c>
      <c r="C38" s="92">
        <v>23120</v>
      </c>
      <c r="D38" s="92">
        <v>24630</v>
      </c>
      <c r="E38" s="92">
        <v>25030</v>
      </c>
      <c r="F38" s="92">
        <v>7710</v>
      </c>
      <c r="G38" s="101">
        <v>17240</v>
      </c>
      <c r="M38" s="86" t="s">
        <v>3012</v>
      </c>
      <c r="N38" s="86" t="s">
        <v>3052</v>
      </c>
      <c r="O38" s="86" t="s">
        <v>3115</v>
      </c>
      <c r="P38" s="86" t="s">
        <v>3159</v>
      </c>
      <c r="Q38" s="86" t="s">
        <v>3202</v>
      </c>
    </row>
    <row r="39" spans="1:17" ht="14.25" customHeight="1">
      <c r="A39" s="86" t="s">
        <v>264</v>
      </c>
      <c r="B39" s="87" t="s">
        <v>2928</v>
      </c>
      <c r="C39" s="92">
        <v>22330</v>
      </c>
      <c r="D39" s="92">
        <v>21140</v>
      </c>
      <c r="E39" s="92">
        <v>23970</v>
      </c>
      <c r="F39" s="92">
        <v>7940</v>
      </c>
      <c r="G39" s="101">
        <v>14790</v>
      </c>
      <c r="M39" s="86" t="s">
        <v>3013</v>
      </c>
      <c r="N39" s="86" t="s">
        <v>3053</v>
      </c>
      <c r="O39" s="86" t="s">
        <v>3413</v>
      </c>
      <c r="P39" s="86" t="s">
        <v>3160</v>
      </c>
      <c r="Q39" s="86" t="s">
        <v>3203</v>
      </c>
    </row>
    <row r="40" spans="1:17" ht="14.25" customHeight="1">
      <c r="A40" s="86" t="s">
        <v>264</v>
      </c>
      <c r="B40" s="87" t="s">
        <v>2929</v>
      </c>
      <c r="C40" s="92">
        <v>24740</v>
      </c>
      <c r="D40" s="92">
        <v>24690</v>
      </c>
      <c r="E40" s="92">
        <v>22610</v>
      </c>
      <c r="F40" s="92"/>
      <c r="G40" s="101">
        <v>17280</v>
      </c>
      <c r="M40" s="86" t="s">
        <v>3014</v>
      </c>
      <c r="N40" s="86" t="s">
        <v>3054</v>
      </c>
      <c r="O40" s="86" t="s">
        <v>3414</v>
      </c>
      <c r="P40" s="86" t="s">
        <v>3161</v>
      </c>
      <c r="Q40" s="86" t="s">
        <v>3204</v>
      </c>
    </row>
    <row r="41" spans="1:17" ht="14.25" customHeight="1">
      <c r="A41" s="86" t="s">
        <v>264</v>
      </c>
      <c r="B41" s="87" t="s">
        <v>2930</v>
      </c>
      <c r="C41" s="92">
        <v>21220</v>
      </c>
      <c r="D41" s="92">
        <v>21120</v>
      </c>
      <c r="E41" s="92">
        <v>22590</v>
      </c>
      <c r="F41" s="92"/>
      <c r="G41" s="101">
        <v>14780</v>
      </c>
      <c r="M41" s="94" t="s">
        <v>3015</v>
      </c>
      <c r="N41" s="86" t="s">
        <v>3055</v>
      </c>
      <c r="O41" s="86" t="s">
        <v>3415</v>
      </c>
      <c r="P41" s="86" t="s">
        <v>3162</v>
      </c>
      <c r="Q41" s="86" t="s">
        <v>3205</v>
      </c>
    </row>
    <row r="42" spans="1:17" ht="14.25" customHeight="1">
      <c r="A42" s="86" t="s">
        <v>264</v>
      </c>
      <c r="B42" s="87" t="s">
        <v>2931</v>
      </c>
      <c r="C42" s="92">
        <v>24800</v>
      </c>
      <c r="D42" s="92">
        <v>22280</v>
      </c>
      <c r="E42" s="92">
        <v>24350</v>
      </c>
      <c r="F42" s="92"/>
      <c r="G42" s="101">
        <v>15590</v>
      </c>
      <c r="N42" s="86" t="s">
        <v>3056</v>
      </c>
      <c r="O42" s="86" t="s">
        <v>3119</v>
      </c>
      <c r="P42" s="86" t="s">
        <v>3163</v>
      </c>
      <c r="Q42" s="86" t="s">
        <v>3206</v>
      </c>
    </row>
    <row r="43" spans="1:17" ht="14.25" customHeight="1">
      <c r="A43" s="86" t="s">
        <v>264</v>
      </c>
      <c r="B43" s="87" t="s">
        <v>2932</v>
      </c>
      <c r="C43" s="92">
        <v>21210</v>
      </c>
      <c r="D43" s="92">
        <v>21160</v>
      </c>
      <c r="E43" s="92">
        <v>22650</v>
      </c>
      <c r="F43" s="92"/>
      <c r="G43" s="101">
        <v>14800</v>
      </c>
      <c r="N43" s="86" t="s">
        <v>3057</v>
      </c>
      <c r="O43" s="86" t="s">
        <v>3120</v>
      </c>
      <c r="P43" s="86" t="s">
        <v>3164</v>
      </c>
      <c r="Q43" s="86" t="s">
        <v>3207</v>
      </c>
    </row>
    <row r="44" spans="1:17" ht="14.25" customHeight="1">
      <c r="A44" s="86" t="s">
        <v>264</v>
      </c>
      <c r="B44" s="87" t="s">
        <v>2933</v>
      </c>
      <c r="C44" s="92">
        <v>22370</v>
      </c>
      <c r="D44" s="92">
        <v>23140</v>
      </c>
      <c r="E44" s="92">
        <v>25090</v>
      </c>
      <c r="F44" s="92"/>
      <c r="G44" s="101">
        <v>16190</v>
      </c>
      <c r="N44" s="86" t="s">
        <v>3058</v>
      </c>
      <c r="O44" s="86" t="s">
        <v>3416</v>
      </c>
      <c r="P44" s="94" t="s">
        <v>3165</v>
      </c>
      <c r="Q44" s="86" t="s">
        <v>3208</v>
      </c>
    </row>
    <row r="45" spans="1:17" ht="14.25" customHeight="1">
      <c r="A45" s="86" t="s">
        <v>264</v>
      </c>
      <c r="B45" s="87" t="s">
        <v>2934</v>
      </c>
      <c r="C45" s="92">
        <v>21240</v>
      </c>
      <c r="D45" s="92">
        <v>27050</v>
      </c>
      <c r="E45" s="92">
        <v>28000</v>
      </c>
      <c r="F45" s="92"/>
      <c r="G45" s="101">
        <v>18940</v>
      </c>
      <c r="N45" s="86" t="s">
        <v>3059</v>
      </c>
      <c r="O45" s="94" t="s">
        <v>3122</v>
      </c>
      <c r="Q45" s="86" t="s">
        <v>3209</v>
      </c>
    </row>
    <row r="46" spans="1:17" ht="14.25" customHeight="1">
      <c r="A46" s="86" t="s">
        <v>264</v>
      </c>
      <c r="B46" s="87" t="s">
        <v>2935</v>
      </c>
      <c r="C46" s="92">
        <v>23240</v>
      </c>
      <c r="D46" s="92">
        <v>23000</v>
      </c>
      <c r="E46" s="92">
        <v>24980</v>
      </c>
      <c r="F46" s="92"/>
      <c r="G46" s="101">
        <v>16100</v>
      </c>
      <c r="N46" s="86" t="s">
        <v>3060</v>
      </c>
      <c r="Q46" s="86" t="s">
        <v>3210</v>
      </c>
    </row>
    <row r="47" spans="1:17" ht="14.25" customHeight="1">
      <c r="A47" s="86" t="s">
        <v>264</v>
      </c>
      <c r="B47" s="87" t="s">
        <v>2936</v>
      </c>
      <c r="C47" s="92">
        <v>27150</v>
      </c>
      <c r="D47" s="92">
        <v>23310</v>
      </c>
      <c r="E47" s="92">
        <v>25150</v>
      </c>
      <c r="F47" s="92"/>
      <c r="G47" s="101">
        <v>16310</v>
      </c>
      <c r="N47" s="86" t="s">
        <v>3061</v>
      </c>
      <c r="Q47" s="86" t="s">
        <v>3211</v>
      </c>
    </row>
    <row r="48" spans="1:17" ht="14.25" customHeight="1">
      <c r="A48" s="86" t="s">
        <v>264</v>
      </c>
      <c r="B48" s="87" t="s">
        <v>2937</v>
      </c>
      <c r="C48" s="92">
        <v>23100</v>
      </c>
      <c r="D48" s="92">
        <v>21110</v>
      </c>
      <c r="E48" s="92">
        <v>23080</v>
      </c>
      <c r="F48" s="92"/>
      <c r="G48" s="101">
        <v>14780</v>
      </c>
      <c r="N48" s="86" t="s">
        <v>3062</v>
      </c>
      <c r="Q48" s="86" t="s">
        <v>3212</v>
      </c>
    </row>
    <row r="49" spans="1:17" ht="14.25" customHeight="1">
      <c r="A49" s="86" t="s">
        <v>264</v>
      </c>
      <c r="B49" s="87" t="s">
        <v>2938</v>
      </c>
      <c r="C49" s="92">
        <v>23400</v>
      </c>
      <c r="D49" s="92">
        <v>22920</v>
      </c>
      <c r="E49" s="92">
        <v>24900</v>
      </c>
      <c r="F49" s="92"/>
      <c r="G49" s="101">
        <v>16040</v>
      </c>
      <c r="N49" s="86" t="s">
        <v>3063</v>
      </c>
      <c r="Q49" s="86" t="s">
        <v>3213</v>
      </c>
    </row>
    <row r="50" spans="1:17" ht="14.25" customHeight="1">
      <c r="A50" s="86" t="s">
        <v>264</v>
      </c>
      <c r="B50" s="87" t="s">
        <v>2939</v>
      </c>
      <c r="C50" s="92">
        <v>21200</v>
      </c>
      <c r="D50" s="92">
        <v>26540</v>
      </c>
      <c r="E50" s="92">
        <v>23200</v>
      </c>
      <c r="F50" s="92"/>
      <c r="G50" s="101">
        <v>18580</v>
      </c>
      <c r="N50" s="86" t="s">
        <v>3064</v>
      </c>
      <c r="Q50" s="87" t="s">
        <v>3214</v>
      </c>
    </row>
    <row r="51" spans="1:17" ht="14.25" customHeight="1">
      <c r="A51" s="86" t="s">
        <v>264</v>
      </c>
      <c r="B51" s="87" t="s">
        <v>2940</v>
      </c>
      <c r="C51" s="92">
        <v>23000</v>
      </c>
      <c r="D51" s="92">
        <v>23460</v>
      </c>
      <c r="E51" s="92">
        <v>25290</v>
      </c>
      <c r="F51" s="92"/>
      <c r="G51" s="101">
        <v>16420</v>
      </c>
      <c r="N51" s="86" t="s">
        <v>3065</v>
      </c>
      <c r="Q51" s="94" t="s">
        <v>3215</v>
      </c>
    </row>
    <row r="52" spans="1:17" ht="14.25" customHeight="1">
      <c r="A52" s="86" t="s">
        <v>264</v>
      </c>
      <c r="B52" s="87" t="s">
        <v>2941</v>
      </c>
      <c r="C52" s="92">
        <v>26660</v>
      </c>
      <c r="D52" s="92">
        <v>22350</v>
      </c>
      <c r="E52" s="92">
        <v>22920</v>
      </c>
      <c r="F52" s="92"/>
      <c r="G52" s="101">
        <v>15640</v>
      </c>
      <c r="N52" s="86" t="s">
        <v>3066</v>
      </c>
    </row>
    <row r="53" spans="1:17" ht="14.25" customHeight="1">
      <c r="A53" s="86" t="s">
        <v>264</v>
      </c>
      <c r="B53" s="87" t="s">
        <v>2942</v>
      </c>
      <c r="C53" s="92">
        <v>23580</v>
      </c>
      <c r="D53" s="92"/>
      <c r="E53" s="92">
        <v>24280</v>
      </c>
      <c r="F53" s="92"/>
      <c r="G53" s="101"/>
      <c r="N53" s="86" t="s">
        <v>3067</v>
      </c>
    </row>
    <row r="54" spans="1:17" ht="14.25" customHeight="1">
      <c r="A54" s="102" t="s">
        <v>264</v>
      </c>
      <c r="B54" s="93" t="s">
        <v>2943</v>
      </c>
      <c r="C54" s="96">
        <v>22460</v>
      </c>
      <c r="D54" s="96"/>
      <c r="E54" s="96"/>
      <c r="F54" s="96"/>
      <c r="G54" s="103"/>
      <c r="N54" s="86" t="s">
        <v>3068</v>
      </c>
    </row>
    <row r="55" spans="1:17" ht="14.25" customHeight="1">
      <c r="A55" s="90" t="s">
        <v>275</v>
      </c>
      <c r="B55" s="82" t="s">
        <v>2944</v>
      </c>
      <c r="C55" s="92">
        <v>21970</v>
      </c>
      <c r="D55" s="92">
        <v>20370</v>
      </c>
      <c r="E55" s="92">
        <v>20180</v>
      </c>
      <c r="F55" s="92">
        <v>5730</v>
      </c>
      <c r="G55" s="92">
        <v>13820</v>
      </c>
      <c r="N55" s="86" t="s">
        <v>3069</v>
      </c>
    </row>
    <row r="56" spans="1:17" ht="14.25" customHeight="1">
      <c r="A56" s="86" t="s">
        <v>275</v>
      </c>
      <c r="B56" s="86" t="s">
        <v>2945</v>
      </c>
      <c r="C56" s="92">
        <v>20470</v>
      </c>
      <c r="D56" s="92">
        <v>20700</v>
      </c>
      <c r="E56" s="92">
        <v>20380</v>
      </c>
      <c r="F56" s="92">
        <v>4760</v>
      </c>
      <c r="G56" s="92">
        <v>14050</v>
      </c>
      <c r="N56" s="86" t="s">
        <v>3070</v>
      </c>
    </row>
    <row r="57" spans="1:17" ht="14.25" customHeight="1">
      <c r="A57" s="86" t="s">
        <v>275</v>
      </c>
      <c r="B57" s="86" t="s">
        <v>2946</v>
      </c>
      <c r="C57" s="92">
        <v>20790</v>
      </c>
      <c r="D57" s="92">
        <v>21370</v>
      </c>
      <c r="E57" s="92">
        <v>20890</v>
      </c>
      <c r="F57" s="92">
        <v>4910</v>
      </c>
      <c r="G57" s="92">
        <v>14510</v>
      </c>
      <c r="N57" s="86" t="s">
        <v>3071</v>
      </c>
    </row>
    <row r="58" spans="1:17" ht="14.25" customHeight="1">
      <c r="A58" s="86" t="s">
        <v>275</v>
      </c>
      <c r="B58" s="86" t="s">
        <v>2947</v>
      </c>
      <c r="C58" s="92">
        <v>21460</v>
      </c>
      <c r="D58" s="92">
        <v>20920</v>
      </c>
      <c r="E58" s="92">
        <v>23410</v>
      </c>
      <c r="F58" s="92">
        <v>5100</v>
      </c>
      <c r="G58" s="92">
        <v>14200</v>
      </c>
      <c r="N58" s="86" t="s">
        <v>3072</v>
      </c>
    </row>
    <row r="59" spans="1:17" ht="14.25" customHeight="1">
      <c r="A59" s="86" t="s">
        <v>275</v>
      </c>
      <c r="B59" s="86" t="s">
        <v>2948</v>
      </c>
      <c r="C59" s="92">
        <v>21000</v>
      </c>
      <c r="D59" s="92">
        <v>21550</v>
      </c>
      <c r="E59" s="92">
        <v>21150</v>
      </c>
      <c r="F59" s="92">
        <v>5250</v>
      </c>
      <c r="G59" s="92">
        <v>14630</v>
      </c>
      <c r="N59" s="86" t="s">
        <v>3073</v>
      </c>
    </row>
    <row r="60" spans="1:17" ht="14.25" customHeight="1">
      <c r="A60" s="86" t="s">
        <v>275</v>
      </c>
      <c r="B60" s="86" t="s">
        <v>2949</v>
      </c>
      <c r="C60" s="92">
        <v>21640</v>
      </c>
      <c r="D60" s="92">
        <v>21260</v>
      </c>
      <c r="E60" s="92">
        <v>24040</v>
      </c>
      <c r="F60" s="92">
        <v>4470</v>
      </c>
      <c r="G60" s="92">
        <v>14430</v>
      </c>
      <c r="N60" s="86" t="s">
        <v>3074</v>
      </c>
    </row>
    <row r="61" spans="1:17" ht="14.25" customHeight="1">
      <c r="A61" s="86" t="s">
        <v>275</v>
      </c>
      <c r="B61" s="86" t="s">
        <v>2950</v>
      </c>
      <c r="C61" s="92">
        <v>21330</v>
      </c>
      <c r="D61" s="92">
        <v>18640</v>
      </c>
      <c r="E61" s="92">
        <v>21190</v>
      </c>
      <c r="F61" s="92">
        <v>4180</v>
      </c>
      <c r="G61" s="92">
        <v>12650</v>
      </c>
      <c r="N61" s="86" t="s">
        <v>3075</v>
      </c>
    </row>
    <row r="62" spans="1:17" ht="14.25" customHeight="1">
      <c r="A62" s="86" t="s">
        <v>275</v>
      </c>
      <c r="B62" s="86" t="s">
        <v>2951</v>
      </c>
      <c r="C62" s="92">
        <v>18710</v>
      </c>
      <c r="D62" s="92">
        <v>19400</v>
      </c>
      <c r="E62" s="92">
        <v>23750</v>
      </c>
      <c r="F62" s="92">
        <v>4860</v>
      </c>
      <c r="G62" s="92">
        <v>13170</v>
      </c>
      <c r="N62" s="86" t="s">
        <v>3076</v>
      </c>
    </row>
    <row r="63" spans="1:17" ht="14.25" customHeight="1">
      <c r="A63" s="86" t="s">
        <v>275</v>
      </c>
      <c r="B63" s="86" t="s">
        <v>2952</v>
      </c>
      <c r="C63" s="92">
        <v>19480</v>
      </c>
      <c r="D63" s="92">
        <v>16830</v>
      </c>
      <c r="E63" s="92">
        <v>21590</v>
      </c>
      <c r="F63" s="92">
        <v>4560</v>
      </c>
      <c r="G63" s="92">
        <v>11420</v>
      </c>
      <c r="N63" s="86" t="s">
        <v>3077</v>
      </c>
    </row>
    <row r="64" spans="1:17" ht="14.25" customHeight="1">
      <c r="A64" s="86" t="s">
        <v>275</v>
      </c>
      <c r="B64" s="86" t="s">
        <v>2953</v>
      </c>
      <c r="C64" s="92">
        <v>16920</v>
      </c>
      <c r="D64" s="92">
        <v>19190</v>
      </c>
      <c r="E64" s="92">
        <v>22200</v>
      </c>
      <c r="F64" s="92">
        <v>4390</v>
      </c>
      <c r="G64" s="92">
        <v>13030</v>
      </c>
      <c r="N64" s="94" t="s">
        <v>3078</v>
      </c>
    </row>
    <row r="65" spans="1:7" s="75" customFormat="1" ht="14.25" customHeight="1">
      <c r="A65" s="86" t="s">
        <v>275</v>
      </c>
      <c r="B65" s="86" t="s">
        <v>2954</v>
      </c>
      <c r="C65" s="92">
        <v>19290</v>
      </c>
      <c r="D65" s="92">
        <v>17020</v>
      </c>
      <c r="E65" s="92">
        <v>19880</v>
      </c>
      <c r="F65" s="92">
        <v>4070</v>
      </c>
      <c r="G65" s="92">
        <v>11550</v>
      </c>
    </row>
    <row r="66" spans="1:7" s="75" customFormat="1" ht="14.25" customHeight="1">
      <c r="A66" s="86" t="s">
        <v>275</v>
      </c>
      <c r="B66" s="86" t="s">
        <v>2955</v>
      </c>
      <c r="C66" s="92">
        <v>17090</v>
      </c>
      <c r="D66" s="92">
        <v>18340</v>
      </c>
      <c r="E66" s="92">
        <v>21830</v>
      </c>
      <c r="F66" s="92">
        <v>4690</v>
      </c>
      <c r="G66" s="92">
        <v>12450</v>
      </c>
    </row>
    <row r="67" spans="1:7" s="75" customFormat="1" ht="14.25" customHeight="1">
      <c r="A67" s="86" t="s">
        <v>275</v>
      </c>
      <c r="B67" s="86" t="s">
        <v>2956</v>
      </c>
      <c r="C67" s="92">
        <v>18420</v>
      </c>
      <c r="D67" s="92">
        <v>16360</v>
      </c>
      <c r="E67" s="92">
        <v>20020</v>
      </c>
      <c r="F67" s="92">
        <v>5150</v>
      </c>
      <c r="G67" s="92">
        <v>11110</v>
      </c>
    </row>
    <row r="68" spans="1:7" s="75" customFormat="1" ht="14.25" customHeight="1">
      <c r="A68" s="86" t="s">
        <v>275</v>
      </c>
      <c r="B68" s="86" t="s">
        <v>2957</v>
      </c>
      <c r="C68" s="92">
        <v>16450</v>
      </c>
      <c r="D68" s="92">
        <v>18430</v>
      </c>
      <c r="E68" s="92">
        <v>21010</v>
      </c>
      <c r="F68" s="92">
        <v>4720</v>
      </c>
      <c r="G68" s="92">
        <v>12510</v>
      </c>
    </row>
    <row r="69" spans="1:7" s="75" customFormat="1" ht="14.25" customHeight="1">
      <c r="A69" s="86" t="s">
        <v>275</v>
      </c>
      <c r="B69" s="86" t="s">
        <v>2958</v>
      </c>
      <c r="C69" s="92">
        <v>18510</v>
      </c>
      <c r="D69" s="92">
        <v>16300</v>
      </c>
      <c r="E69" s="92">
        <v>18830</v>
      </c>
      <c r="F69" s="92">
        <v>5400</v>
      </c>
      <c r="G69" s="92">
        <v>11070</v>
      </c>
    </row>
    <row r="70" spans="1:7" s="75" customFormat="1" ht="14.25" customHeight="1">
      <c r="A70" s="86" t="s">
        <v>275</v>
      </c>
      <c r="B70" s="86" t="s">
        <v>2959</v>
      </c>
      <c r="C70" s="92">
        <v>16370</v>
      </c>
      <c r="D70" s="92">
        <v>18620</v>
      </c>
      <c r="E70" s="92">
        <v>21100</v>
      </c>
      <c r="F70" s="92">
        <v>5700</v>
      </c>
      <c r="G70" s="92">
        <v>12640</v>
      </c>
    </row>
    <row r="71" spans="1:7" s="75" customFormat="1" ht="14.25" customHeight="1">
      <c r="A71" s="86" t="s">
        <v>275</v>
      </c>
      <c r="B71" s="86" t="s">
        <v>2960</v>
      </c>
      <c r="C71" s="92">
        <v>18700</v>
      </c>
      <c r="D71" s="92">
        <v>16290</v>
      </c>
      <c r="E71" s="92">
        <v>18760</v>
      </c>
      <c r="F71" s="92">
        <v>4780</v>
      </c>
      <c r="G71" s="92">
        <v>11050</v>
      </c>
    </row>
    <row r="72" spans="1:7" s="75" customFormat="1" ht="14.25" customHeight="1">
      <c r="A72" s="86" t="s">
        <v>275</v>
      </c>
      <c r="B72" s="86" t="s">
        <v>2961</v>
      </c>
      <c r="C72" s="92">
        <v>16340</v>
      </c>
      <c r="D72" s="92">
        <v>17520</v>
      </c>
      <c r="E72" s="92">
        <v>21170</v>
      </c>
      <c r="F72" s="92"/>
      <c r="G72" s="92">
        <v>11900</v>
      </c>
    </row>
    <row r="73" spans="1:7" s="75" customFormat="1" ht="14.25" customHeight="1">
      <c r="A73" s="86" t="s">
        <v>275</v>
      </c>
      <c r="B73" s="86" t="s">
        <v>2962</v>
      </c>
      <c r="C73" s="92">
        <v>17610</v>
      </c>
      <c r="D73" s="92">
        <v>18520</v>
      </c>
      <c r="E73" s="92">
        <v>18720</v>
      </c>
      <c r="F73" s="92"/>
      <c r="G73" s="92">
        <v>12570</v>
      </c>
    </row>
    <row r="74" spans="1:7" s="75" customFormat="1" ht="14.25" customHeight="1">
      <c r="A74" s="86" t="s">
        <v>275</v>
      </c>
      <c r="B74" s="86" t="s">
        <v>2963</v>
      </c>
      <c r="C74" s="92">
        <v>18600</v>
      </c>
      <c r="D74" s="92">
        <v>16480</v>
      </c>
      <c r="E74" s="92">
        <v>20100</v>
      </c>
      <c r="F74" s="92"/>
      <c r="G74" s="92">
        <v>11190</v>
      </c>
    </row>
    <row r="75" spans="1:7" s="75" customFormat="1" ht="14.25" customHeight="1">
      <c r="A75" s="86" t="s">
        <v>275</v>
      </c>
      <c r="B75" s="86" t="s">
        <v>2964</v>
      </c>
      <c r="C75" s="92">
        <v>16570</v>
      </c>
      <c r="D75" s="92">
        <v>17530</v>
      </c>
      <c r="E75" s="92">
        <v>21030</v>
      </c>
      <c r="F75" s="92"/>
      <c r="G75" s="92">
        <v>11900</v>
      </c>
    </row>
    <row r="76" spans="1:7" s="75" customFormat="1" ht="14.25" customHeight="1">
      <c r="A76" s="86" t="s">
        <v>275</v>
      </c>
      <c r="B76" s="86" t="s">
        <v>2965</v>
      </c>
      <c r="C76" s="92">
        <v>17610</v>
      </c>
      <c r="D76" s="92">
        <v>20800</v>
      </c>
      <c r="E76" s="92">
        <v>18920</v>
      </c>
      <c r="F76" s="92"/>
      <c r="G76" s="92">
        <v>14120</v>
      </c>
    </row>
    <row r="77" spans="1:7" s="75" customFormat="1" ht="14.25" customHeight="1">
      <c r="A77" s="86" t="s">
        <v>275</v>
      </c>
      <c r="B77" s="86" t="s">
        <v>2966</v>
      </c>
      <c r="C77" s="92">
        <v>20890</v>
      </c>
      <c r="D77" s="92">
        <v>19740</v>
      </c>
      <c r="E77" s="92">
        <v>20110</v>
      </c>
      <c r="F77" s="92"/>
      <c r="G77" s="92">
        <v>13400</v>
      </c>
    </row>
    <row r="78" spans="1:7" s="75" customFormat="1" ht="14.25" customHeight="1">
      <c r="A78" s="86" t="s">
        <v>275</v>
      </c>
      <c r="B78" s="86" t="s">
        <v>2967</v>
      </c>
      <c r="C78" s="92">
        <v>19820</v>
      </c>
      <c r="D78" s="92">
        <v>19780</v>
      </c>
      <c r="E78" s="92">
        <v>18560</v>
      </c>
      <c r="F78" s="92"/>
      <c r="G78" s="92">
        <v>13430</v>
      </c>
    </row>
    <row r="79" spans="1:7" s="75" customFormat="1" ht="14.25" customHeight="1">
      <c r="A79" s="86" t="s">
        <v>275</v>
      </c>
      <c r="B79" s="86" t="s">
        <v>2968</v>
      </c>
      <c r="C79" s="92">
        <v>21660</v>
      </c>
      <c r="D79" s="92">
        <v>18000</v>
      </c>
      <c r="E79" s="92">
        <v>22570</v>
      </c>
      <c r="F79" s="92"/>
      <c r="G79" s="92">
        <v>12220</v>
      </c>
    </row>
    <row r="80" spans="1:7" s="75" customFormat="1" ht="14.25" customHeight="1">
      <c r="A80" s="86" t="s">
        <v>275</v>
      </c>
      <c r="B80" s="86" t="s">
        <v>2969</v>
      </c>
      <c r="C80" s="92">
        <v>19850</v>
      </c>
      <c r="D80" s="92"/>
      <c r="E80" s="92">
        <v>21700</v>
      </c>
      <c r="F80" s="92"/>
      <c r="G80" s="92"/>
    </row>
    <row r="81" spans="1:7" s="75" customFormat="1" ht="14.25" customHeight="1">
      <c r="A81" s="86" t="s">
        <v>275</v>
      </c>
      <c r="B81" s="86" t="s">
        <v>2970</v>
      </c>
      <c r="C81" s="92">
        <v>18080</v>
      </c>
      <c r="D81" s="92"/>
      <c r="E81" s="92">
        <v>20900</v>
      </c>
      <c r="F81" s="92"/>
      <c r="G81" s="92"/>
    </row>
    <row r="82" spans="1:7" s="75" customFormat="1" ht="14.25" customHeight="1">
      <c r="A82" s="86" t="s">
        <v>275</v>
      </c>
      <c r="B82" s="86" t="s">
        <v>2971</v>
      </c>
      <c r="C82" s="92"/>
      <c r="D82" s="92"/>
      <c r="E82" s="92">
        <v>20840</v>
      </c>
      <c r="F82" s="92"/>
      <c r="G82" s="92"/>
    </row>
    <row r="83" spans="1:7" s="75" customFormat="1" ht="14.25" customHeight="1">
      <c r="A83" s="86" t="s">
        <v>275</v>
      </c>
      <c r="B83" s="86" t="s">
        <v>2972</v>
      </c>
      <c r="C83" s="92"/>
      <c r="D83" s="92"/>
      <c r="E83" s="92"/>
      <c r="F83" s="92">
        <v>4770</v>
      </c>
      <c r="G83" s="92"/>
    </row>
    <row r="84" spans="1:7" s="75" customFormat="1" ht="14.25" customHeight="1">
      <c r="A84" s="86" t="s">
        <v>275</v>
      </c>
      <c r="B84" s="86" t="s">
        <v>2973</v>
      </c>
      <c r="C84" s="92"/>
      <c r="D84" s="92"/>
      <c r="E84" s="92"/>
      <c r="F84" s="92">
        <v>4600</v>
      </c>
      <c r="G84" s="92"/>
    </row>
    <row r="85" spans="1:7" s="75" customFormat="1" ht="14.25" customHeight="1">
      <c r="A85" s="86" t="s">
        <v>275</v>
      </c>
      <c r="B85" s="86" t="s">
        <v>2974</v>
      </c>
      <c r="C85" s="92"/>
      <c r="D85" s="92"/>
      <c r="E85" s="92"/>
      <c r="F85" s="92">
        <v>4680</v>
      </c>
      <c r="G85" s="92"/>
    </row>
    <row r="86" spans="1:7" s="75" customFormat="1" ht="14.25" customHeight="1">
      <c r="A86" s="95" t="s">
        <v>275</v>
      </c>
      <c r="B86" s="98" t="s">
        <v>2975</v>
      </c>
      <c r="C86" s="99">
        <v>16610</v>
      </c>
      <c r="D86" s="99">
        <v>16540</v>
      </c>
      <c r="E86" s="99">
        <v>18850</v>
      </c>
      <c r="F86" s="99"/>
      <c r="G86" s="99">
        <v>11220</v>
      </c>
    </row>
    <row r="87" spans="1:7" s="75" customFormat="1" ht="14.25" customHeight="1">
      <c r="A87" s="90" t="s">
        <v>286</v>
      </c>
      <c r="B87" s="82" t="s">
        <v>2976</v>
      </c>
      <c r="C87" s="91">
        <v>15240</v>
      </c>
      <c r="D87" s="91">
        <v>15170</v>
      </c>
      <c r="E87" s="91">
        <v>18260</v>
      </c>
      <c r="F87" s="91">
        <v>3830</v>
      </c>
      <c r="G87" s="100">
        <v>10020</v>
      </c>
    </row>
    <row r="88" spans="1:7" s="75" customFormat="1" ht="14.25" customHeight="1">
      <c r="A88" s="86" t="s">
        <v>286</v>
      </c>
      <c r="B88" s="86" t="s">
        <v>2977</v>
      </c>
      <c r="C88" s="92">
        <v>17310</v>
      </c>
      <c r="D88" s="92">
        <v>17220</v>
      </c>
      <c r="E88" s="92">
        <v>18610</v>
      </c>
      <c r="F88" s="92">
        <v>3990</v>
      </c>
      <c r="G88" s="101">
        <v>11380</v>
      </c>
    </row>
    <row r="89" spans="1:7" s="75" customFormat="1" ht="14.25" customHeight="1">
      <c r="A89" s="86" t="s">
        <v>286</v>
      </c>
      <c r="B89" s="86" t="s">
        <v>2978</v>
      </c>
      <c r="C89" s="92">
        <v>15600</v>
      </c>
      <c r="D89" s="92">
        <v>15550</v>
      </c>
      <c r="E89" s="92">
        <v>19200</v>
      </c>
      <c r="F89" s="92">
        <v>4110</v>
      </c>
      <c r="G89" s="101">
        <v>10270</v>
      </c>
    </row>
    <row r="90" spans="1:7" s="75" customFormat="1" ht="14.25" customHeight="1">
      <c r="A90" s="86" t="s">
        <v>286</v>
      </c>
      <c r="B90" s="86" t="s">
        <v>2979</v>
      </c>
      <c r="C90" s="92">
        <v>17330</v>
      </c>
      <c r="D90" s="92">
        <v>17240</v>
      </c>
      <c r="E90" s="92">
        <v>18570</v>
      </c>
      <c r="F90" s="92">
        <v>4070</v>
      </c>
      <c r="G90" s="101">
        <v>11390</v>
      </c>
    </row>
    <row r="91" spans="1:7" s="75" customFormat="1" ht="14.25" customHeight="1">
      <c r="A91" s="86" t="s">
        <v>286</v>
      </c>
      <c r="B91" s="86" t="s">
        <v>2980</v>
      </c>
      <c r="C91" s="92">
        <v>16330</v>
      </c>
      <c r="D91" s="92">
        <v>16260</v>
      </c>
      <c r="E91" s="92">
        <v>16800</v>
      </c>
      <c r="F91" s="92">
        <v>3410</v>
      </c>
      <c r="G91" s="101">
        <v>10740</v>
      </c>
    </row>
    <row r="92" spans="1:7" s="75" customFormat="1" ht="14.25" customHeight="1">
      <c r="A92" s="86" t="s">
        <v>286</v>
      </c>
      <c r="B92" s="86" t="s">
        <v>2981</v>
      </c>
      <c r="C92" s="92">
        <v>15570</v>
      </c>
      <c r="D92" s="92">
        <v>15500</v>
      </c>
      <c r="E92" s="92">
        <v>17360</v>
      </c>
      <c r="F92" s="92">
        <v>3510</v>
      </c>
      <c r="G92" s="101">
        <v>10240</v>
      </c>
    </row>
    <row r="93" spans="1:7" s="75" customFormat="1" ht="14.25" customHeight="1">
      <c r="A93" s="86" t="s">
        <v>286</v>
      </c>
      <c r="B93" s="86" t="s">
        <v>2982</v>
      </c>
      <c r="C93" s="92">
        <v>14000</v>
      </c>
      <c r="D93" s="92">
        <v>13930</v>
      </c>
      <c r="E93" s="92">
        <v>18200</v>
      </c>
      <c r="F93" s="92">
        <v>3640</v>
      </c>
      <c r="G93" s="101">
        <v>9210</v>
      </c>
    </row>
    <row r="94" spans="1:7" s="75" customFormat="1" ht="14.25" customHeight="1">
      <c r="A94" s="86" t="s">
        <v>286</v>
      </c>
      <c r="B94" s="86" t="s">
        <v>2983</v>
      </c>
      <c r="C94" s="92">
        <v>14530</v>
      </c>
      <c r="D94" s="92">
        <v>14470</v>
      </c>
      <c r="E94" s="92">
        <v>18240</v>
      </c>
      <c r="F94" s="92">
        <v>3180</v>
      </c>
      <c r="G94" s="101">
        <v>9560</v>
      </c>
    </row>
    <row r="95" spans="1:7" s="75" customFormat="1" ht="14.25" customHeight="1">
      <c r="A95" s="86" t="s">
        <v>286</v>
      </c>
      <c r="B95" s="86" t="s">
        <v>2984</v>
      </c>
      <c r="C95" s="92">
        <v>17330</v>
      </c>
      <c r="D95" s="92">
        <v>17260</v>
      </c>
      <c r="E95" s="92">
        <v>18420</v>
      </c>
      <c r="F95" s="92">
        <v>3060</v>
      </c>
      <c r="G95" s="101">
        <v>11410</v>
      </c>
    </row>
    <row r="96" spans="1:7" s="75" customFormat="1" ht="14.25" customHeight="1">
      <c r="A96" s="86" t="s">
        <v>286</v>
      </c>
      <c r="B96" s="86" t="s">
        <v>2985</v>
      </c>
      <c r="C96" s="92">
        <v>15030</v>
      </c>
      <c r="D96" s="92">
        <v>14970</v>
      </c>
      <c r="E96" s="92">
        <v>17580</v>
      </c>
      <c r="F96" s="92">
        <v>2970</v>
      </c>
      <c r="G96" s="101">
        <v>9890</v>
      </c>
    </row>
    <row r="97" spans="1:7" s="75" customFormat="1" ht="14.25" customHeight="1">
      <c r="A97" s="86" t="s">
        <v>286</v>
      </c>
      <c r="B97" s="86" t="s">
        <v>2986</v>
      </c>
      <c r="C97" s="92">
        <v>17400</v>
      </c>
      <c r="D97" s="92">
        <v>17330</v>
      </c>
      <c r="E97" s="92">
        <v>16430</v>
      </c>
      <c r="F97" s="92">
        <v>2950</v>
      </c>
      <c r="G97" s="101">
        <v>11450</v>
      </c>
    </row>
    <row r="98" spans="1:7" s="75" customFormat="1" ht="14.25" customHeight="1">
      <c r="A98" s="86" t="s">
        <v>286</v>
      </c>
      <c r="B98" s="86" t="s">
        <v>2987</v>
      </c>
      <c r="C98" s="92">
        <v>15200</v>
      </c>
      <c r="D98" s="92">
        <v>15120</v>
      </c>
      <c r="E98" s="92">
        <v>17550</v>
      </c>
      <c r="F98" s="92">
        <v>3080</v>
      </c>
      <c r="G98" s="101">
        <v>9990</v>
      </c>
    </row>
    <row r="99" spans="1:7" s="75" customFormat="1" ht="14.25" customHeight="1">
      <c r="A99" s="86" t="s">
        <v>286</v>
      </c>
      <c r="B99" s="86" t="s">
        <v>2988</v>
      </c>
      <c r="C99" s="92">
        <v>17520</v>
      </c>
      <c r="D99" s="92">
        <v>17430</v>
      </c>
      <c r="E99" s="92">
        <v>16350</v>
      </c>
      <c r="F99" s="92">
        <v>3260</v>
      </c>
      <c r="G99" s="101">
        <v>11510</v>
      </c>
    </row>
    <row r="100" spans="1:7" s="75" customFormat="1" ht="14.25" customHeight="1">
      <c r="A100" s="86" t="s">
        <v>286</v>
      </c>
      <c r="B100" s="86" t="s">
        <v>2989</v>
      </c>
      <c r="C100" s="92">
        <v>15340</v>
      </c>
      <c r="D100" s="92">
        <v>15260</v>
      </c>
      <c r="E100" s="92">
        <v>15930</v>
      </c>
      <c r="F100" s="92">
        <v>2740</v>
      </c>
      <c r="G100" s="101">
        <v>10080</v>
      </c>
    </row>
    <row r="101" spans="1:7" s="75" customFormat="1" ht="14.25" customHeight="1">
      <c r="A101" s="86" t="s">
        <v>286</v>
      </c>
      <c r="B101" s="86" t="s">
        <v>2990</v>
      </c>
      <c r="C101" s="92">
        <v>14620</v>
      </c>
      <c r="D101" s="92">
        <v>14560</v>
      </c>
      <c r="E101" s="92">
        <v>15570</v>
      </c>
      <c r="F101" s="92">
        <v>3500</v>
      </c>
      <c r="G101" s="101">
        <v>9630</v>
      </c>
    </row>
    <row r="102" spans="1:7" s="75" customFormat="1" ht="14.25" customHeight="1">
      <c r="A102" s="86" t="s">
        <v>286</v>
      </c>
      <c r="B102" s="86" t="s">
        <v>2991</v>
      </c>
      <c r="C102" s="92">
        <v>13680</v>
      </c>
      <c r="D102" s="92">
        <v>13610</v>
      </c>
      <c r="E102" s="92">
        <v>15690</v>
      </c>
      <c r="F102" s="92">
        <v>2870</v>
      </c>
      <c r="G102" s="101">
        <v>8990</v>
      </c>
    </row>
    <row r="103" spans="1:7" s="75" customFormat="1" ht="14.25" customHeight="1">
      <c r="A103" s="86" t="s">
        <v>286</v>
      </c>
      <c r="B103" s="86" t="s">
        <v>2992</v>
      </c>
      <c r="C103" s="92">
        <v>14620</v>
      </c>
      <c r="D103" s="92">
        <v>14540</v>
      </c>
      <c r="E103" s="92">
        <v>15240</v>
      </c>
      <c r="F103" s="92">
        <v>2840</v>
      </c>
      <c r="G103" s="101">
        <v>9610</v>
      </c>
    </row>
    <row r="104" spans="1:7" s="75" customFormat="1" ht="14.25" customHeight="1">
      <c r="A104" s="86" t="s">
        <v>286</v>
      </c>
      <c r="B104" s="86" t="s">
        <v>2993</v>
      </c>
      <c r="C104" s="92">
        <v>13610</v>
      </c>
      <c r="D104" s="92">
        <v>13540</v>
      </c>
      <c r="E104" s="92">
        <v>15750</v>
      </c>
      <c r="F104" s="92">
        <v>2770</v>
      </c>
      <c r="G104" s="101">
        <v>8940</v>
      </c>
    </row>
    <row r="105" spans="1:7" s="75" customFormat="1" ht="14.25" customHeight="1">
      <c r="A105" s="86" t="s">
        <v>286</v>
      </c>
      <c r="B105" s="86" t="s">
        <v>2994</v>
      </c>
      <c r="C105" s="92">
        <v>13310</v>
      </c>
      <c r="D105" s="92">
        <v>13240</v>
      </c>
      <c r="E105" s="92">
        <v>16280</v>
      </c>
      <c r="F105" s="92">
        <v>3210</v>
      </c>
      <c r="G105" s="101">
        <v>8750</v>
      </c>
    </row>
    <row r="106" spans="1:7" s="75" customFormat="1" ht="14.25" customHeight="1">
      <c r="A106" s="86" t="s">
        <v>286</v>
      </c>
      <c r="B106" s="86" t="s">
        <v>2995</v>
      </c>
      <c r="C106" s="92">
        <v>13010</v>
      </c>
      <c r="D106" s="92">
        <v>12930</v>
      </c>
      <c r="E106" s="92">
        <v>14960</v>
      </c>
      <c r="F106" s="92">
        <v>3530</v>
      </c>
      <c r="G106" s="101">
        <v>8550</v>
      </c>
    </row>
    <row r="107" spans="1:7" s="75" customFormat="1" ht="14.25" customHeight="1">
      <c r="A107" s="86" t="s">
        <v>286</v>
      </c>
      <c r="B107" s="86" t="s">
        <v>2996</v>
      </c>
      <c r="C107" s="92">
        <v>13070</v>
      </c>
      <c r="D107" s="92">
        <v>13000</v>
      </c>
      <c r="E107" s="92">
        <v>15910</v>
      </c>
      <c r="F107" s="92">
        <v>3990</v>
      </c>
      <c r="G107" s="101">
        <v>8580</v>
      </c>
    </row>
    <row r="108" spans="1:7" s="75" customFormat="1" ht="14.25" customHeight="1">
      <c r="A108" s="86" t="s">
        <v>286</v>
      </c>
      <c r="B108" s="86" t="s">
        <v>2997</v>
      </c>
      <c r="C108" s="92">
        <v>12640</v>
      </c>
      <c r="D108" s="92">
        <v>12580</v>
      </c>
      <c r="E108" s="92">
        <v>15730</v>
      </c>
      <c r="F108" s="92"/>
      <c r="G108" s="101">
        <v>8310</v>
      </c>
    </row>
    <row r="109" spans="1:7" s="75" customFormat="1" ht="14.25" customHeight="1">
      <c r="A109" s="86" t="s">
        <v>286</v>
      </c>
      <c r="B109" s="86" t="s">
        <v>2998</v>
      </c>
      <c r="C109" s="92">
        <v>13130</v>
      </c>
      <c r="D109" s="92">
        <v>13070</v>
      </c>
      <c r="E109" s="92">
        <v>15000</v>
      </c>
      <c r="F109" s="92"/>
      <c r="G109" s="101">
        <v>8630</v>
      </c>
    </row>
    <row r="110" spans="1:7" s="75" customFormat="1" ht="14.25" customHeight="1">
      <c r="A110" s="86" t="s">
        <v>286</v>
      </c>
      <c r="B110" s="86" t="s">
        <v>2999</v>
      </c>
      <c r="C110" s="92">
        <v>13560</v>
      </c>
      <c r="D110" s="92">
        <v>13490</v>
      </c>
      <c r="E110" s="92">
        <v>16300</v>
      </c>
      <c r="F110" s="92"/>
      <c r="G110" s="101">
        <v>8920</v>
      </c>
    </row>
    <row r="111" spans="1:7" s="75" customFormat="1" ht="14.25" customHeight="1">
      <c r="A111" s="86" t="s">
        <v>286</v>
      </c>
      <c r="B111" s="86" t="s">
        <v>3000</v>
      </c>
      <c r="C111" s="92">
        <v>12440</v>
      </c>
      <c r="D111" s="92">
        <v>12380</v>
      </c>
      <c r="E111" s="92">
        <v>17850</v>
      </c>
      <c r="F111" s="92"/>
      <c r="G111" s="101">
        <v>8180</v>
      </c>
    </row>
    <row r="112" spans="1:7" s="75" customFormat="1" ht="14.25" customHeight="1">
      <c r="A112" s="86" t="s">
        <v>286</v>
      </c>
      <c r="B112" s="86" t="s">
        <v>3001</v>
      </c>
      <c r="C112" s="92">
        <v>13260</v>
      </c>
      <c r="D112" s="92">
        <v>13180</v>
      </c>
      <c r="E112" s="92">
        <v>19740</v>
      </c>
      <c r="F112" s="92"/>
      <c r="G112" s="101">
        <v>8710</v>
      </c>
    </row>
    <row r="113" spans="1:7" s="75" customFormat="1" ht="14.25" customHeight="1">
      <c r="A113" s="86" t="s">
        <v>286</v>
      </c>
      <c r="B113" s="86" t="s">
        <v>3002</v>
      </c>
      <c r="C113" s="92">
        <v>15520</v>
      </c>
      <c r="D113" s="92">
        <v>15450</v>
      </c>
      <c r="E113" s="92"/>
      <c r="F113" s="92"/>
      <c r="G113" s="101">
        <v>10210</v>
      </c>
    </row>
    <row r="114" spans="1:7" s="75" customFormat="1" ht="14.25" customHeight="1">
      <c r="A114" s="86" t="s">
        <v>286</v>
      </c>
      <c r="B114" s="86" t="s">
        <v>3003</v>
      </c>
      <c r="C114" s="92">
        <v>13110</v>
      </c>
      <c r="D114" s="92">
        <v>13050</v>
      </c>
      <c r="E114" s="92"/>
      <c r="F114" s="92"/>
      <c r="G114" s="101">
        <v>8620</v>
      </c>
    </row>
    <row r="115" spans="1:7" s="75" customFormat="1" ht="14.25" customHeight="1">
      <c r="A115" s="86" t="s">
        <v>286</v>
      </c>
      <c r="B115" s="86" t="s">
        <v>3004</v>
      </c>
      <c r="C115" s="92">
        <v>12460</v>
      </c>
      <c r="D115" s="92">
        <v>12390</v>
      </c>
      <c r="E115" s="92"/>
      <c r="F115" s="92"/>
      <c r="G115" s="101">
        <v>8190</v>
      </c>
    </row>
    <row r="116" spans="1:7" s="75" customFormat="1" ht="14.25" customHeight="1">
      <c r="A116" s="86" t="s">
        <v>286</v>
      </c>
      <c r="B116" s="86" t="s">
        <v>3005</v>
      </c>
      <c r="C116" s="92">
        <v>13580</v>
      </c>
      <c r="D116" s="92">
        <v>13520</v>
      </c>
      <c r="E116" s="92"/>
      <c r="F116" s="92"/>
      <c r="G116" s="101">
        <v>8930</v>
      </c>
    </row>
    <row r="117" spans="1:7" s="75" customFormat="1" ht="14.25" customHeight="1">
      <c r="A117" s="86" t="s">
        <v>286</v>
      </c>
      <c r="B117" s="86" t="s">
        <v>3006</v>
      </c>
      <c r="C117" s="92">
        <v>17120</v>
      </c>
      <c r="D117" s="92">
        <v>17040</v>
      </c>
      <c r="E117" s="92"/>
      <c r="F117" s="92"/>
      <c r="G117" s="101">
        <v>11260</v>
      </c>
    </row>
    <row r="118" spans="1:7" s="75" customFormat="1" ht="14.25" customHeight="1">
      <c r="A118" s="86" t="s">
        <v>286</v>
      </c>
      <c r="B118" s="86" t="s">
        <v>3007</v>
      </c>
      <c r="C118" s="92">
        <v>14860</v>
      </c>
      <c r="D118" s="92">
        <v>14790</v>
      </c>
      <c r="E118" s="92"/>
      <c r="F118" s="92"/>
      <c r="G118" s="101">
        <v>9780</v>
      </c>
    </row>
    <row r="119" spans="1:7" s="75" customFormat="1" ht="14.25" customHeight="1">
      <c r="A119" s="86" t="s">
        <v>286</v>
      </c>
      <c r="B119" s="86" t="s">
        <v>3008</v>
      </c>
      <c r="C119" s="92">
        <v>16470</v>
      </c>
      <c r="D119" s="92">
        <v>16400</v>
      </c>
      <c r="E119" s="92"/>
      <c r="F119" s="92"/>
      <c r="G119" s="101">
        <v>10840</v>
      </c>
    </row>
    <row r="120" spans="1:7" s="75" customFormat="1" ht="14.25" customHeight="1">
      <c r="A120" s="86" t="s">
        <v>286</v>
      </c>
      <c r="B120" s="86" t="s">
        <v>3009</v>
      </c>
      <c r="C120" s="92"/>
      <c r="D120" s="92"/>
      <c r="E120" s="92"/>
      <c r="F120" s="92">
        <v>4160</v>
      </c>
      <c r="G120" s="101"/>
    </row>
    <row r="121" spans="1:7" s="75" customFormat="1" ht="14.25" customHeight="1">
      <c r="A121" s="86" t="s">
        <v>286</v>
      </c>
      <c r="B121" s="86" t="s">
        <v>3010</v>
      </c>
      <c r="C121" s="92"/>
      <c r="D121" s="92"/>
      <c r="E121" s="92"/>
      <c r="F121" s="92">
        <v>3880</v>
      </c>
      <c r="G121" s="101"/>
    </row>
    <row r="122" spans="1:7" s="75" customFormat="1" ht="14.25" customHeight="1">
      <c r="A122" s="86" t="s">
        <v>286</v>
      </c>
      <c r="B122" s="86" t="s">
        <v>3011</v>
      </c>
      <c r="C122" s="92">
        <v>13750</v>
      </c>
      <c r="D122" s="92">
        <v>13680</v>
      </c>
      <c r="E122" s="92">
        <v>16460</v>
      </c>
      <c r="F122" s="92">
        <v>2880</v>
      </c>
      <c r="G122" s="101">
        <v>9040</v>
      </c>
    </row>
    <row r="123" spans="1:7" s="75" customFormat="1" ht="14.25" customHeight="1">
      <c r="A123" s="86" t="s">
        <v>286</v>
      </c>
      <c r="B123" s="86" t="s">
        <v>3012</v>
      </c>
      <c r="C123" s="92">
        <v>13590</v>
      </c>
      <c r="D123" s="92">
        <v>13520</v>
      </c>
      <c r="E123" s="92">
        <v>16290</v>
      </c>
      <c r="F123" s="92">
        <v>2790</v>
      </c>
      <c r="G123" s="101">
        <v>8930</v>
      </c>
    </row>
    <row r="124" spans="1:7" s="75" customFormat="1" ht="14.25" customHeight="1">
      <c r="A124" s="86" t="s">
        <v>286</v>
      </c>
      <c r="B124" s="86" t="s">
        <v>3013</v>
      </c>
      <c r="C124" s="92">
        <v>13400</v>
      </c>
      <c r="D124" s="92">
        <v>13320</v>
      </c>
      <c r="E124" s="92">
        <v>16100</v>
      </c>
      <c r="F124" s="92">
        <v>2320</v>
      </c>
      <c r="G124" s="101">
        <v>8800</v>
      </c>
    </row>
    <row r="125" spans="1:7" s="75" customFormat="1" ht="14.25" customHeight="1">
      <c r="A125" s="86" t="s">
        <v>286</v>
      </c>
      <c r="B125" s="86" t="s">
        <v>3014</v>
      </c>
      <c r="C125" s="92">
        <v>12860</v>
      </c>
      <c r="D125" s="92">
        <v>12790</v>
      </c>
      <c r="E125" s="92">
        <v>15370</v>
      </c>
      <c r="F125" s="92">
        <v>2280</v>
      </c>
      <c r="G125" s="101">
        <v>8450</v>
      </c>
    </row>
    <row r="126" spans="1:7" s="75" customFormat="1" ht="14.25" customHeight="1">
      <c r="A126" s="102" t="s">
        <v>286</v>
      </c>
      <c r="B126" s="94" t="s">
        <v>3015</v>
      </c>
      <c r="C126" s="96">
        <v>12960</v>
      </c>
      <c r="D126" s="96">
        <v>12890</v>
      </c>
      <c r="E126" s="96">
        <v>15530</v>
      </c>
      <c r="F126" s="96">
        <v>2910</v>
      </c>
      <c r="G126" s="103">
        <v>8520</v>
      </c>
    </row>
    <row r="127" spans="1:7" s="75" customFormat="1" ht="14.25" customHeight="1">
      <c r="A127" s="90" t="s">
        <v>295</v>
      </c>
      <c r="B127" s="82" t="s">
        <v>3016</v>
      </c>
      <c r="C127" s="92">
        <v>12280</v>
      </c>
      <c r="D127" s="92">
        <v>12250</v>
      </c>
      <c r="E127" s="92">
        <v>15130</v>
      </c>
      <c r="F127" s="92">
        <v>2710</v>
      </c>
      <c r="G127" s="92">
        <v>7870</v>
      </c>
    </row>
    <row r="128" spans="1:7" s="75" customFormat="1" ht="14.25" customHeight="1">
      <c r="A128" s="86" t="s">
        <v>295</v>
      </c>
      <c r="B128" s="86" t="s">
        <v>3017</v>
      </c>
      <c r="C128" s="92">
        <v>13180</v>
      </c>
      <c r="D128" s="92">
        <v>13150</v>
      </c>
      <c r="E128" s="92">
        <v>16190</v>
      </c>
      <c r="F128" s="92">
        <v>2820</v>
      </c>
      <c r="G128" s="92">
        <v>8460</v>
      </c>
    </row>
    <row r="129" spans="1:7" s="75" customFormat="1" ht="14.25" customHeight="1">
      <c r="A129" s="86" t="s">
        <v>295</v>
      </c>
      <c r="B129" s="86" t="s">
        <v>3018</v>
      </c>
      <c r="C129" s="92">
        <v>10950</v>
      </c>
      <c r="D129" s="92">
        <v>10920</v>
      </c>
      <c r="E129" s="92">
        <v>13820</v>
      </c>
      <c r="F129" s="92">
        <v>2500</v>
      </c>
      <c r="G129" s="92">
        <v>7020</v>
      </c>
    </row>
    <row r="130" spans="1:7" s="75" customFormat="1" ht="14.25" customHeight="1">
      <c r="A130" s="86" t="s">
        <v>295</v>
      </c>
      <c r="B130" s="86" t="s">
        <v>3019</v>
      </c>
      <c r="C130" s="92">
        <v>10910</v>
      </c>
      <c r="D130" s="92">
        <v>10860</v>
      </c>
      <c r="E130" s="92">
        <v>13730</v>
      </c>
      <c r="F130" s="92">
        <v>2760</v>
      </c>
      <c r="G130" s="92">
        <v>6990</v>
      </c>
    </row>
    <row r="131" spans="1:7" s="75" customFormat="1" ht="14.25" customHeight="1">
      <c r="A131" s="86" t="s">
        <v>295</v>
      </c>
      <c r="B131" s="86" t="s">
        <v>3020</v>
      </c>
      <c r="C131" s="92">
        <v>12910</v>
      </c>
      <c r="D131" s="92">
        <v>12870</v>
      </c>
      <c r="E131" s="92">
        <v>15720</v>
      </c>
      <c r="F131" s="92">
        <v>2750</v>
      </c>
      <c r="G131" s="92">
        <v>8280</v>
      </c>
    </row>
    <row r="132" spans="1:7" s="75" customFormat="1" ht="14.25" customHeight="1">
      <c r="A132" s="86" t="s">
        <v>295</v>
      </c>
      <c r="B132" s="86" t="s">
        <v>3021</v>
      </c>
      <c r="C132" s="92">
        <v>11910</v>
      </c>
      <c r="D132" s="92">
        <v>11860</v>
      </c>
      <c r="E132" s="92">
        <v>14730</v>
      </c>
      <c r="F132" s="92">
        <v>2360</v>
      </c>
      <c r="G132" s="92">
        <v>7630</v>
      </c>
    </row>
    <row r="133" spans="1:7" s="75" customFormat="1" ht="14.25" customHeight="1">
      <c r="A133" s="86" t="s">
        <v>295</v>
      </c>
      <c r="B133" s="86" t="s">
        <v>3022</v>
      </c>
      <c r="C133" s="92">
        <v>12270</v>
      </c>
      <c r="D133" s="92">
        <v>12210</v>
      </c>
      <c r="E133" s="92">
        <v>15010</v>
      </c>
      <c r="F133" s="92">
        <v>2580</v>
      </c>
      <c r="G133" s="92">
        <v>7860</v>
      </c>
    </row>
    <row r="134" spans="1:7" s="75" customFormat="1" ht="14.25" customHeight="1">
      <c r="A134" s="86" t="s">
        <v>295</v>
      </c>
      <c r="B134" s="86" t="s">
        <v>3023</v>
      </c>
      <c r="C134" s="92">
        <v>10800</v>
      </c>
      <c r="D134" s="92">
        <v>10780</v>
      </c>
      <c r="E134" s="92">
        <v>13640</v>
      </c>
      <c r="F134" s="92">
        <v>2110</v>
      </c>
      <c r="G134" s="92">
        <v>6930</v>
      </c>
    </row>
    <row r="135" spans="1:7" s="75" customFormat="1" ht="14.25" customHeight="1">
      <c r="A135" s="86" t="s">
        <v>295</v>
      </c>
      <c r="B135" s="86" t="s">
        <v>3024</v>
      </c>
      <c r="C135" s="92">
        <v>10430</v>
      </c>
      <c r="D135" s="92">
        <v>10390</v>
      </c>
      <c r="E135" s="92">
        <v>13140</v>
      </c>
      <c r="F135" s="92">
        <v>2240</v>
      </c>
      <c r="G135" s="92">
        <v>6680</v>
      </c>
    </row>
    <row r="136" spans="1:7" s="75" customFormat="1" ht="14.25" customHeight="1">
      <c r="A136" s="86" t="s">
        <v>295</v>
      </c>
      <c r="B136" s="86" t="s">
        <v>3025</v>
      </c>
      <c r="C136" s="92">
        <v>11930</v>
      </c>
      <c r="D136" s="92">
        <v>11880</v>
      </c>
      <c r="E136" s="92">
        <v>14770</v>
      </c>
      <c r="F136" s="92">
        <v>1970</v>
      </c>
      <c r="G136" s="92">
        <v>7640</v>
      </c>
    </row>
    <row r="137" spans="1:7" s="75" customFormat="1" ht="14.25" customHeight="1">
      <c r="A137" s="86" t="s">
        <v>295</v>
      </c>
      <c r="B137" s="86" t="s">
        <v>3026</v>
      </c>
      <c r="C137" s="92">
        <v>10470</v>
      </c>
      <c r="D137" s="92">
        <v>10430</v>
      </c>
      <c r="E137" s="92">
        <v>13190</v>
      </c>
      <c r="F137" s="92">
        <v>1990</v>
      </c>
      <c r="G137" s="92">
        <v>6710</v>
      </c>
    </row>
    <row r="138" spans="1:7" s="75" customFormat="1" ht="14.25" customHeight="1">
      <c r="A138" s="86" t="s">
        <v>295</v>
      </c>
      <c r="B138" s="86" t="s">
        <v>3027</v>
      </c>
      <c r="C138" s="92">
        <v>10410</v>
      </c>
      <c r="D138" s="92">
        <v>10380</v>
      </c>
      <c r="E138" s="92">
        <v>13130</v>
      </c>
      <c r="F138" s="92">
        <v>2030</v>
      </c>
      <c r="G138" s="92">
        <v>6680</v>
      </c>
    </row>
    <row r="139" spans="1:7" s="75" customFormat="1" ht="14.25" customHeight="1">
      <c r="A139" s="86" t="s">
        <v>295</v>
      </c>
      <c r="B139" s="86" t="s">
        <v>3028</v>
      </c>
      <c r="C139" s="92">
        <v>9460</v>
      </c>
      <c r="D139" s="92">
        <v>9410</v>
      </c>
      <c r="E139" s="92">
        <v>12050</v>
      </c>
      <c r="F139" s="92">
        <v>2140</v>
      </c>
      <c r="G139" s="92">
        <v>6050</v>
      </c>
    </row>
    <row r="140" spans="1:7" s="75" customFormat="1" ht="14.25" customHeight="1">
      <c r="A140" s="86" t="s">
        <v>295</v>
      </c>
      <c r="B140" s="86" t="s">
        <v>3029</v>
      </c>
      <c r="C140" s="92">
        <v>11030</v>
      </c>
      <c r="D140" s="92">
        <v>10980</v>
      </c>
      <c r="E140" s="92">
        <v>13880</v>
      </c>
      <c r="F140" s="92">
        <v>2210</v>
      </c>
      <c r="G140" s="92">
        <v>7060</v>
      </c>
    </row>
    <row r="141" spans="1:7" s="75" customFormat="1" ht="14.25" customHeight="1">
      <c r="A141" s="86" t="s">
        <v>295</v>
      </c>
      <c r="B141" s="86" t="s">
        <v>3030</v>
      </c>
      <c r="C141" s="92">
        <v>11200</v>
      </c>
      <c r="D141" s="92">
        <v>11150</v>
      </c>
      <c r="E141" s="92">
        <v>14100</v>
      </c>
      <c r="F141" s="92">
        <v>2470</v>
      </c>
      <c r="G141" s="92">
        <v>7170</v>
      </c>
    </row>
    <row r="142" spans="1:7" s="75" customFormat="1" ht="14.25" customHeight="1">
      <c r="A142" s="86" t="s">
        <v>295</v>
      </c>
      <c r="B142" s="86" t="s">
        <v>3031</v>
      </c>
      <c r="C142" s="92">
        <v>10780</v>
      </c>
      <c r="D142" s="92">
        <v>10730</v>
      </c>
      <c r="E142" s="92">
        <v>13540</v>
      </c>
      <c r="F142" s="92">
        <v>2280</v>
      </c>
      <c r="G142" s="92">
        <v>6900</v>
      </c>
    </row>
    <row r="143" spans="1:7" s="75" customFormat="1" ht="14.25" customHeight="1">
      <c r="A143" s="86" t="s">
        <v>295</v>
      </c>
      <c r="B143" s="86" t="s">
        <v>3032</v>
      </c>
      <c r="C143" s="92">
        <v>11550</v>
      </c>
      <c r="D143" s="92">
        <v>11490</v>
      </c>
      <c r="E143" s="92">
        <v>14480</v>
      </c>
      <c r="F143" s="92">
        <v>2070</v>
      </c>
      <c r="G143" s="92">
        <v>7390</v>
      </c>
    </row>
    <row r="144" spans="1:7" s="75" customFormat="1" ht="14.25" customHeight="1">
      <c r="A144" s="86" t="s">
        <v>295</v>
      </c>
      <c r="B144" s="86" t="s">
        <v>3033</v>
      </c>
      <c r="C144" s="92">
        <v>10720</v>
      </c>
      <c r="D144" s="92">
        <v>10680</v>
      </c>
      <c r="E144" s="92">
        <v>13480</v>
      </c>
      <c r="F144" s="92">
        <v>2440</v>
      </c>
      <c r="G144" s="92">
        <v>6870</v>
      </c>
    </row>
    <row r="145" spans="1:7" s="75" customFormat="1" ht="14.25" customHeight="1">
      <c r="A145" s="86" t="s">
        <v>295</v>
      </c>
      <c r="B145" s="86" t="s">
        <v>3034</v>
      </c>
      <c r="C145" s="92">
        <v>10340</v>
      </c>
      <c r="D145" s="92">
        <v>10290</v>
      </c>
      <c r="E145" s="92">
        <v>12880</v>
      </c>
      <c r="F145" s="92">
        <v>2650</v>
      </c>
      <c r="G145" s="92">
        <v>6620</v>
      </c>
    </row>
    <row r="146" spans="1:7" s="75" customFormat="1" ht="14.25" customHeight="1">
      <c r="A146" s="86" t="s">
        <v>295</v>
      </c>
      <c r="B146" s="86" t="s">
        <v>3035</v>
      </c>
      <c r="C146" s="92">
        <v>11890</v>
      </c>
      <c r="D146" s="92">
        <v>11830</v>
      </c>
      <c r="E146" s="92">
        <v>14670</v>
      </c>
      <c r="F146" s="92"/>
      <c r="G146" s="92">
        <v>7610</v>
      </c>
    </row>
    <row r="147" spans="1:7" s="75" customFormat="1" ht="14.25" customHeight="1">
      <c r="A147" s="86" t="s">
        <v>295</v>
      </c>
      <c r="B147" s="86" t="s">
        <v>3036</v>
      </c>
      <c r="C147" s="92">
        <v>12650</v>
      </c>
      <c r="D147" s="92">
        <v>12600</v>
      </c>
      <c r="E147" s="92">
        <v>15440</v>
      </c>
      <c r="F147" s="92"/>
      <c r="G147" s="92">
        <v>8110</v>
      </c>
    </row>
    <row r="148" spans="1:7" s="75" customFormat="1" ht="14.25" customHeight="1">
      <c r="A148" s="86" t="s">
        <v>295</v>
      </c>
      <c r="B148" s="86" t="s">
        <v>3037</v>
      </c>
      <c r="C148" s="92">
        <v>10370</v>
      </c>
      <c r="D148" s="92">
        <v>10310</v>
      </c>
      <c r="E148" s="92">
        <v>12970</v>
      </c>
      <c r="F148" s="92"/>
      <c r="G148" s="92">
        <v>6630</v>
      </c>
    </row>
    <row r="149" spans="1:7" s="75" customFormat="1" ht="14.25" customHeight="1">
      <c r="A149" s="86" t="s">
        <v>295</v>
      </c>
      <c r="B149" s="86" t="s">
        <v>3038</v>
      </c>
      <c r="C149" s="92">
        <v>11600</v>
      </c>
      <c r="D149" s="92">
        <v>11560</v>
      </c>
      <c r="E149" s="92">
        <v>14540</v>
      </c>
      <c r="F149" s="92">
        <v>2390</v>
      </c>
      <c r="G149" s="92">
        <v>7430</v>
      </c>
    </row>
    <row r="150" spans="1:7" s="75" customFormat="1" ht="14.25" customHeight="1">
      <c r="A150" s="86" t="s">
        <v>295</v>
      </c>
      <c r="B150" s="86" t="s">
        <v>3039</v>
      </c>
      <c r="C150" s="92">
        <v>9950</v>
      </c>
      <c r="D150" s="92">
        <v>9890</v>
      </c>
      <c r="E150" s="92">
        <v>12590</v>
      </c>
      <c r="F150" s="92">
        <v>1970</v>
      </c>
      <c r="G150" s="92">
        <v>6360</v>
      </c>
    </row>
    <row r="151" spans="1:7" s="75" customFormat="1" ht="14.25" customHeight="1">
      <c r="A151" s="86" t="s">
        <v>295</v>
      </c>
      <c r="B151" s="86" t="s">
        <v>3040</v>
      </c>
      <c r="C151" s="92">
        <v>10700</v>
      </c>
      <c r="D151" s="92">
        <v>10650</v>
      </c>
      <c r="E151" s="92">
        <v>13420</v>
      </c>
      <c r="F151" s="92">
        <v>2020</v>
      </c>
      <c r="G151" s="92">
        <v>6850</v>
      </c>
    </row>
    <row r="152" spans="1:7" s="75" customFormat="1" ht="14.25" customHeight="1">
      <c r="A152" s="86" t="s">
        <v>295</v>
      </c>
      <c r="B152" s="86" t="s">
        <v>3041</v>
      </c>
      <c r="C152" s="92">
        <v>10310</v>
      </c>
      <c r="D152" s="92">
        <v>10260</v>
      </c>
      <c r="E152" s="92">
        <v>12820</v>
      </c>
      <c r="F152" s="92">
        <v>1980</v>
      </c>
      <c r="G152" s="92">
        <v>6600</v>
      </c>
    </row>
    <row r="153" spans="1:7" s="75" customFormat="1" ht="14.25" customHeight="1">
      <c r="A153" s="86" t="s">
        <v>295</v>
      </c>
      <c r="B153" s="86" t="s">
        <v>3042</v>
      </c>
      <c r="C153" s="92">
        <v>10880</v>
      </c>
      <c r="D153" s="92">
        <v>10820</v>
      </c>
      <c r="E153" s="92">
        <v>13660</v>
      </c>
      <c r="F153" s="92">
        <v>2260</v>
      </c>
      <c r="G153" s="92">
        <v>6970</v>
      </c>
    </row>
    <row r="154" spans="1:7" s="75" customFormat="1" ht="14.25" customHeight="1">
      <c r="A154" s="86" t="s">
        <v>295</v>
      </c>
      <c r="B154" s="86" t="s">
        <v>3043</v>
      </c>
      <c r="C154" s="92">
        <v>11220</v>
      </c>
      <c r="D154" s="92">
        <v>11160</v>
      </c>
      <c r="E154" s="92">
        <v>14130</v>
      </c>
      <c r="F154" s="92">
        <v>2230</v>
      </c>
      <c r="G154" s="92">
        <v>7180</v>
      </c>
    </row>
    <row r="155" spans="1:7" s="75" customFormat="1" ht="14.25" customHeight="1">
      <c r="A155" s="86" t="s">
        <v>295</v>
      </c>
      <c r="B155" s="86" t="s">
        <v>3044</v>
      </c>
      <c r="C155" s="92">
        <v>10430</v>
      </c>
      <c r="D155" s="92">
        <v>10380</v>
      </c>
      <c r="E155" s="92">
        <v>13140</v>
      </c>
      <c r="F155" s="92">
        <v>2080</v>
      </c>
      <c r="G155" s="92">
        <v>6650</v>
      </c>
    </row>
    <row r="156" spans="1:7" s="75" customFormat="1" ht="14.25" customHeight="1">
      <c r="A156" s="86" t="s">
        <v>295</v>
      </c>
      <c r="B156" s="86" t="s">
        <v>3045</v>
      </c>
      <c r="C156" s="92">
        <v>10440</v>
      </c>
      <c r="D156" s="92">
        <v>10400</v>
      </c>
      <c r="E156" s="92">
        <v>13150</v>
      </c>
      <c r="F156" s="92">
        <v>2490</v>
      </c>
      <c r="G156" s="92">
        <v>6690</v>
      </c>
    </row>
    <row r="157" spans="1:7" s="75" customFormat="1" ht="14.25" customHeight="1">
      <c r="A157" s="86" t="s">
        <v>295</v>
      </c>
      <c r="B157" s="86" t="s">
        <v>3046</v>
      </c>
      <c r="C157" s="92">
        <v>10970</v>
      </c>
      <c r="D157" s="92">
        <v>10920</v>
      </c>
      <c r="E157" s="92">
        <v>13840</v>
      </c>
      <c r="F157" s="92">
        <v>2420</v>
      </c>
      <c r="G157" s="92">
        <v>7020</v>
      </c>
    </row>
    <row r="158" spans="1:7" s="75" customFormat="1" ht="14.25" customHeight="1">
      <c r="A158" s="86" t="s">
        <v>295</v>
      </c>
      <c r="B158" s="86" t="s">
        <v>3047</v>
      </c>
      <c r="C158" s="92">
        <v>9590</v>
      </c>
      <c r="D158" s="92">
        <v>9540</v>
      </c>
      <c r="E158" s="92">
        <v>12210</v>
      </c>
      <c r="F158" s="92">
        <v>2100</v>
      </c>
      <c r="G158" s="92">
        <v>6130</v>
      </c>
    </row>
    <row r="159" spans="1:7" s="75" customFormat="1" ht="14.25" customHeight="1">
      <c r="A159" s="86" t="s">
        <v>295</v>
      </c>
      <c r="B159" s="86" t="s">
        <v>3048</v>
      </c>
      <c r="C159" s="92">
        <v>11190</v>
      </c>
      <c r="D159" s="92">
        <v>11140</v>
      </c>
      <c r="E159" s="92">
        <v>14090</v>
      </c>
      <c r="F159" s="92">
        <v>2470</v>
      </c>
      <c r="G159" s="92">
        <v>7170</v>
      </c>
    </row>
    <row r="160" spans="1:7" s="75" customFormat="1" ht="14.25" customHeight="1">
      <c r="A160" s="86" t="s">
        <v>295</v>
      </c>
      <c r="B160" s="86" t="s">
        <v>3049</v>
      </c>
      <c r="C160" s="92">
        <v>11180</v>
      </c>
      <c r="D160" s="92">
        <v>11140</v>
      </c>
      <c r="E160" s="92">
        <v>14050</v>
      </c>
      <c r="F160" s="92">
        <v>2270</v>
      </c>
      <c r="G160" s="92">
        <v>7170</v>
      </c>
    </row>
    <row r="161" spans="1:7" s="75" customFormat="1" ht="14.25" customHeight="1">
      <c r="A161" s="86" t="s">
        <v>295</v>
      </c>
      <c r="B161" s="86" t="s">
        <v>3050</v>
      </c>
      <c r="C161" s="92">
        <v>11160</v>
      </c>
      <c r="D161" s="92">
        <v>11120</v>
      </c>
      <c r="E161" s="92">
        <v>14020</v>
      </c>
      <c r="F161" s="92">
        <v>2150</v>
      </c>
      <c r="G161" s="92">
        <v>7160</v>
      </c>
    </row>
    <row r="162" spans="1:7" s="75" customFormat="1" ht="14.25" customHeight="1">
      <c r="A162" s="86" t="s">
        <v>295</v>
      </c>
      <c r="B162" s="86" t="s">
        <v>3051</v>
      </c>
      <c r="C162" s="92">
        <v>9620</v>
      </c>
      <c r="D162" s="92">
        <v>9570</v>
      </c>
      <c r="E162" s="92">
        <v>12320</v>
      </c>
      <c r="F162" s="92">
        <v>2010</v>
      </c>
      <c r="G162" s="92">
        <v>6160</v>
      </c>
    </row>
    <row r="163" spans="1:7" s="75" customFormat="1" ht="14.25" customHeight="1">
      <c r="A163" s="86" t="s">
        <v>295</v>
      </c>
      <c r="B163" s="86" t="s">
        <v>3052</v>
      </c>
      <c r="C163" s="92">
        <v>9320</v>
      </c>
      <c r="D163" s="92">
        <v>9270</v>
      </c>
      <c r="E163" s="92">
        <v>11790</v>
      </c>
      <c r="F163" s="92">
        <v>1920</v>
      </c>
      <c r="G163" s="92">
        <v>5960</v>
      </c>
    </row>
    <row r="164" spans="1:7" s="75" customFormat="1" ht="14.25" customHeight="1">
      <c r="A164" s="86" t="s">
        <v>295</v>
      </c>
      <c r="B164" s="86" t="s">
        <v>3053</v>
      </c>
      <c r="C164" s="92"/>
      <c r="D164" s="92"/>
      <c r="E164" s="92"/>
      <c r="F164" s="92">
        <v>1980</v>
      </c>
      <c r="G164" s="92"/>
    </row>
    <row r="165" spans="1:7" s="75" customFormat="1" ht="14.25" customHeight="1">
      <c r="A165" s="86" t="s">
        <v>295</v>
      </c>
      <c r="B165" s="86" t="s">
        <v>3054</v>
      </c>
      <c r="C165" s="92">
        <v>11060</v>
      </c>
      <c r="D165" s="92">
        <v>11030</v>
      </c>
      <c r="E165" s="92">
        <v>13850</v>
      </c>
      <c r="F165" s="92">
        <v>2170</v>
      </c>
      <c r="G165" s="92">
        <v>7090</v>
      </c>
    </row>
    <row r="166" spans="1:7" s="75" customFormat="1" ht="14.25" customHeight="1">
      <c r="A166" s="86" t="s">
        <v>295</v>
      </c>
      <c r="B166" s="86" t="s">
        <v>3055</v>
      </c>
      <c r="C166" s="92">
        <v>11050</v>
      </c>
      <c r="D166" s="92">
        <v>11010</v>
      </c>
      <c r="E166" s="92">
        <v>13920</v>
      </c>
      <c r="F166" s="92">
        <v>2140</v>
      </c>
      <c r="G166" s="92">
        <v>7080</v>
      </c>
    </row>
    <row r="167" spans="1:7" s="75" customFormat="1" ht="14.25" customHeight="1">
      <c r="A167" s="86" t="s">
        <v>295</v>
      </c>
      <c r="B167" s="86" t="s">
        <v>3056</v>
      </c>
      <c r="C167" s="92">
        <v>10930</v>
      </c>
      <c r="D167" s="92">
        <v>10890</v>
      </c>
      <c r="E167" s="92">
        <v>13790</v>
      </c>
      <c r="F167" s="92">
        <v>2010</v>
      </c>
      <c r="G167" s="92">
        <v>7000</v>
      </c>
    </row>
    <row r="168" spans="1:7" s="75" customFormat="1" ht="14.25" customHeight="1">
      <c r="A168" s="86" t="s">
        <v>295</v>
      </c>
      <c r="B168" s="86" t="s">
        <v>3057</v>
      </c>
      <c r="C168" s="92">
        <v>9420</v>
      </c>
      <c r="D168" s="92">
        <v>9380</v>
      </c>
      <c r="E168" s="92">
        <v>11970</v>
      </c>
      <c r="F168" s="92"/>
      <c r="G168" s="92">
        <v>6040</v>
      </c>
    </row>
    <row r="169" spans="1:7" s="75" customFormat="1" ht="14.25" customHeight="1">
      <c r="A169" s="86" t="s">
        <v>295</v>
      </c>
      <c r="B169" s="86" t="s">
        <v>3058</v>
      </c>
      <c r="C169" s="92"/>
      <c r="D169" s="92"/>
      <c r="E169" s="92"/>
      <c r="F169" s="92">
        <v>2880</v>
      </c>
      <c r="G169" s="92"/>
    </row>
    <row r="170" spans="1:7" s="75" customFormat="1" ht="14.25" customHeight="1">
      <c r="A170" s="86" t="s">
        <v>295</v>
      </c>
      <c r="B170" s="86" t="s">
        <v>3059</v>
      </c>
      <c r="C170" s="92"/>
      <c r="D170" s="92"/>
      <c r="E170" s="92"/>
      <c r="F170" s="92">
        <v>2880</v>
      </c>
      <c r="G170" s="92"/>
    </row>
    <row r="171" spans="1:7" s="75" customFormat="1" ht="14.25" customHeight="1">
      <c r="A171" s="86" t="s">
        <v>295</v>
      </c>
      <c r="B171" s="86" t="s">
        <v>3060</v>
      </c>
      <c r="C171" s="92"/>
      <c r="D171" s="92"/>
      <c r="E171" s="92"/>
      <c r="F171" s="92">
        <v>2880</v>
      </c>
      <c r="G171" s="92"/>
    </row>
    <row r="172" spans="1:7" s="75" customFormat="1" ht="14.25" customHeight="1">
      <c r="A172" s="86" t="s">
        <v>295</v>
      </c>
      <c r="B172" s="86" t="s">
        <v>3061</v>
      </c>
      <c r="C172" s="92"/>
      <c r="D172" s="92"/>
      <c r="E172" s="92"/>
      <c r="F172" s="92">
        <v>2880</v>
      </c>
      <c r="G172" s="92"/>
    </row>
    <row r="173" spans="1:7" s="75" customFormat="1" ht="14.25" customHeight="1">
      <c r="A173" s="86" t="s">
        <v>295</v>
      </c>
      <c r="B173" s="86" t="s">
        <v>3062</v>
      </c>
      <c r="C173" s="92"/>
      <c r="D173" s="92"/>
      <c r="E173" s="92"/>
      <c r="F173" s="92">
        <v>2150</v>
      </c>
      <c r="G173" s="92"/>
    </row>
    <row r="174" spans="1:7" s="75" customFormat="1" ht="14.25" customHeight="1">
      <c r="A174" s="86" t="s">
        <v>295</v>
      </c>
      <c r="B174" s="86" t="s">
        <v>3063</v>
      </c>
      <c r="C174" s="92"/>
      <c r="D174" s="92"/>
      <c r="E174" s="92"/>
      <c r="F174" s="92">
        <v>2030</v>
      </c>
      <c r="G174" s="92"/>
    </row>
    <row r="175" spans="1:7" s="75" customFormat="1" ht="14.25" customHeight="1">
      <c r="A175" s="86" t="s">
        <v>295</v>
      </c>
      <c r="B175" s="86" t="s">
        <v>3064</v>
      </c>
      <c r="C175" s="92"/>
      <c r="D175" s="92"/>
      <c r="E175" s="92"/>
      <c r="F175" s="92">
        <v>2780</v>
      </c>
      <c r="G175" s="92"/>
    </row>
    <row r="176" spans="1:7" s="75" customFormat="1" ht="14.25" customHeight="1">
      <c r="A176" s="86" t="s">
        <v>295</v>
      </c>
      <c r="B176" s="86" t="s">
        <v>3065</v>
      </c>
      <c r="C176" s="92"/>
      <c r="D176" s="92"/>
      <c r="E176" s="92"/>
      <c r="F176" s="92">
        <v>2780</v>
      </c>
      <c r="G176" s="92"/>
    </row>
    <row r="177" spans="1:7" s="75" customFormat="1" ht="14.25" customHeight="1">
      <c r="A177" s="86" t="s">
        <v>295</v>
      </c>
      <c r="B177" s="86" t="s">
        <v>3066</v>
      </c>
      <c r="C177" s="92"/>
      <c r="D177" s="92"/>
      <c r="E177" s="92"/>
      <c r="F177" s="92">
        <v>2780</v>
      </c>
      <c r="G177" s="92"/>
    </row>
    <row r="178" spans="1:7" s="75" customFormat="1" ht="14.25" customHeight="1">
      <c r="A178" s="86" t="s">
        <v>295</v>
      </c>
      <c r="B178" s="86" t="s">
        <v>3067</v>
      </c>
      <c r="C178" s="92"/>
      <c r="D178" s="92"/>
      <c r="E178" s="92"/>
      <c r="F178" s="92">
        <v>2060</v>
      </c>
      <c r="G178" s="92"/>
    </row>
    <row r="179" spans="1:7" s="75" customFormat="1" ht="14.25" customHeight="1">
      <c r="A179" s="86" t="s">
        <v>295</v>
      </c>
      <c r="B179" s="86" t="s">
        <v>3068</v>
      </c>
      <c r="C179" s="92"/>
      <c r="D179" s="92"/>
      <c r="E179" s="92"/>
      <c r="F179" s="92">
        <v>2120</v>
      </c>
      <c r="G179" s="92"/>
    </row>
    <row r="180" spans="1:7" s="75" customFormat="1" ht="14.25" customHeight="1">
      <c r="A180" s="86" t="s">
        <v>295</v>
      </c>
      <c r="B180" s="86" t="s">
        <v>3069</v>
      </c>
      <c r="C180" s="92"/>
      <c r="D180" s="92"/>
      <c r="E180" s="92"/>
      <c r="F180" s="92">
        <v>2340</v>
      </c>
      <c r="G180" s="92"/>
    </row>
    <row r="181" spans="1:7" s="75" customFormat="1" ht="14.25" customHeight="1">
      <c r="A181" s="86" t="s">
        <v>295</v>
      </c>
      <c r="B181" s="86" t="s">
        <v>3070</v>
      </c>
      <c r="C181" s="92"/>
      <c r="D181" s="92"/>
      <c r="E181" s="92"/>
      <c r="F181" s="92">
        <v>2340</v>
      </c>
      <c r="G181" s="92"/>
    </row>
    <row r="182" spans="1:7" s="75" customFormat="1" ht="14.25" customHeight="1">
      <c r="A182" s="86" t="s">
        <v>295</v>
      </c>
      <c r="B182" s="86" t="s">
        <v>3071</v>
      </c>
      <c r="C182" s="92"/>
      <c r="D182" s="92"/>
      <c r="E182" s="92"/>
      <c r="F182" s="92">
        <v>2340</v>
      </c>
      <c r="G182" s="92"/>
    </row>
    <row r="183" spans="1:7" s="75" customFormat="1" ht="14.25" customHeight="1">
      <c r="A183" s="86" t="s">
        <v>295</v>
      </c>
      <c r="B183" s="86" t="s">
        <v>3072</v>
      </c>
      <c r="C183" s="92"/>
      <c r="D183" s="92"/>
      <c r="E183" s="92"/>
      <c r="F183" s="92">
        <v>2340</v>
      </c>
      <c r="G183" s="92"/>
    </row>
    <row r="184" spans="1:7" s="75" customFormat="1" ht="14.25" customHeight="1">
      <c r="A184" s="86" t="s">
        <v>295</v>
      </c>
      <c r="B184" s="86" t="s">
        <v>3073</v>
      </c>
      <c r="C184" s="92"/>
      <c r="D184" s="92"/>
      <c r="E184" s="92"/>
      <c r="F184" s="92">
        <v>2340</v>
      </c>
      <c r="G184" s="92"/>
    </row>
    <row r="185" spans="1:7" s="75" customFormat="1" ht="14.25" customHeight="1">
      <c r="A185" s="86" t="s">
        <v>295</v>
      </c>
      <c r="B185" s="86" t="s">
        <v>3074</v>
      </c>
      <c r="C185" s="92"/>
      <c r="D185" s="92"/>
      <c r="E185" s="92"/>
      <c r="F185" s="92">
        <v>2530</v>
      </c>
      <c r="G185" s="92"/>
    </row>
    <row r="186" spans="1:7" s="75" customFormat="1" ht="14.25" customHeight="1">
      <c r="A186" s="86" t="s">
        <v>295</v>
      </c>
      <c r="B186" s="86" t="s">
        <v>3075</v>
      </c>
      <c r="C186" s="92"/>
      <c r="D186" s="92"/>
      <c r="E186" s="92"/>
      <c r="F186" s="92">
        <v>2550</v>
      </c>
      <c r="G186" s="92"/>
    </row>
    <row r="187" spans="1:7" s="75" customFormat="1" ht="14.25" customHeight="1">
      <c r="A187" s="86" t="s">
        <v>295</v>
      </c>
      <c r="B187" s="86" t="s">
        <v>3076</v>
      </c>
      <c r="C187" s="92"/>
      <c r="D187" s="92"/>
      <c r="E187" s="92"/>
      <c r="F187" s="92">
        <v>2070</v>
      </c>
      <c r="G187" s="92"/>
    </row>
    <row r="188" spans="1:7" s="75" customFormat="1" ht="14.25" customHeight="1">
      <c r="A188" s="86" t="s">
        <v>295</v>
      </c>
      <c r="B188" s="86" t="s">
        <v>3077</v>
      </c>
      <c r="C188" s="92"/>
      <c r="D188" s="92"/>
      <c r="E188" s="92"/>
      <c r="F188" s="92">
        <v>2340</v>
      </c>
      <c r="G188" s="92"/>
    </row>
    <row r="189" spans="1:7" s="75" customFormat="1" ht="14.25" customHeight="1">
      <c r="A189" s="95" t="s">
        <v>295</v>
      </c>
      <c r="B189" s="104" t="s">
        <v>3078</v>
      </c>
      <c r="C189" s="99"/>
      <c r="D189" s="99"/>
      <c r="E189" s="99"/>
      <c r="F189" s="99">
        <v>2050</v>
      </c>
      <c r="G189" s="99"/>
    </row>
    <row r="190" spans="1:7" s="75" customFormat="1" ht="14.25" customHeight="1">
      <c r="A190" s="90" t="s">
        <v>303</v>
      </c>
      <c r="B190" s="82" t="s">
        <v>3079</v>
      </c>
      <c r="C190" s="91">
        <v>8830</v>
      </c>
      <c r="D190" s="91">
        <v>8790</v>
      </c>
      <c r="E190" s="91">
        <v>11630</v>
      </c>
      <c r="F190" s="91">
        <v>1790</v>
      </c>
      <c r="G190" s="100">
        <v>5550</v>
      </c>
    </row>
    <row r="191" spans="1:7" s="75" customFormat="1" ht="14.25" customHeight="1">
      <c r="A191" s="86" t="s">
        <v>303</v>
      </c>
      <c r="B191" s="86" t="s">
        <v>3080</v>
      </c>
      <c r="C191" s="92">
        <v>9780</v>
      </c>
      <c r="D191" s="92">
        <v>9710</v>
      </c>
      <c r="E191" s="92">
        <v>12550</v>
      </c>
      <c r="F191" s="92">
        <v>1980</v>
      </c>
      <c r="G191" s="101">
        <v>6130</v>
      </c>
    </row>
    <row r="192" spans="1:7" s="75" customFormat="1" ht="14.25" customHeight="1">
      <c r="A192" s="86" t="s">
        <v>303</v>
      </c>
      <c r="B192" s="86" t="s">
        <v>3081</v>
      </c>
      <c r="C192" s="92">
        <v>8180</v>
      </c>
      <c r="D192" s="92">
        <v>8140</v>
      </c>
      <c r="E192" s="92">
        <v>10870</v>
      </c>
      <c r="F192" s="92">
        <v>1690</v>
      </c>
      <c r="G192" s="101">
        <v>5140</v>
      </c>
    </row>
    <row r="193" spans="1:7" s="75" customFormat="1" ht="14.25" customHeight="1">
      <c r="A193" s="86" t="s">
        <v>303</v>
      </c>
      <c r="B193" s="86" t="s">
        <v>3082</v>
      </c>
      <c r="C193" s="92">
        <v>8440</v>
      </c>
      <c r="D193" s="92">
        <v>8390</v>
      </c>
      <c r="E193" s="92">
        <v>11210</v>
      </c>
      <c r="F193" s="92">
        <v>1600</v>
      </c>
      <c r="G193" s="101">
        <v>5300</v>
      </c>
    </row>
    <row r="194" spans="1:7" s="75" customFormat="1" ht="14.25" customHeight="1">
      <c r="A194" s="86" t="s">
        <v>303</v>
      </c>
      <c r="B194" s="86" t="s">
        <v>3083</v>
      </c>
      <c r="C194" s="92">
        <v>8780</v>
      </c>
      <c r="D194" s="92">
        <v>8730</v>
      </c>
      <c r="E194" s="92">
        <v>11550</v>
      </c>
      <c r="F194" s="92">
        <v>1660</v>
      </c>
      <c r="G194" s="101">
        <v>5520</v>
      </c>
    </row>
    <row r="195" spans="1:7" s="75" customFormat="1" ht="14.25" customHeight="1">
      <c r="A195" s="86" t="s">
        <v>303</v>
      </c>
      <c r="B195" s="86" t="s">
        <v>3084</v>
      </c>
      <c r="C195" s="92">
        <v>8720</v>
      </c>
      <c r="D195" s="92">
        <v>8670</v>
      </c>
      <c r="E195" s="92">
        <v>11450</v>
      </c>
      <c r="F195" s="92">
        <v>1720</v>
      </c>
      <c r="G195" s="101">
        <v>5480</v>
      </c>
    </row>
    <row r="196" spans="1:7" s="75" customFormat="1" ht="14.25" customHeight="1">
      <c r="A196" s="86" t="s">
        <v>303</v>
      </c>
      <c r="B196" s="86" t="s">
        <v>3085</v>
      </c>
      <c r="C196" s="92">
        <v>8460</v>
      </c>
      <c r="D196" s="92">
        <v>8410</v>
      </c>
      <c r="E196" s="92">
        <v>11230</v>
      </c>
      <c r="F196" s="92">
        <v>1730</v>
      </c>
      <c r="G196" s="101">
        <v>5310</v>
      </c>
    </row>
    <row r="197" spans="1:7" s="75" customFormat="1" ht="14.25" customHeight="1">
      <c r="A197" s="86" t="s">
        <v>303</v>
      </c>
      <c r="B197" s="86" t="s">
        <v>3086</v>
      </c>
      <c r="C197" s="92">
        <v>8790</v>
      </c>
      <c r="D197" s="92">
        <v>8730</v>
      </c>
      <c r="E197" s="92">
        <v>11560</v>
      </c>
      <c r="F197" s="92">
        <v>1750</v>
      </c>
      <c r="G197" s="101">
        <v>5520</v>
      </c>
    </row>
    <row r="198" spans="1:7" s="75" customFormat="1" ht="14.25" customHeight="1">
      <c r="A198" s="86" t="s">
        <v>303</v>
      </c>
      <c r="B198" s="86" t="s">
        <v>3087</v>
      </c>
      <c r="C198" s="92">
        <v>8720</v>
      </c>
      <c r="D198" s="92">
        <v>8680</v>
      </c>
      <c r="E198" s="92">
        <v>11470</v>
      </c>
      <c r="F198" s="92"/>
      <c r="G198" s="101">
        <v>5480</v>
      </c>
    </row>
    <row r="199" spans="1:7" s="75" customFormat="1" ht="14.25" customHeight="1">
      <c r="A199" s="86" t="s">
        <v>303</v>
      </c>
      <c r="B199" s="86" t="s">
        <v>3088</v>
      </c>
      <c r="C199" s="92">
        <v>8690</v>
      </c>
      <c r="D199" s="92">
        <v>8630</v>
      </c>
      <c r="E199" s="92">
        <v>11350</v>
      </c>
      <c r="F199" s="92">
        <v>1600</v>
      </c>
      <c r="G199" s="101">
        <v>5450</v>
      </c>
    </row>
    <row r="200" spans="1:7" s="75" customFormat="1" ht="14.25" customHeight="1">
      <c r="A200" s="86" t="s">
        <v>303</v>
      </c>
      <c r="B200" s="86" t="s">
        <v>3089</v>
      </c>
      <c r="C200" s="92"/>
      <c r="D200" s="92"/>
      <c r="E200" s="92"/>
      <c r="F200" s="92">
        <v>1510</v>
      </c>
      <c r="G200" s="101"/>
    </row>
    <row r="201" spans="1:7" s="75" customFormat="1" ht="14.25" customHeight="1">
      <c r="A201" s="86" t="s">
        <v>303</v>
      </c>
      <c r="B201" s="86" t="s">
        <v>3090</v>
      </c>
      <c r="C201" s="92">
        <v>8440</v>
      </c>
      <c r="D201" s="92">
        <v>8390</v>
      </c>
      <c r="E201" s="92">
        <v>10930</v>
      </c>
      <c r="F201" s="92">
        <v>1500</v>
      </c>
      <c r="G201" s="101">
        <v>5300</v>
      </c>
    </row>
    <row r="202" spans="1:7" s="75" customFormat="1" ht="14.25" customHeight="1">
      <c r="A202" s="86" t="s">
        <v>303</v>
      </c>
      <c r="B202" s="86" t="s">
        <v>3091</v>
      </c>
      <c r="C202" s="92">
        <v>8530</v>
      </c>
      <c r="D202" s="92">
        <v>8490</v>
      </c>
      <c r="E202" s="92">
        <v>11160</v>
      </c>
      <c r="F202" s="92">
        <v>1580</v>
      </c>
      <c r="G202" s="101">
        <v>5360</v>
      </c>
    </row>
    <row r="203" spans="1:7" s="75" customFormat="1" ht="14.25" customHeight="1">
      <c r="A203" s="86" t="s">
        <v>303</v>
      </c>
      <c r="B203" s="86" t="s">
        <v>3092</v>
      </c>
      <c r="C203" s="92">
        <v>8130</v>
      </c>
      <c r="D203" s="92">
        <v>8070</v>
      </c>
      <c r="E203" s="92">
        <v>10820</v>
      </c>
      <c r="F203" s="92">
        <v>1690</v>
      </c>
      <c r="G203" s="101">
        <v>5100</v>
      </c>
    </row>
    <row r="204" spans="1:7" s="75" customFormat="1" ht="14.25" customHeight="1">
      <c r="A204" s="86" t="s">
        <v>303</v>
      </c>
      <c r="B204" s="86" t="s">
        <v>3093</v>
      </c>
      <c r="C204" s="92">
        <v>8350</v>
      </c>
      <c r="D204" s="92">
        <v>8290</v>
      </c>
      <c r="E204" s="92">
        <v>11080</v>
      </c>
      <c r="F204" s="92">
        <v>1450</v>
      </c>
      <c r="G204" s="101">
        <v>5240</v>
      </c>
    </row>
    <row r="205" spans="1:7" s="75" customFormat="1" ht="14.25" customHeight="1">
      <c r="A205" s="86" t="s">
        <v>303</v>
      </c>
      <c r="B205" s="86" t="s">
        <v>3094</v>
      </c>
      <c r="C205" s="92">
        <v>7190</v>
      </c>
      <c r="D205" s="92">
        <v>7130</v>
      </c>
      <c r="E205" s="92">
        <v>9490</v>
      </c>
      <c r="F205" s="92">
        <v>1470</v>
      </c>
      <c r="G205" s="101">
        <v>4510</v>
      </c>
    </row>
    <row r="206" spans="1:7" s="75" customFormat="1" ht="14.25" customHeight="1">
      <c r="A206" s="86" t="s">
        <v>303</v>
      </c>
      <c r="B206" s="86" t="s">
        <v>3095</v>
      </c>
      <c r="C206" s="92">
        <v>7000</v>
      </c>
      <c r="D206" s="92">
        <v>6950</v>
      </c>
      <c r="E206" s="92">
        <v>9170</v>
      </c>
      <c r="F206" s="92">
        <v>1400</v>
      </c>
      <c r="G206" s="101">
        <v>4380</v>
      </c>
    </row>
    <row r="207" spans="1:7" s="75" customFormat="1" ht="14.25" customHeight="1">
      <c r="A207" s="86" t="s">
        <v>303</v>
      </c>
      <c r="B207" s="86" t="s">
        <v>3096</v>
      </c>
      <c r="C207" s="92">
        <v>6950</v>
      </c>
      <c r="D207" s="92">
        <v>6900</v>
      </c>
      <c r="E207" s="92">
        <v>9110</v>
      </c>
      <c r="F207" s="92">
        <v>1790</v>
      </c>
      <c r="G207" s="101">
        <v>4360</v>
      </c>
    </row>
    <row r="208" spans="1:7" s="75" customFormat="1" ht="14.25" customHeight="1">
      <c r="A208" s="86" t="s">
        <v>303</v>
      </c>
      <c r="B208" s="86" t="s">
        <v>3097</v>
      </c>
      <c r="C208" s="92">
        <v>9470</v>
      </c>
      <c r="D208" s="92">
        <v>9410</v>
      </c>
      <c r="E208" s="92">
        <v>12330</v>
      </c>
      <c r="F208" s="92">
        <v>1770</v>
      </c>
      <c r="G208" s="101">
        <v>5940</v>
      </c>
    </row>
    <row r="209" spans="1:7" s="75" customFormat="1" ht="14.25" customHeight="1">
      <c r="A209" s="86" t="s">
        <v>303</v>
      </c>
      <c r="B209" s="86" t="s">
        <v>3098</v>
      </c>
      <c r="C209" s="92">
        <v>8740</v>
      </c>
      <c r="D209" s="92">
        <v>8700</v>
      </c>
      <c r="E209" s="92">
        <v>11500</v>
      </c>
      <c r="F209" s="92">
        <v>1730</v>
      </c>
      <c r="G209" s="101">
        <v>5490</v>
      </c>
    </row>
    <row r="210" spans="1:7" s="75" customFormat="1" ht="14.25" customHeight="1">
      <c r="A210" s="86" t="s">
        <v>303</v>
      </c>
      <c r="B210" s="86" t="s">
        <v>3099</v>
      </c>
      <c r="C210" s="92">
        <v>8710</v>
      </c>
      <c r="D210" s="92">
        <v>8660</v>
      </c>
      <c r="E210" s="92">
        <v>11440</v>
      </c>
      <c r="F210" s="92">
        <v>1740</v>
      </c>
      <c r="G210" s="101">
        <v>5470</v>
      </c>
    </row>
    <row r="211" spans="1:7" s="75" customFormat="1" ht="14.25" customHeight="1">
      <c r="A211" s="86" t="s">
        <v>303</v>
      </c>
      <c r="B211" s="86" t="s">
        <v>3100</v>
      </c>
      <c r="C211" s="92">
        <v>9480</v>
      </c>
      <c r="D211" s="92">
        <v>9430</v>
      </c>
      <c r="E211" s="92">
        <v>12360</v>
      </c>
      <c r="F211" s="92">
        <v>1820</v>
      </c>
      <c r="G211" s="101">
        <v>5950</v>
      </c>
    </row>
    <row r="212" spans="1:7" s="75" customFormat="1" ht="14.25" customHeight="1">
      <c r="A212" s="86" t="s">
        <v>303</v>
      </c>
      <c r="B212" s="86" t="s">
        <v>3101</v>
      </c>
      <c r="C212" s="92">
        <v>9070</v>
      </c>
      <c r="D212" s="92">
        <v>9020</v>
      </c>
      <c r="E212" s="92">
        <v>11720</v>
      </c>
      <c r="F212" s="92">
        <v>1850</v>
      </c>
      <c r="G212" s="101">
        <v>5700</v>
      </c>
    </row>
    <row r="213" spans="1:7" s="75" customFormat="1" ht="14.25" customHeight="1">
      <c r="A213" s="86" t="s">
        <v>303</v>
      </c>
      <c r="B213" s="86" t="s">
        <v>3102</v>
      </c>
      <c r="C213" s="92">
        <v>9030</v>
      </c>
      <c r="D213" s="92">
        <v>8980</v>
      </c>
      <c r="E213" s="92">
        <v>11670</v>
      </c>
      <c r="F213" s="92">
        <v>1690</v>
      </c>
      <c r="G213" s="101">
        <v>5670</v>
      </c>
    </row>
    <row r="214" spans="1:7" s="75" customFormat="1" ht="14.25" customHeight="1">
      <c r="A214" s="86" t="s">
        <v>303</v>
      </c>
      <c r="B214" s="86" t="s">
        <v>3103</v>
      </c>
      <c r="C214" s="92">
        <v>8090</v>
      </c>
      <c r="D214" s="92">
        <v>8030</v>
      </c>
      <c r="E214" s="92">
        <v>10780</v>
      </c>
      <c r="F214" s="92">
        <v>1570</v>
      </c>
      <c r="G214" s="101">
        <v>5070</v>
      </c>
    </row>
    <row r="215" spans="1:7" s="75" customFormat="1" ht="14.25" customHeight="1">
      <c r="A215" s="86" t="s">
        <v>303</v>
      </c>
      <c r="B215" s="86" t="s">
        <v>3104</v>
      </c>
      <c r="C215" s="92">
        <v>7950</v>
      </c>
      <c r="D215" s="92">
        <v>7900</v>
      </c>
      <c r="E215" s="92">
        <v>10560</v>
      </c>
      <c r="F215" s="92">
        <v>1630</v>
      </c>
      <c r="G215" s="101">
        <v>4990</v>
      </c>
    </row>
    <row r="216" spans="1:7" s="75" customFormat="1" ht="14.25" customHeight="1">
      <c r="A216" s="86" t="s">
        <v>303</v>
      </c>
      <c r="B216" s="86" t="s">
        <v>3105</v>
      </c>
      <c r="C216" s="92">
        <v>8490</v>
      </c>
      <c r="D216" s="92">
        <v>8440</v>
      </c>
      <c r="E216" s="92">
        <v>11260</v>
      </c>
      <c r="F216" s="92">
        <v>1690</v>
      </c>
      <c r="G216" s="101">
        <v>5330</v>
      </c>
    </row>
    <row r="217" spans="1:7" s="75" customFormat="1" ht="14.25" customHeight="1">
      <c r="A217" s="86" t="s">
        <v>303</v>
      </c>
      <c r="B217" s="86" t="s">
        <v>3106</v>
      </c>
      <c r="C217" s="92">
        <v>8200</v>
      </c>
      <c r="D217" s="92">
        <v>8150</v>
      </c>
      <c r="E217" s="92">
        <v>10910</v>
      </c>
      <c r="F217" s="92">
        <v>1670</v>
      </c>
      <c r="G217" s="101">
        <v>5150</v>
      </c>
    </row>
    <row r="218" spans="1:7" s="75" customFormat="1" ht="14.25" customHeight="1">
      <c r="A218" s="86" t="s">
        <v>303</v>
      </c>
      <c r="B218" s="86" t="s">
        <v>3107</v>
      </c>
      <c r="C218" s="92"/>
      <c r="D218" s="92"/>
      <c r="E218" s="92"/>
      <c r="F218" s="92">
        <v>2040</v>
      </c>
      <c r="G218" s="101"/>
    </row>
    <row r="219" spans="1:7" s="75" customFormat="1" ht="14.25" customHeight="1">
      <c r="A219" s="86" t="s">
        <v>303</v>
      </c>
      <c r="B219" s="86" t="s">
        <v>3108</v>
      </c>
      <c r="C219" s="92"/>
      <c r="D219" s="92"/>
      <c r="E219" s="92"/>
      <c r="F219" s="92">
        <v>2040</v>
      </c>
      <c r="G219" s="101"/>
    </row>
    <row r="220" spans="1:7" s="75" customFormat="1" ht="14.25" customHeight="1">
      <c r="A220" s="86" t="s">
        <v>303</v>
      </c>
      <c r="B220" s="86" t="s">
        <v>3109</v>
      </c>
      <c r="C220" s="92"/>
      <c r="D220" s="92"/>
      <c r="E220" s="92"/>
      <c r="F220" s="92">
        <v>2040</v>
      </c>
      <c r="G220" s="101"/>
    </row>
    <row r="221" spans="1:7" s="75" customFormat="1" ht="14.25" customHeight="1">
      <c r="A221" s="86" t="s">
        <v>303</v>
      </c>
      <c r="B221" s="86" t="s">
        <v>3110</v>
      </c>
      <c r="C221" s="92"/>
      <c r="D221" s="92"/>
      <c r="E221" s="92"/>
      <c r="F221" s="92">
        <v>2040</v>
      </c>
      <c r="G221" s="101"/>
    </row>
    <row r="222" spans="1:7" s="75" customFormat="1" ht="14.25" customHeight="1">
      <c r="A222" s="86" t="s">
        <v>303</v>
      </c>
      <c r="B222" s="86" t="s">
        <v>3111</v>
      </c>
      <c r="C222" s="92"/>
      <c r="D222" s="92"/>
      <c r="E222" s="92"/>
      <c r="F222" s="92">
        <v>2040</v>
      </c>
      <c r="G222" s="101"/>
    </row>
    <row r="223" spans="1:7" s="75" customFormat="1" ht="14.25" customHeight="1">
      <c r="A223" s="86" t="s">
        <v>303</v>
      </c>
      <c r="B223" s="86" t="s">
        <v>3112</v>
      </c>
      <c r="C223" s="92"/>
      <c r="D223" s="92"/>
      <c r="E223" s="92"/>
      <c r="F223" s="92">
        <v>1930</v>
      </c>
      <c r="G223" s="101"/>
    </row>
    <row r="224" spans="1:7" s="75" customFormat="1" ht="14.25" customHeight="1">
      <c r="A224" s="86" t="s">
        <v>303</v>
      </c>
      <c r="B224" s="86" t="s">
        <v>3113</v>
      </c>
      <c r="C224" s="92"/>
      <c r="D224" s="92"/>
      <c r="E224" s="92"/>
      <c r="F224" s="92">
        <v>1930</v>
      </c>
      <c r="G224" s="101"/>
    </row>
    <row r="225" spans="1:7" s="75" customFormat="1" ht="14.25" customHeight="1">
      <c r="A225" s="86" t="s">
        <v>303</v>
      </c>
      <c r="B225" s="86" t="s">
        <v>3114</v>
      </c>
      <c r="C225" s="92"/>
      <c r="D225" s="92"/>
      <c r="E225" s="92"/>
      <c r="F225" s="92">
        <v>1930</v>
      </c>
      <c r="G225" s="101"/>
    </row>
    <row r="226" spans="1:7" s="75" customFormat="1" ht="14.25" customHeight="1">
      <c r="A226" s="86" t="s">
        <v>303</v>
      </c>
      <c r="B226" s="86" t="s">
        <v>3115</v>
      </c>
      <c r="C226" s="92"/>
      <c r="D226" s="92"/>
      <c r="E226" s="92"/>
      <c r="F226" s="92">
        <v>1700</v>
      </c>
      <c r="G226" s="101"/>
    </row>
    <row r="227" spans="1:7" s="75" customFormat="1" ht="14.25" customHeight="1">
      <c r="A227" s="86" t="s">
        <v>303</v>
      </c>
      <c r="B227" s="86" t="s">
        <v>3413</v>
      </c>
      <c r="C227" s="92"/>
      <c r="D227" s="92"/>
      <c r="E227" s="92"/>
      <c r="F227" s="92">
        <v>1520</v>
      </c>
      <c r="G227" s="101"/>
    </row>
    <row r="228" spans="1:7" s="75" customFormat="1" ht="14.25" customHeight="1">
      <c r="A228" s="86" t="s">
        <v>303</v>
      </c>
      <c r="B228" s="86" t="s">
        <v>3414</v>
      </c>
      <c r="C228" s="92"/>
      <c r="D228" s="92"/>
      <c r="E228" s="92"/>
      <c r="F228" s="92">
        <v>1520</v>
      </c>
      <c r="G228" s="101"/>
    </row>
    <row r="229" spans="1:7" s="75" customFormat="1" ht="14.25" customHeight="1">
      <c r="A229" s="86" t="s">
        <v>303</v>
      </c>
      <c r="B229" s="86" t="s">
        <v>3415</v>
      </c>
      <c r="C229" s="92"/>
      <c r="D229" s="92"/>
      <c r="E229" s="92"/>
      <c r="F229" s="92">
        <v>1520</v>
      </c>
      <c r="G229" s="101"/>
    </row>
    <row r="230" spans="1:7" s="75" customFormat="1" ht="14.25" customHeight="1">
      <c r="A230" s="86" t="s">
        <v>303</v>
      </c>
      <c r="B230" s="86" t="s">
        <v>3119</v>
      </c>
      <c r="C230" s="92"/>
      <c r="D230" s="92"/>
      <c r="E230" s="92"/>
      <c r="F230" s="92">
        <v>1820</v>
      </c>
      <c r="G230" s="101"/>
    </row>
    <row r="231" spans="1:7" s="75" customFormat="1" ht="14.25" customHeight="1">
      <c r="A231" s="86" t="s">
        <v>303</v>
      </c>
      <c r="B231" s="86" t="s">
        <v>3120</v>
      </c>
      <c r="C231" s="92"/>
      <c r="D231" s="92"/>
      <c r="E231" s="92"/>
      <c r="F231" s="92">
        <v>1760</v>
      </c>
      <c r="G231" s="101"/>
    </row>
    <row r="232" spans="1:7" s="75" customFormat="1" ht="14.25" customHeight="1">
      <c r="A232" s="86" t="s">
        <v>303</v>
      </c>
      <c r="B232" s="86" t="s">
        <v>3416</v>
      </c>
      <c r="C232" s="92"/>
      <c r="D232" s="92"/>
      <c r="E232" s="92"/>
      <c r="F232" s="92">
        <v>1840</v>
      </c>
      <c r="G232" s="101"/>
    </row>
    <row r="233" spans="1:7" s="75" customFormat="1" ht="14.25" customHeight="1">
      <c r="A233" s="102" t="s">
        <v>303</v>
      </c>
      <c r="B233" s="94" t="s">
        <v>3122</v>
      </c>
      <c r="C233" s="96"/>
      <c r="D233" s="96"/>
      <c r="E233" s="96"/>
      <c r="F233" s="96">
        <v>1770</v>
      </c>
      <c r="G233" s="103"/>
    </row>
    <row r="234" spans="1:7" s="75" customFormat="1" ht="14.25" customHeight="1">
      <c r="A234" s="90" t="s">
        <v>311</v>
      </c>
      <c r="B234" s="82" t="s">
        <v>3123</v>
      </c>
      <c r="C234" s="92">
        <v>6980</v>
      </c>
      <c r="D234" s="92">
        <v>6970</v>
      </c>
      <c r="E234" s="92">
        <v>8720</v>
      </c>
      <c r="F234" s="92">
        <v>1350</v>
      </c>
      <c r="G234" s="92">
        <v>4280</v>
      </c>
    </row>
    <row r="235" spans="1:7" s="75" customFormat="1" ht="14.25" customHeight="1">
      <c r="A235" s="86" t="s">
        <v>311</v>
      </c>
      <c r="B235" s="86" t="s">
        <v>3124</v>
      </c>
      <c r="C235" s="92">
        <v>7620</v>
      </c>
      <c r="D235" s="92">
        <v>7580</v>
      </c>
      <c r="E235" s="92">
        <v>9360</v>
      </c>
      <c r="F235" s="92">
        <v>1490</v>
      </c>
      <c r="G235" s="92">
        <v>4650</v>
      </c>
    </row>
    <row r="236" spans="1:7" s="75" customFormat="1" ht="14.25" customHeight="1">
      <c r="A236" s="86" t="s">
        <v>311</v>
      </c>
      <c r="B236" s="86" t="s">
        <v>3125</v>
      </c>
      <c r="C236" s="92">
        <v>6650</v>
      </c>
      <c r="D236" s="92">
        <v>6630</v>
      </c>
      <c r="E236" s="92">
        <v>8330</v>
      </c>
      <c r="F236" s="92">
        <v>1250</v>
      </c>
      <c r="G236" s="92">
        <v>4070</v>
      </c>
    </row>
    <row r="237" spans="1:7" s="75" customFormat="1" ht="14.25" customHeight="1">
      <c r="A237" s="86" t="s">
        <v>311</v>
      </c>
      <c r="B237" s="86" t="s">
        <v>3126</v>
      </c>
      <c r="C237" s="92">
        <v>5850</v>
      </c>
      <c r="D237" s="92">
        <v>5820</v>
      </c>
      <c r="E237" s="92">
        <v>7260</v>
      </c>
      <c r="F237" s="92">
        <v>1140</v>
      </c>
      <c r="G237" s="92">
        <v>3570</v>
      </c>
    </row>
    <row r="238" spans="1:7" s="75" customFormat="1" ht="14.25" customHeight="1">
      <c r="A238" s="86" t="s">
        <v>311</v>
      </c>
      <c r="B238" s="86" t="s">
        <v>3127</v>
      </c>
      <c r="C238" s="92">
        <v>6920</v>
      </c>
      <c r="D238" s="92">
        <v>6890</v>
      </c>
      <c r="E238" s="92">
        <v>8640</v>
      </c>
      <c r="F238" s="92">
        <v>1310</v>
      </c>
      <c r="G238" s="92">
        <v>4230</v>
      </c>
    </row>
    <row r="239" spans="1:7" s="75" customFormat="1" ht="14.25" customHeight="1">
      <c r="A239" s="86" t="s">
        <v>311</v>
      </c>
      <c r="B239" s="86" t="s">
        <v>3128</v>
      </c>
      <c r="C239" s="92">
        <v>6780</v>
      </c>
      <c r="D239" s="92">
        <v>6750</v>
      </c>
      <c r="E239" s="92">
        <v>8440</v>
      </c>
      <c r="F239" s="92">
        <v>1160</v>
      </c>
      <c r="G239" s="92">
        <v>4140</v>
      </c>
    </row>
    <row r="240" spans="1:7" s="75" customFormat="1" ht="14.25" customHeight="1">
      <c r="A240" s="86" t="s">
        <v>311</v>
      </c>
      <c r="B240" s="86" t="s">
        <v>3129</v>
      </c>
      <c r="C240" s="92">
        <v>5420</v>
      </c>
      <c r="D240" s="92">
        <v>5380</v>
      </c>
      <c r="E240" s="92">
        <v>6640</v>
      </c>
      <c r="F240" s="92">
        <v>1020</v>
      </c>
      <c r="G240" s="92">
        <v>3300</v>
      </c>
    </row>
    <row r="241" spans="1:7" s="75" customFormat="1" ht="14.25" customHeight="1">
      <c r="A241" s="86" t="s">
        <v>311</v>
      </c>
      <c r="B241" s="86" t="s">
        <v>3130</v>
      </c>
      <c r="C241" s="92">
        <v>6660</v>
      </c>
      <c r="D241" s="92">
        <v>6640</v>
      </c>
      <c r="E241" s="92">
        <v>8340</v>
      </c>
      <c r="F241" s="92">
        <v>1130</v>
      </c>
      <c r="G241" s="92">
        <v>4080</v>
      </c>
    </row>
    <row r="242" spans="1:7" s="75" customFormat="1" ht="14.25" customHeight="1">
      <c r="A242" s="86" t="s">
        <v>311</v>
      </c>
      <c r="B242" s="86" t="s">
        <v>3131</v>
      </c>
      <c r="C242" s="92">
        <v>6580</v>
      </c>
      <c r="D242" s="92">
        <v>6550</v>
      </c>
      <c r="E242" s="92">
        <v>8090</v>
      </c>
      <c r="F242" s="92">
        <v>1240</v>
      </c>
      <c r="G242" s="92">
        <v>4020</v>
      </c>
    </row>
    <row r="243" spans="1:7" s="75" customFormat="1" ht="14.25" customHeight="1">
      <c r="A243" s="86" t="s">
        <v>311</v>
      </c>
      <c r="B243" s="86" t="s">
        <v>3132</v>
      </c>
      <c r="C243" s="92">
        <v>6000</v>
      </c>
      <c r="D243" s="92">
        <v>5970</v>
      </c>
      <c r="E243" s="92">
        <v>7370</v>
      </c>
      <c r="F243" s="92">
        <v>1070</v>
      </c>
      <c r="G243" s="92">
        <v>3670</v>
      </c>
    </row>
    <row r="244" spans="1:7" s="75" customFormat="1" ht="14.25" customHeight="1">
      <c r="A244" s="86" t="s">
        <v>311</v>
      </c>
      <c r="B244" s="86" t="s">
        <v>3133</v>
      </c>
      <c r="C244" s="92">
        <v>5840</v>
      </c>
      <c r="D244" s="92">
        <v>5810</v>
      </c>
      <c r="E244" s="92">
        <v>7240</v>
      </c>
      <c r="F244" s="92">
        <v>1100</v>
      </c>
      <c r="G244" s="92">
        <v>3560</v>
      </c>
    </row>
    <row r="245" spans="1:7" s="75" customFormat="1" ht="14.25" customHeight="1">
      <c r="A245" s="86" t="s">
        <v>311</v>
      </c>
      <c r="B245" s="86" t="s">
        <v>3134</v>
      </c>
      <c r="C245" s="92">
        <v>6040</v>
      </c>
      <c r="D245" s="92">
        <v>6000</v>
      </c>
      <c r="E245" s="92">
        <v>7420</v>
      </c>
      <c r="F245" s="92">
        <v>1140</v>
      </c>
      <c r="G245" s="92">
        <v>3690</v>
      </c>
    </row>
    <row r="246" spans="1:7" s="75" customFormat="1" ht="14.25" customHeight="1">
      <c r="A246" s="86" t="s">
        <v>311</v>
      </c>
      <c r="B246" s="86" t="s">
        <v>3135</v>
      </c>
      <c r="C246" s="92">
        <v>5890</v>
      </c>
      <c r="D246" s="92">
        <v>5860</v>
      </c>
      <c r="E246" s="92">
        <v>7300</v>
      </c>
      <c r="F246" s="92">
        <v>1110</v>
      </c>
      <c r="G246" s="92">
        <v>3590</v>
      </c>
    </row>
    <row r="247" spans="1:7" s="75" customFormat="1" ht="14.25" customHeight="1">
      <c r="A247" s="86" t="s">
        <v>311</v>
      </c>
      <c r="B247" s="86" t="s">
        <v>3136</v>
      </c>
      <c r="C247" s="92">
        <v>6480</v>
      </c>
      <c r="D247" s="92">
        <v>6450</v>
      </c>
      <c r="E247" s="92">
        <v>8010</v>
      </c>
      <c r="F247" s="92">
        <v>1170</v>
      </c>
      <c r="G247" s="92">
        <v>3960</v>
      </c>
    </row>
    <row r="248" spans="1:7" s="75" customFormat="1" ht="14.25" customHeight="1">
      <c r="A248" s="86" t="s">
        <v>311</v>
      </c>
      <c r="B248" s="86" t="s">
        <v>3137</v>
      </c>
      <c r="C248" s="92">
        <v>6860</v>
      </c>
      <c r="D248" s="92">
        <v>6840</v>
      </c>
      <c r="E248" s="92">
        <v>8520</v>
      </c>
      <c r="F248" s="92">
        <v>1240</v>
      </c>
      <c r="G248" s="92">
        <v>4200</v>
      </c>
    </row>
    <row r="249" spans="1:7" s="75" customFormat="1" ht="14.25" customHeight="1">
      <c r="A249" s="86" t="s">
        <v>311</v>
      </c>
      <c r="B249" s="86" t="s">
        <v>3138</v>
      </c>
      <c r="C249" s="92">
        <v>7180</v>
      </c>
      <c r="D249" s="92">
        <v>7140</v>
      </c>
      <c r="E249" s="92">
        <v>8900</v>
      </c>
      <c r="F249" s="92">
        <v>1350</v>
      </c>
      <c r="G249" s="92">
        <v>4380</v>
      </c>
    </row>
    <row r="250" spans="1:7" s="75" customFormat="1" ht="14.25" customHeight="1">
      <c r="A250" s="86" t="s">
        <v>311</v>
      </c>
      <c r="B250" s="86" t="s">
        <v>3139</v>
      </c>
      <c r="C250" s="92">
        <v>6880</v>
      </c>
      <c r="D250" s="92">
        <v>6860</v>
      </c>
      <c r="E250" s="92">
        <v>8550</v>
      </c>
      <c r="F250" s="92">
        <v>1220</v>
      </c>
      <c r="G250" s="92">
        <v>4210</v>
      </c>
    </row>
    <row r="251" spans="1:7" s="75" customFormat="1" ht="14.25" customHeight="1">
      <c r="A251" s="86" t="s">
        <v>311</v>
      </c>
      <c r="B251" s="86" t="s">
        <v>3140</v>
      </c>
      <c r="C251" s="92"/>
      <c r="D251" s="92"/>
      <c r="E251" s="92"/>
      <c r="F251" s="92">
        <v>1100</v>
      </c>
      <c r="G251" s="92"/>
    </row>
    <row r="252" spans="1:7" s="75" customFormat="1" ht="14.25" customHeight="1">
      <c r="A252" s="86" t="s">
        <v>311</v>
      </c>
      <c r="B252" s="86" t="s">
        <v>3141</v>
      </c>
      <c r="C252" s="92">
        <v>7240</v>
      </c>
      <c r="D252" s="92">
        <v>7200</v>
      </c>
      <c r="E252" s="92">
        <v>9040</v>
      </c>
      <c r="F252" s="92">
        <v>1380</v>
      </c>
      <c r="G252" s="92">
        <v>4420</v>
      </c>
    </row>
    <row r="253" spans="1:7" s="75" customFormat="1" ht="14.25" customHeight="1">
      <c r="A253" s="86" t="s">
        <v>311</v>
      </c>
      <c r="B253" s="86" t="s">
        <v>3142</v>
      </c>
      <c r="C253" s="92">
        <v>6670</v>
      </c>
      <c r="D253" s="92">
        <v>6650</v>
      </c>
      <c r="E253" s="92">
        <v>8350</v>
      </c>
      <c r="F253" s="92">
        <v>1260</v>
      </c>
      <c r="G253" s="92">
        <v>4080</v>
      </c>
    </row>
    <row r="254" spans="1:7" s="75" customFormat="1" ht="14.25" customHeight="1">
      <c r="A254" s="86" t="s">
        <v>311</v>
      </c>
      <c r="B254" s="86" t="s">
        <v>3143</v>
      </c>
      <c r="C254" s="92">
        <v>7630</v>
      </c>
      <c r="D254" s="92">
        <v>7590</v>
      </c>
      <c r="E254" s="92">
        <v>9380</v>
      </c>
      <c r="F254" s="92">
        <v>1320</v>
      </c>
      <c r="G254" s="92">
        <v>4660</v>
      </c>
    </row>
    <row r="255" spans="1:7" s="75" customFormat="1" ht="14.25" customHeight="1">
      <c r="A255" s="86" t="s">
        <v>311</v>
      </c>
      <c r="B255" s="86" t="s">
        <v>3144</v>
      </c>
      <c r="C255" s="92">
        <v>6940</v>
      </c>
      <c r="D255" s="92">
        <v>6890</v>
      </c>
      <c r="E255" s="92">
        <v>8650</v>
      </c>
      <c r="F255" s="92">
        <v>1210</v>
      </c>
      <c r="G255" s="92">
        <v>4230</v>
      </c>
    </row>
    <row r="256" spans="1:7" s="75" customFormat="1" ht="14.25" customHeight="1">
      <c r="A256" s="86" t="s">
        <v>311</v>
      </c>
      <c r="B256" s="86" t="s">
        <v>3145</v>
      </c>
      <c r="C256" s="92">
        <v>7520</v>
      </c>
      <c r="D256" s="92">
        <v>7490</v>
      </c>
      <c r="E256" s="92">
        <v>9240</v>
      </c>
      <c r="F256" s="92">
        <v>1270</v>
      </c>
      <c r="G256" s="92">
        <v>4590</v>
      </c>
    </row>
    <row r="257" spans="1:7" s="75" customFormat="1" ht="14.25" customHeight="1">
      <c r="A257" s="86" t="s">
        <v>311</v>
      </c>
      <c r="B257" s="86" t="s">
        <v>3146</v>
      </c>
      <c r="C257" s="92">
        <v>6280</v>
      </c>
      <c r="D257" s="92">
        <v>6230</v>
      </c>
      <c r="E257" s="92">
        <v>7740</v>
      </c>
      <c r="F257" s="92">
        <v>1080</v>
      </c>
      <c r="G257" s="92">
        <v>3830</v>
      </c>
    </row>
    <row r="258" spans="1:7" s="75" customFormat="1" ht="14.25" customHeight="1">
      <c r="A258" s="86" t="s">
        <v>311</v>
      </c>
      <c r="B258" s="86" t="s">
        <v>3147</v>
      </c>
      <c r="C258" s="92">
        <v>6190</v>
      </c>
      <c r="D258" s="92">
        <v>6160</v>
      </c>
      <c r="E258" s="92">
        <v>7680</v>
      </c>
      <c r="F258" s="92">
        <v>1170</v>
      </c>
      <c r="G258" s="92">
        <v>3780</v>
      </c>
    </row>
    <row r="259" spans="1:7" s="75" customFormat="1" ht="14.25" customHeight="1">
      <c r="A259" s="86" t="s">
        <v>311</v>
      </c>
      <c r="B259" s="86" t="s">
        <v>3148</v>
      </c>
      <c r="C259" s="92">
        <v>7610</v>
      </c>
      <c r="D259" s="92">
        <v>7570</v>
      </c>
      <c r="E259" s="92">
        <v>9350</v>
      </c>
      <c r="F259" s="92">
        <v>1350</v>
      </c>
      <c r="G259" s="92">
        <v>4650</v>
      </c>
    </row>
    <row r="260" spans="1:7" s="75" customFormat="1" ht="14.25" customHeight="1">
      <c r="A260" s="86" t="s">
        <v>311</v>
      </c>
      <c r="B260" s="86" t="s">
        <v>3149</v>
      </c>
      <c r="C260" s="92">
        <v>6920</v>
      </c>
      <c r="D260" s="92">
        <v>6880</v>
      </c>
      <c r="E260" s="92">
        <v>8380</v>
      </c>
      <c r="F260" s="92">
        <v>1160</v>
      </c>
      <c r="G260" s="92">
        <v>4220</v>
      </c>
    </row>
    <row r="261" spans="1:7" s="75" customFormat="1" ht="14.25" customHeight="1">
      <c r="A261" s="86" t="s">
        <v>311</v>
      </c>
      <c r="B261" s="86" t="s">
        <v>3150</v>
      </c>
      <c r="C261" s="92">
        <v>6850</v>
      </c>
      <c r="D261" s="92">
        <v>6810</v>
      </c>
      <c r="E261" s="92">
        <v>8290</v>
      </c>
      <c r="F261" s="92">
        <v>1130</v>
      </c>
      <c r="G261" s="92">
        <v>4180</v>
      </c>
    </row>
    <row r="262" spans="1:7" s="75" customFormat="1" ht="14.25" customHeight="1">
      <c r="A262" s="86" t="s">
        <v>311</v>
      </c>
      <c r="B262" s="86" t="s">
        <v>3151</v>
      </c>
      <c r="C262" s="92">
        <v>5860</v>
      </c>
      <c r="D262" s="92">
        <v>5820</v>
      </c>
      <c r="E262" s="92">
        <v>7640</v>
      </c>
      <c r="F262" s="92">
        <v>1070</v>
      </c>
      <c r="G262" s="92">
        <v>3570</v>
      </c>
    </row>
    <row r="263" spans="1:7" s="75" customFormat="1" ht="14.25" customHeight="1">
      <c r="A263" s="86" t="s">
        <v>311</v>
      </c>
      <c r="B263" s="86" t="s">
        <v>3152</v>
      </c>
      <c r="C263" s="92">
        <v>5870</v>
      </c>
      <c r="D263" s="92">
        <v>5840</v>
      </c>
      <c r="E263" s="92">
        <v>7270</v>
      </c>
      <c r="F263" s="92">
        <v>1190</v>
      </c>
      <c r="G263" s="92">
        <v>3580</v>
      </c>
    </row>
    <row r="264" spans="1:7" s="75" customFormat="1" ht="14.25" customHeight="1">
      <c r="A264" s="86" t="s">
        <v>311</v>
      </c>
      <c r="B264" s="86" t="s">
        <v>3153</v>
      </c>
      <c r="C264" s="92">
        <v>6190</v>
      </c>
      <c r="D264" s="92">
        <v>6150</v>
      </c>
      <c r="E264" s="92">
        <v>7660</v>
      </c>
      <c r="F264" s="92">
        <v>1160</v>
      </c>
      <c r="G264" s="92">
        <v>3770</v>
      </c>
    </row>
    <row r="265" spans="1:7" s="75" customFormat="1" ht="14.25" customHeight="1">
      <c r="A265" s="86" t="s">
        <v>311</v>
      </c>
      <c r="B265" s="86" t="s">
        <v>3154</v>
      </c>
      <c r="C265" s="92"/>
      <c r="D265" s="92"/>
      <c r="E265" s="92"/>
      <c r="F265" s="92">
        <v>1500</v>
      </c>
      <c r="G265" s="92"/>
    </row>
    <row r="266" spans="1:7" s="75" customFormat="1" ht="14.25" customHeight="1">
      <c r="A266" s="86" t="s">
        <v>311</v>
      </c>
      <c r="B266" s="86" t="s">
        <v>3155</v>
      </c>
      <c r="C266" s="92"/>
      <c r="D266" s="92"/>
      <c r="E266" s="92"/>
      <c r="F266" s="92">
        <v>1500</v>
      </c>
      <c r="G266" s="92"/>
    </row>
    <row r="267" spans="1:7" s="75" customFormat="1" ht="14.25" customHeight="1">
      <c r="A267" s="86" t="s">
        <v>311</v>
      </c>
      <c r="B267" s="86" t="s">
        <v>3156</v>
      </c>
      <c r="C267" s="92"/>
      <c r="D267" s="92"/>
      <c r="E267" s="92"/>
      <c r="F267" s="92">
        <v>1500</v>
      </c>
      <c r="G267" s="92"/>
    </row>
    <row r="268" spans="1:7" s="75" customFormat="1" ht="14.25" customHeight="1">
      <c r="A268" s="86" t="s">
        <v>311</v>
      </c>
      <c r="B268" s="86" t="s">
        <v>3157</v>
      </c>
      <c r="C268" s="92"/>
      <c r="D268" s="92"/>
      <c r="E268" s="92"/>
      <c r="F268" s="92">
        <v>1290</v>
      </c>
      <c r="G268" s="92"/>
    </row>
    <row r="269" spans="1:7" s="75" customFormat="1" ht="14.25" customHeight="1">
      <c r="A269" s="86" t="s">
        <v>311</v>
      </c>
      <c r="B269" s="86" t="s">
        <v>3158</v>
      </c>
      <c r="C269" s="92"/>
      <c r="D269" s="92"/>
      <c r="E269" s="92"/>
      <c r="F269" s="92">
        <v>1150</v>
      </c>
      <c r="G269" s="92"/>
    </row>
    <row r="270" spans="1:7" s="75" customFormat="1" ht="14.25" customHeight="1">
      <c r="A270" s="86" t="s">
        <v>311</v>
      </c>
      <c r="B270" s="86" t="s">
        <v>3159</v>
      </c>
      <c r="C270" s="92"/>
      <c r="D270" s="92"/>
      <c r="E270" s="92"/>
      <c r="F270" s="92">
        <v>1380</v>
      </c>
      <c r="G270" s="92"/>
    </row>
    <row r="271" spans="1:7" s="75" customFormat="1" ht="14.25" customHeight="1">
      <c r="A271" s="86" t="s">
        <v>311</v>
      </c>
      <c r="B271" s="86" t="s">
        <v>3160</v>
      </c>
      <c r="C271" s="92"/>
      <c r="D271" s="92"/>
      <c r="E271" s="92"/>
      <c r="F271" s="92">
        <v>1460</v>
      </c>
      <c r="G271" s="92"/>
    </row>
    <row r="272" spans="1:7" s="75" customFormat="1" ht="14.25" customHeight="1">
      <c r="A272" s="86" t="s">
        <v>311</v>
      </c>
      <c r="B272" s="86" t="s">
        <v>3161</v>
      </c>
      <c r="C272" s="92"/>
      <c r="D272" s="92"/>
      <c r="E272" s="92"/>
      <c r="F272" s="92">
        <v>1460</v>
      </c>
      <c r="G272" s="92"/>
    </row>
    <row r="273" spans="1:7" s="75" customFormat="1" ht="14.25" customHeight="1">
      <c r="A273" s="86" t="s">
        <v>311</v>
      </c>
      <c r="B273" s="86" t="s">
        <v>3162</v>
      </c>
      <c r="C273" s="92"/>
      <c r="D273" s="92"/>
      <c r="E273" s="92"/>
      <c r="F273" s="92">
        <v>1490</v>
      </c>
      <c r="G273" s="92"/>
    </row>
    <row r="274" spans="1:7" s="75" customFormat="1" ht="14.25" customHeight="1">
      <c r="A274" s="86" t="s">
        <v>311</v>
      </c>
      <c r="B274" s="86" t="s">
        <v>3163</v>
      </c>
      <c r="C274" s="92"/>
      <c r="D274" s="92"/>
      <c r="E274" s="92"/>
      <c r="F274" s="92">
        <v>1490</v>
      </c>
      <c r="G274" s="92"/>
    </row>
    <row r="275" spans="1:7" s="75" customFormat="1" ht="14.25" customHeight="1">
      <c r="A275" s="86" t="s">
        <v>311</v>
      </c>
      <c r="B275" s="86" t="s">
        <v>3164</v>
      </c>
      <c r="C275" s="92"/>
      <c r="D275" s="92"/>
      <c r="E275" s="92"/>
      <c r="F275" s="92">
        <v>1220</v>
      </c>
      <c r="G275" s="92"/>
    </row>
    <row r="276" spans="1:7" s="75" customFormat="1" ht="14.25" customHeight="1">
      <c r="A276" s="95" t="s">
        <v>311</v>
      </c>
      <c r="B276" s="98" t="s">
        <v>3165</v>
      </c>
      <c r="C276" s="99"/>
      <c r="D276" s="99"/>
      <c r="E276" s="99"/>
      <c r="F276" s="99">
        <v>1380</v>
      </c>
      <c r="G276" s="99"/>
    </row>
    <row r="277" spans="1:7" s="75" customFormat="1" ht="14.25" customHeight="1">
      <c r="A277" s="90" t="s">
        <v>318</v>
      </c>
      <c r="B277" s="82" t="s">
        <v>3166</v>
      </c>
      <c r="C277" s="91">
        <v>5790</v>
      </c>
      <c r="D277" s="91">
        <v>5740</v>
      </c>
      <c r="E277" s="91">
        <v>6730</v>
      </c>
      <c r="F277" s="91">
        <v>1110</v>
      </c>
      <c r="G277" s="100">
        <v>3460</v>
      </c>
    </row>
    <row r="278" spans="1:7" s="75" customFormat="1" ht="14.25" customHeight="1">
      <c r="A278" s="86" t="s">
        <v>318</v>
      </c>
      <c r="B278" s="86" t="s">
        <v>3167</v>
      </c>
      <c r="C278" s="92">
        <v>5740</v>
      </c>
      <c r="D278" s="92">
        <v>5670</v>
      </c>
      <c r="E278" s="92">
        <v>6680</v>
      </c>
      <c r="F278" s="92">
        <v>1070</v>
      </c>
      <c r="G278" s="101">
        <v>3420</v>
      </c>
    </row>
    <row r="279" spans="1:7" s="75" customFormat="1" ht="14.25" customHeight="1">
      <c r="A279" s="86" t="s">
        <v>318</v>
      </c>
      <c r="B279" s="86" t="s">
        <v>3168</v>
      </c>
      <c r="C279" s="92">
        <v>4760</v>
      </c>
      <c r="D279" s="92">
        <v>4720</v>
      </c>
      <c r="E279" s="92">
        <v>5540</v>
      </c>
      <c r="F279" s="92">
        <v>810</v>
      </c>
      <c r="G279" s="101">
        <v>2850</v>
      </c>
    </row>
    <row r="280" spans="1:7" s="75" customFormat="1" ht="14.25" customHeight="1">
      <c r="A280" s="86" t="s">
        <v>318</v>
      </c>
      <c r="B280" s="86" t="s">
        <v>3169</v>
      </c>
      <c r="C280" s="92">
        <v>4010</v>
      </c>
      <c r="D280" s="92">
        <v>3950</v>
      </c>
      <c r="E280" s="92">
        <v>4710</v>
      </c>
      <c r="F280" s="92">
        <v>800</v>
      </c>
      <c r="G280" s="101">
        <v>2390</v>
      </c>
    </row>
    <row r="281" spans="1:7" s="75" customFormat="1" ht="14.25" customHeight="1">
      <c r="A281" s="86" t="s">
        <v>318</v>
      </c>
      <c r="B281" s="86" t="s">
        <v>3170</v>
      </c>
      <c r="C281" s="92">
        <v>4480</v>
      </c>
      <c r="D281" s="92">
        <v>4420</v>
      </c>
      <c r="E281" s="92">
        <v>5230</v>
      </c>
      <c r="F281" s="92">
        <v>870</v>
      </c>
      <c r="G281" s="101">
        <v>2660</v>
      </c>
    </row>
    <row r="282" spans="1:7" s="75" customFormat="1" ht="14.25" customHeight="1">
      <c r="A282" s="86" t="s">
        <v>318</v>
      </c>
      <c r="B282" s="86" t="s">
        <v>3171</v>
      </c>
      <c r="C282" s="92">
        <v>5360</v>
      </c>
      <c r="D282" s="92">
        <v>5300</v>
      </c>
      <c r="E282" s="92">
        <v>6190</v>
      </c>
      <c r="F282" s="92">
        <v>950</v>
      </c>
      <c r="G282" s="101">
        <v>3190</v>
      </c>
    </row>
    <row r="283" spans="1:7" s="75" customFormat="1" ht="14.25" customHeight="1">
      <c r="A283" s="86" t="s">
        <v>318</v>
      </c>
      <c r="B283" s="86" t="s">
        <v>3172</v>
      </c>
      <c r="C283" s="92">
        <v>4950</v>
      </c>
      <c r="D283" s="92">
        <v>4900</v>
      </c>
      <c r="E283" s="92">
        <v>5720</v>
      </c>
      <c r="F283" s="92">
        <v>920</v>
      </c>
      <c r="G283" s="101">
        <v>2950</v>
      </c>
    </row>
    <row r="284" spans="1:7" s="75" customFormat="1" ht="14.25" customHeight="1">
      <c r="A284" s="86" t="s">
        <v>318</v>
      </c>
      <c r="B284" s="86" t="s">
        <v>3173</v>
      </c>
      <c r="C284" s="92">
        <v>5610</v>
      </c>
      <c r="D284" s="92">
        <v>5560</v>
      </c>
      <c r="E284" s="92">
        <v>6520</v>
      </c>
      <c r="F284" s="92">
        <v>1030</v>
      </c>
      <c r="G284" s="101">
        <v>3360</v>
      </c>
    </row>
    <row r="285" spans="1:7" s="75" customFormat="1" ht="14.25" customHeight="1">
      <c r="A285" s="86" t="s">
        <v>318</v>
      </c>
      <c r="B285" s="86" t="s">
        <v>3174</v>
      </c>
      <c r="C285" s="92">
        <v>5340</v>
      </c>
      <c r="D285" s="92">
        <v>5290</v>
      </c>
      <c r="E285" s="92">
        <v>6170</v>
      </c>
      <c r="F285" s="92">
        <v>1080</v>
      </c>
      <c r="G285" s="101">
        <v>3180</v>
      </c>
    </row>
    <row r="286" spans="1:7" s="75" customFormat="1" ht="14.25" customHeight="1">
      <c r="A286" s="86" t="s">
        <v>318</v>
      </c>
      <c r="B286" s="86" t="s">
        <v>3175</v>
      </c>
      <c r="C286" s="92">
        <v>4890</v>
      </c>
      <c r="D286" s="92">
        <v>4840</v>
      </c>
      <c r="E286" s="92">
        <v>5640</v>
      </c>
      <c r="F286" s="92">
        <v>960</v>
      </c>
      <c r="G286" s="101">
        <v>2910</v>
      </c>
    </row>
    <row r="287" spans="1:7" s="75" customFormat="1" ht="14.25" customHeight="1">
      <c r="A287" s="86" t="s">
        <v>318</v>
      </c>
      <c r="B287" s="86" t="s">
        <v>3176</v>
      </c>
      <c r="C287" s="92">
        <v>4960</v>
      </c>
      <c r="D287" s="92">
        <v>4920</v>
      </c>
      <c r="E287" s="92">
        <v>5730</v>
      </c>
      <c r="F287" s="92">
        <v>930</v>
      </c>
      <c r="G287" s="101">
        <v>2960</v>
      </c>
    </row>
    <row r="288" spans="1:7" s="75" customFormat="1" ht="14.25" customHeight="1">
      <c r="A288" s="86" t="s">
        <v>318</v>
      </c>
      <c r="B288" s="86" t="s">
        <v>3177</v>
      </c>
      <c r="C288" s="92">
        <v>4350</v>
      </c>
      <c r="D288" s="92">
        <v>4300</v>
      </c>
      <c r="E288" s="92">
        <v>4900</v>
      </c>
      <c r="F288" s="92">
        <v>820</v>
      </c>
      <c r="G288" s="101">
        <v>2590</v>
      </c>
    </row>
    <row r="289" spans="1:7" s="75" customFormat="1" ht="14.25" customHeight="1">
      <c r="A289" s="86" t="s">
        <v>318</v>
      </c>
      <c r="B289" s="86" t="s">
        <v>3178</v>
      </c>
      <c r="C289" s="92">
        <v>5230</v>
      </c>
      <c r="D289" s="92">
        <v>5170</v>
      </c>
      <c r="E289" s="92">
        <v>6060</v>
      </c>
      <c r="F289" s="92">
        <v>900</v>
      </c>
      <c r="G289" s="101">
        <v>3120</v>
      </c>
    </row>
    <row r="290" spans="1:7" s="75" customFormat="1" ht="14.25" customHeight="1">
      <c r="A290" s="86" t="s">
        <v>318</v>
      </c>
      <c r="B290" s="86" t="s">
        <v>3179</v>
      </c>
      <c r="C290" s="92">
        <v>5550</v>
      </c>
      <c r="D290" s="92">
        <v>5500</v>
      </c>
      <c r="E290" s="92">
        <v>6440</v>
      </c>
      <c r="F290" s="92">
        <v>960</v>
      </c>
      <c r="G290" s="101">
        <v>3320</v>
      </c>
    </row>
    <row r="291" spans="1:7" s="75" customFormat="1" ht="14.25" customHeight="1">
      <c r="A291" s="86" t="s">
        <v>318</v>
      </c>
      <c r="B291" s="86" t="s">
        <v>3180</v>
      </c>
      <c r="C291" s="92">
        <v>5440</v>
      </c>
      <c r="D291" s="92">
        <v>5400</v>
      </c>
      <c r="E291" s="92">
        <v>6320</v>
      </c>
      <c r="F291" s="92">
        <v>930</v>
      </c>
      <c r="G291" s="101">
        <v>3250</v>
      </c>
    </row>
    <row r="292" spans="1:7" s="75" customFormat="1" ht="14.25" customHeight="1">
      <c r="A292" s="86" t="s">
        <v>318</v>
      </c>
      <c r="B292" s="86" t="s">
        <v>3181</v>
      </c>
      <c r="C292" s="92">
        <v>5400</v>
      </c>
      <c r="D292" s="92">
        <v>5360</v>
      </c>
      <c r="E292" s="92">
        <v>6270</v>
      </c>
      <c r="F292" s="92">
        <v>1040</v>
      </c>
      <c r="G292" s="101">
        <v>3230</v>
      </c>
    </row>
    <row r="293" spans="1:7" s="75" customFormat="1" ht="14.25" customHeight="1">
      <c r="A293" s="86" t="s">
        <v>318</v>
      </c>
      <c r="B293" s="86" t="s">
        <v>3182</v>
      </c>
      <c r="C293" s="92">
        <v>5320</v>
      </c>
      <c r="D293" s="92">
        <v>5270</v>
      </c>
      <c r="E293" s="92">
        <v>6160</v>
      </c>
      <c r="F293" s="92">
        <v>990</v>
      </c>
      <c r="G293" s="101">
        <v>3170</v>
      </c>
    </row>
    <row r="294" spans="1:7" s="75" customFormat="1" ht="14.25" customHeight="1">
      <c r="A294" s="86" t="s">
        <v>318</v>
      </c>
      <c r="B294" s="86" t="s">
        <v>3183</v>
      </c>
      <c r="C294" s="92">
        <v>5260</v>
      </c>
      <c r="D294" s="92">
        <v>5210</v>
      </c>
      <c r="E294" s="92">
        <v>6100</v>
      </c>
      <c r="F294" s="92">
        <v>950</v>
      </c>
      <c r="G294" s="101">
        <v>3150</v>
      </c>
    </row>
    <row r="295" spans="1:7" s="75" customFormat="1" ht="14.25" customHeight="1">
      <c r="A295" s="86" t="s">
        <v>318</v>
      </c>
      <c r="B295" s="86" t="s">
        <v>3184</v>
      </c>
      <c r="C295" s="92">
        <v>5610</v>
      </c>
      <c r="D295" s="92">
        <v>5570</v>
      </c>
      <c r="E295" s="92">
        <v>6530</v>
      </c>
      <c r="F295" s="92">
        <v>960</v>
      </c>
      <c r="G295" s="101">
        <v>3360</v>
      </c>
    </row>
    <row r="296" spans="1:7" s="75" customFormat="1" ht="14.25" customHeight="1">
      <c r="A296" s="86" t="s">
        <v>318</v>
      </c>
      <c r="B296" s="86" t="s">
        <v>3185</v>
      </c>
      <c r="C296" s="92">
        <v>5540</v>
      </c>
      <c r="D296" s="92">
        <v>5490</v>
      </c>
      <c r="E296" s="92">
        <v>6430</v>
      </c>
      <c r="F296" s="92">
        <v>980</v>
      </c>
      <c r="G296" s="101">
        <v>3310</v>
      </c>
    </row>
    <row r="297" spans="1:7" s="75" customFormat="1" ht="14.25" customHeight="1">
      <c r="A297" s="86" t="s">
        <v>318</v>
      </c>
      <c r="B297" s="86" t="s">
        <v>3186</v>
      </c>
      <c r="C297" s="92">
        <v>5480</v>
      </c>
      <c r="D297" s="92">
        <v>5420</v>
      </c>
      <c r="E297" s="92">
        <v>6370</v>
      </c>
      <c r="F297" s="92">
        <v>990</v>
      </c>
      <c r="G297" s="101">
        <v>3270</v>
      </c>
    </row>
    <row r="298" spans="1:7" s="75" customFormat="1" ht="14.25" customHeight="1">
      <c r="A298" s="86" t="s">
        <v>318</v>
      </c>
      <c r="B298" s="86" t="s">
        <v>3187</v>
      </c>
      <c r="C298" s="92">
        <v>5090</v>
      </c>
      <c r="D298" s="92">
        <v>5050</v>
      </c>
      <c r="E298" s="92">
        <v>5910</v>
      </c>
      <c r="F298" s="92">
        <v>900</v>
      </c>
      <c r="G298" s="101">
        <v>3040</v>
      </c>
    </row>
    <row r="299" spans="1:7" s="75" customFormat="1" ht="14.25" customHeight="1">
      <c r="A299" s="86" t="s">
        <v>318</v>
      </c>
      <c r="B299" s="97" t="s">
        <v>3188</v>
      </c>
      <c r="C299" s="92">
        <v>5430</v>
      </c>
      <c r="D299" s="92">
        <v>5380</v>
      </c>
      <c r="E299" s="92">
        <v>6280</v>
      </c>
      <c r="F299" s="92">
        <v>1000</v>
      </c>
      <c r="G299" s="101">
        <v>3240</v>
      </c>
    </row>
    <row r="300" spans="1:7" s="75" customFormat="1" ht="14.25" customHeight="1">
      <c r="A300" s="86" t="s">
        <v>318</v>
      </c>
      <c r="B300" s="97" t="s">
        <v>3189</v>
      </c>
      <c r="C300" s="92">
        <v>4740</v>
      </c>
      <c r="D300" s="92">
        <v>4680</v>
      </c>
      <c r="E300" s="92">
        <v>5450</v>
      </c>
      <c r="F300" s="92">
        <v>900</v>
      </c>
      <c r="G300" s="101">
        <v>2830</v>
      </c>
    </row>
    <row r="301" spans="1:7" s="75" customFormat="1" ht="14.25" customHeight="1">
      <c r="A301" s="86" t="s">
        <v>318</v>
      </c>
      <c r="B301" s="97" t="s">
        <v>3190</v>
      </c>
      <c r="C301" s="92">
        <v>4870</v>
      </c>
      <c r="D301" s="92">
        <v>4810</v>
      </c>
      <c r="E301" s="92">
        <v>5560</v>
      </c>
      <c r="F301" s="92">
        <v>990</v>
      </c>
      <c r="G301" s="101">
        <v>2910</v>
      </c>
    </row>
    <row r="302" spans="1:7" s="75" customFormat="1" ht="14.25" customHeight="1">
      <c r="A302" s="86" t="s">
        <v>318</v>
      </c>
      <c r="B302" s="86" t="s">
        <v>3191</v>
      </c>
      <c r="C302" s="92">
        <v>5520</v>
      </c>
      <c r="D302" s="92">
        <v>5470</v>
      </c>
      <c r="E302" s="92">
        <v>6410</v>
      </c>
      <c r="F302" s="92">
        <v>950</v>
      </c>
      <c r="G302" s="101">
        <v>3300</v>
      </c>
    </row>
    <row r="303" spans="1:7" s="75" customFormat="1" ht="14.25" customHeight="1">
      <c r="A303" s="86" t="s">
        <v>318</v>
      </c>
      <c r="B303" s="86" t="s">
        <v>3192</v>
      </c>
      <c r="C303" s="92">
        <v>5630</v>
      </c>
      <c r="D303" s="92">
        <v>5590</v>
      </c>
      <c r="E303" s="92">
        <v>6550</v>
      </c>
      <c r="F303" s="92">
        <v>1010</v>
      </c>
      <c r="G303" s="101">
        <v>3370</v>
      </c>
    </row>
    <row r="304" spans="1:7" s="75" customFormat="1" ht="14.25" customHeight="1">
      <c r="A304" s="86" t="s">
        <v>318</v>
      </c>
      <c r="B304" s="86" t="s">
        <v>3193</v>
      </c>
      <c r="C304" s="92">
        <v>5680</v>
      </c>
      <c r="D304" s="92">
        <v>5620</v>
      </c>
      <c r="E304" s="92">
        <v>6620</v>
      </c>
      <c r="F304" s="92">
        <v>1050</v>
      </c>
      <c r="G304" s="101">
        <v>3390</v>
      </c>
    </row>
    <row r="305" spans="1:7" s="75" customFormat="1" ht="14.25" customHeight="1">
      <c r="A305" s="86" t="s">
        <v>318</v>
      </c>
      <c r="B305" s="86" t="s">
        <v>3194</v>
      </c>
      <c r="C305" s="92">
        <v>5590</v>
      </c>
      <c r="D305" s="92">
        <v>5530</v>
      </c>
      <c r="E305" s="92">
        <v>6460</v>
      </c>
      <c r="F305" s="92">
        <v>900</v>
      </c>
      <c r="G305" s="101">
        <v>3340</v>
      </c>
    </row>
    <row r="306" spans="1:7" s="75" customFormat="1" ht="14.25" customHeight="1">
      <c r="A306" s="86" t="s">
        <v>318</v>
      </c>
      <c r="B306" s="86" t="s">
        <v>3195</v>
      </c>
      <c r="C306" s="92">
        <v>5560</v>
      </c>
      <c r="D306" s="92">
        <v>5510</v>
      </c>
      <c r="E306" s="92">
        <v>6440</v>
      </c>
      <c r="F306" s="92">
        <v>900</v>
      </c>
      <c r="G306" s="101">
        <v>3320</v>
      </c>
    </row>
    <row r="307" spans="1:7" s="75" customFormat="1" ht="14.25" customHeight="1">
      <c r="A307" s="86" t="s">
        <v>318</v>
      </c>
      <c r="B307" s="86" t="s">
        <v>3196</v>
      </c>
      <c r="C307" s="92">
        <v>5650</v>
      </c>
      <c r="D307" s="92">
        <v>5600</v>
      </c>
      <c r="E307" s="92">
        <v>6590</v>
      </c>
      <c r="F307" s="92">
        <v>930</v>
      </c>
      <c r="G307" s="101">
        <v>3380</v>
      </c>
    </row>
    <row r="308" spans="1:7" s="75" customFormat="1" ht="14.25" customHeight="1">
      <c r="A308" s="86" t="s">
        <v>318</v>
      </c>
      <c r="B308" s="86" t="s">
        <v>3197</v>
      </c>
      <c r="C308" s="92">
        <v>5620</v>
      </c>
      <c r="D308" s="92">
        <v>5580</v>
      </c>
      <c r="E308" s="92">
        <v>6540</v>
      </c>
      <c r="F308" s="92">
        <v>910</v>
      </c>
      <c r="G308" s="101">
        <v>3370</v>
      </c>
    </row>
    <row r="309" spans="1:7" s="75" customFormat="1" ht="14.25" customHeight="1">
      <c r="A309" s="86" t="s">
        <v>318</v>
      </c>
      <c r="B309" s="86" t="s">
        <v>3198</v>
      </c>
      <c r="C309" s="92">
        <v>5060</v>
      </c>
      <c r="D309" s="92">
        <v>5020</v>
      </c>
      <c r="E309" s="92">
        <v>6370</v>
      </c>
      <c r="F309" s="92">
        <v>800</v>
      </c>
      <c r="G309" s="101">
        <v>3020</v>
      </c>
    </row>
    <row r="310" spans="1:7" s="75" customFormat="1" ht="14.25" customHeight="1">
      <c r="A310" s="86" t="s">
        <v>318</v>
      </c>
      <c r="B310" s="86" t="s">
        <v>3199</v>
      </c>
      <c r="C310" s="92">
        <v>5150</v>
      </c>
      <c r="D310" s="92">
        <v>5110</v>
      </c>
      <c r="E310" s="92">
        <v>6500</v>
      </c>
      <c r="F310" s="92">
        <v>880</v>
      </c>
      <c r="G310" s="101">
        <v>3080</v>
      </c>
    </row>
    <row r="311" spans="1:7" s="75" customFormat="1" ht="14.25" customHeight="1">
      <c r="A311" s="86" t="s">
        <v>318</v>
      </c>
      <c r="B311" s="86" t="s">
        <v>3200</v>
      </c>
      <c r="C311" s="92">
        <v>4750</v>
      </c>
      <c r="D311" s="92">
        <v>4710</v>
      </c>
      <c r="E311" s="92">
        <v>5510</v>
      </c>
      <c r="F311" s="92">
        <v>880</v>
      </c>
      <c r="G311" s="101">
        <v>2840</v>
      </c>
    </row>
    <row r="312" spans="1:7" s="75" customFormat="1" ht="14.25" customHeight="1">
      <c r="A312" s="86" t="s">
        <v>318</v>
      </c>
      <c r="B312" s="86" t="s">
        <v>3201</v>
      </c>
      <c r="C312" s="92">
        <v>4690</v>
      </c>
      <c r="D312" s="92">
        <v>4640</v>
      </c>
      <c r="E312" s="92">
        <v>5420</v>
      </c>
      <c r="F312" s="92">
        <v>800</v>
      </c>
      <c r="G312" s="101">
        <v>2800</v>
      </c>
    </row>
    <row r="313" spans="1:7" s="75" customFormat="1" ht="14.25" customHeight="1">
      <c r="A313" s="86" t="s">
        <v>318</v>
      </c>
      <c r="B313" s="86" t="s">
        <v>3202</v>
      </c>
      <c r="C313" s="92">
        <v>4810</v>
      </c>
      <c r="D313" s="92">
        <v>4760</v>
      </c>
      <c r="E313" s="92">
        <v>5550</v>
      </c>
      <c r="F313" s="92">
        <v>920</v>
      </c>
      <c r="G313" s="101">
        <v>2870</v>
      </c>
    </row>
    <row r="314" spans="1:7" s="75" customFormat="1" ht="14.25" customHeight="1">
      <c r="A314" s="86" t="s">
        <v>318</v>
      </c>
      <c r="B314" s="86" t="s">
        <v>3203</v>
      </c>
      <c r="C314" s="92"/>
      <c r="D314" s="92"/>
      <c r="E314" s="92"/>
      <c r="F314" s="92">
        <v>1020</v>
      </c>
      <c r="G314" s="101"/>
    </row>
    <row r="315" spans="1:7" s="75" customFormat="1" ht="14.25" customHeight="1">
      <c r="A315" s="86" t="s">
        <v>318</v>
      </c>
      <c r="B315" s="86" t="s">
        <v>3204</v>
      </c>
      <c r="C315" s="92"/>
      <c r="D315" s="92"/>
      <c r="E315" s="92"/>
      <c r="F315" s="92">
        <v>1050</v>
      </c>
      <c r="G315" s="101"/>
    </row>
    <row r="316" spans="1:7" s="75" customFormat="1" ht="14.25" customHeight="1">
      <c r="A316" s="86" t="s">
        <v>318</v>
      </c>
      <c r="B316" s="86" t="s">
        <v>3205</v>
      </c>
      <c r="C316" s="92"/>
      <c r="D316" s="92"/>
      <c r="E316" s="92"/>
      <c r="F316" s="92">
        <v>900</v>
      </c>
      <c r="G316" s="101"/>
    </row>
    <row r="317" spans="1:7" s="75" customFormat="1" ht="14.25" customHeight="1">
      <c r="A317" s="86" t="s">
        <v>318</v>
      </c>
      <c r="B317" s="86" t="s">
        <v>3206</v>
      </c>
      <c r="C317" s="92"/>
      <c r="D317" s="92"/>
      <c r="E317" s="92"/>
      <c r="F317" s="92">
        <v>920</v>
      </c>
      <c r="G317" s="101"/>
    </row>
    <row r="318" spans="1:7" s="75" customFormat="1" ht="14.25" customHeight="1">
      <c r="A318" s="86" t="s">
        <v>318</v>
      </c>
      <c r="B318" s="86" t="s">
        <v>3207</v>
      </c>
      <c r="C318" s="92"/>
      <c r="D318" s="92"/>
      <c r="E318" s="92"/>
      <c r="F318" s="92">
        <v>1080</v>
      </c>
      <c r="G318" s="101"/>
    </row>
    <row r="319" spans="1:7" s="75" customFormat="1" ht="14.25" customHeight="1">
      <c r="A319" s="86" t="s">
        <v>318</v>
      </c>
      <c r="B319" s="86" t="s">
        <v>3208</v>
      </c>
      <c r="C319" s="92"/>
      <c r="D319" s="92"/>
      <c r="E319" s="92"/>
      <c r="F319" s="92">
        <v>1020</v>
      </c>
      <c r="G319" s="101"/>
    </row>
    <row r="320" spans="1:7" s="75" customFormat="1" ht="14.25" customHeight="1">
      <c r="A320" s="86" t="s">
        <v>318</v>
      </c>
      <c r="B320" s="86" t="s">
        <v>3209</v>
      </c>
      <c r="C320" s="92"/>
      <c r="D320" s="92"/>
      <c r="E320" s="92"/>
      <c r="F320" s="92">
        <v>1050</v>
      </c>
      <c r="G320" s="101"/>
    </row>
    <row r="321" spans="1:7" s="75" customFormat="1" ht="14.25" customHeight="1">
      <c r="A321" s="86" t="s">
        <v>318</v>
      </c>
      <c r="B321" s="86" t="s">
        <v>3210</v>
      </c>
      <c r="C321" s="92"/>
      <c r="D321" s="92"/>
      <c r="E321" s="92"/>
      <c r="F321" s="92">
        <v>960</v>
      </c>
      <c r="G321" s="101"/>
    </row>
    <row r="322" spans="1:7" s="75" customFormat="1" ht="14.25" customHeight="1">
      <c r="A322" s="86" t="s">
        <v>318</v>
      </c>
      <c r="B322" s="86" t="s">
        <v>3211</v>
      </c>
      <c r="C322" s="92"/>
      <c r="D322" s="92"/>
      <c r="E322" s="92"/>
      <c r="F322" s="92">
        <v>960</v>
      </c>
      <c r="G322" s="101"/>
    </row>
    <row r="323" spans="1:7" s="75" customFormat="1" ht="14.25" customHeight="1">
      <c r="A323" s="86" t="s">
        <v>318</v>
      </c>
      <c r="B323" s="86" t="s">
        <v>3212</v>
      </c>
      <c r="C323" s="92"/>
      <c r="D323" s="92"/>
      <c r="E323" s="92"/>
      <c r="F323" s="92">
        <v>880</v>
      </c>
      <c r="G323" s="101"/>
    </row>
    <row r="324" spans="1:7" s="75" customFormat="1" ht="14.25" customHeight="1">
      <c r="A324" s="86" t="s">
        <v>318</v>
      </c>
      <c r="B324" s="86" t="s">
        <v>3213</v>
      </c>
      <c r="C324" s="92"/>
      <c r="D324" s="92"/>
      <c r="E324" s="92"/>
      <c r="F324" s="92">
        <v>930</v>
      </c>
      <c r="G324" s="101"/>
    </row>
    <row r="325" spans="1:7" s="75" customFormat="1" ht="14.25" customHeight="1">
      <c r="A325" s="86" t="s">
        <v>318</v>
      </c>
      <c r="B325" s="87" t="s">
        <v>3214</v>
      </c>
      <c r="C325" s="92"/>
      <c r="D325" s="92"/>
      <c r="E325" s="92"/>
      <c r="F325" s="92">
        <v>900</v>
      </c>
      <c r="G325" s="101"/>
    </row>
    <row r="326" spans="1:7" s="75" customFormat="1" ht="14.25" customHeight="1">
      <c r="A326" s="102" t="s">
        <v>318</v>
      </c>
      <c r="B326" s="94" t="s">
        <v>3215</v>
      </c>
      <c r="C326" s="96"/>
      <c r="D326" s="96"/>
      <c r="E326" s="96"/>
      <c r="F326" s="96">
        <v>790</v>
      </c>
      <c r="G326" s="103"/>
    </row>
    <row r="327" spans="1:7" s="75" customFormat="1" ht="14.25" customHeight="1">
      <c r="A327" s="90" t="s">
        <v>324</v>
      </c>
      <c r="B327" s="82" t="s">
        <v>3216</v>
      </c>
      <c r="C327" s="92">
        <v>3750</v>
      </c>
      <c r="D327" s="92">
        <v>3710</v>
      </c>
      <c r="E327" s="92">
        <v>4080</v>
      </c>
      <c r="F327" s="92">
        <v>860</v>
      </c>
      <c r="G327" s="92">
        <v>2210</v>
      </c>
    </row>
    <row r="328" spans="1:7" s="75" customFormat="1" ht="14.25" customHeight="1">
      <c r="A328" s="86" t="s">
        <v>324</v>
      </c>
      <c r="B328" s="86" t="s">
        <v>3217</v>
      </c>
      <c r="C328" s="92">
        <v>3330</v>
      </c>
      <c r="D328" s="92">
        <v>3290</v>
      </c>
      <c r="E328" s="92">
        <v>3610</v>
      </c>
      <c r="F328" s="92">
        <v>850</v>
      </c>
      <c r="G328" s="92">
        <v>1960</v>
      </c>
    </row>
    <row r="329" spans="1:7" s="75" customFormat="1" ht="14.25" customHeight="1">
      <c r="A329" s="86" t="s">
        <v>324</v>
      </c>
      <c r="B329" s="86" t="s">
        <v>3218</v>
      </c>
      <c r="C329" s="92">
        <v>2730</v>
      </c>
      <c r="D329" s="92">
        <v>2690</v>
      </c>
      <c r="E329" s="92">
        <v>3100</v>
      </c>
      <c r="F329" s="92">
        <v>660</v>
      </c>
      <c r="G329" s="92">
        <v>1610</v>
      </c>
    </row>
    <row r="330" spans="1:7" s="75" customFormat="1" ht="14.25" customHeight="1">
      <c r="A330" s="86" t="s">
        <v>324</v>
      </c>
      <c r="B330" s="86" t="s">
        <v>3219</v>
      </c>
      <c r="C330" s="92">
        <v>3270</v>
      </c>
      <c r="D330" s="92">
        <v>3240</v>
      </c>
      <c r="E330" s="92">
        <v>3560</v>
      </c>
      <c r="F330" s="92">
        <v>680</v>
      </c>
      <c r="G330" s="92">
        <v>1940</v>
      </c>
    </row>
    <row r="331" spans="1:7" s="75" customFormat="1" ht="14.25" customHeight="1">
      <c r="A331" s="86" t="s">
        <v>324</v>
      </c>
      <c r="B331" s="86" t="s">
        <v>3220</v>
      </c>
      <c r="C331" s="92">
        <v>3770</v>
      </c>
      <c r="D331" s="92">
        <v>3740</v>
      </c>
      <c r="E331" s="92">
        <v>4110</v>
      </c>
      <c r="F331" s="92">
        <v>730</v>
      </c>
      <c r="G331" s="92">
        <v>2230</v>
      </c>
    </row>
    <row r="332" spans="1:7" s="75" customFormat="1" ht="14.25" customHeight="1">
      <c r="A332" s="86" t="s">
        <v>324</v>
      </c>
      <c r="B332" s="86" t="s">
        <v>3221</v>
      </c>
      <c r="C332" s="92">
        <v>3520</v>
      </c>
      <c r="D332" s="92">
        <v>3480</v>
      </c>
      <c r="E332" s="92">
        <v>3830</v>
      </c>
      <c r="F332" s="92">
        <v>720</v>
      </c>
      <c r="G332" s="92">
        <v>2090</v>
      </c>
    </row>
    <row r="333" spans="1:7" s="75" customFormat="1" ht="14.25" customHeight="1">
      <c r="A333" s="86" t="s">
        <v>324</v>
      </c>
      <c r="B333" s="86" t="s">
        <v>3222</v>
      </c>
      <c r="C333" s="92">
        <v>3840</v>
      </c>
      <c r="D333" s="92">
        <v>3800</v>
      </c>
      <c r="E333" s="92">
        <v>4200</v>
      </c>
      <c r="F333" s="92">
        <v>760</v>
      </c>
      <c r="G333" s="92">
        <v>2270</v>
      </c>
    </row>
    <row r="334" spans="1:7" s="75" customFormat="1" ht="14.25" customHeight="1">
      <c r="A334" s="86" t="s">
        <v>324</v>
      </c>
      <c r="B334" s="86" t="s">
        <v>3223</v>
      </c>
      <c r="C334" s="92">
        <v>3960</v>
      </c>
      <c r="D334" s="92">
        <v>3910</v>
      </c>
      <c r="E334" s="92">
        <v>4340</v>
      </c>
      <c r="F334" s="92">
        <v>780</v>
      </c>
      <c r="G334" s="92">
        <v>2340</v>
      </c>
    </row>
    <row r="335" spans="1:7" s="75" customFormat="1" ht="14.25" customHeight="1">
      <c r="A335" s="86" t="s">
        <v>324</v>
      </c>
      <c r="B335" s="86" t="s">
        <v>3224</v>
      </c>
      <c r="C335" s="92">
        <v>3710</v>
      </c>
      <c r="D335" s="92">
        <v>3670</v>
      </c>
      <c r="E335" s="92">
        <v>4030</v>
      </c>
      <c r="F335" s="92">
        <v>750</v>
      </c>
      <c r="G335" s="92">
        <v>2200</v>
      </c>
    </row>
    <row r="336" spans="1:7" s="75" customFormat="1" ht="14.25" customHeight="1">
      <c r="A336" s="86" t="s">
        <v>324</v>
      </c>
      <c r="B336" s="86" t="s">
        <v>3225</v>
      </c>
      <c r="C336" s="92">
        <v>3570</v>
      </c>
      <c r="D336" s="92">
        <v>3530</v>
      </c>
      <c r="E336" s="92">
        <v>3880</v>
      </c>
      <c r="F336" s="92">
        <v>770</v>
      </c>
      <c r="G336" s="92">
        <v>2110</v>
      </c>
    </row>
    <row r="337" spans="1:10" s="75" customFormat="1" ht="14.25" customHeight="1">
      <c r="A337" s="86" t="s">
        <v>324</v>
      </c>
      <c r="B337" s="86" t="s">
        <v>3226</v>
      </c>
      <c r="C337" s="92">
        <v>3780</v>
      </c>
      <c r="D337" s="92">
        <v>3750</v>
      </c>
      <c r="E337" s="92">
        <v>4130</v>
      </c>
      <c r="F337" s="92">
        <v>750</v>
      </c>
      <c r="G337" s="92">
        <v>2240</v>
      </c>
    </row>
    <row r="338" spans="1:10" s="75" customFormat="1" ht="14.25" customHeight="1">
      <c r="A338" s="86" t="s">
        <v>324</v>
      </c>
      <c r="B338" s="86" t="s">
        <v>3227</v>
      </c>
      <c r="C338" s="92">
        <v>3600</v>
      </c>
      <c r="D338" s="92">
        <v>3570</v>
      </c>
      <c r="E338" s="92">
        <v>3920</v>
      </c>
      <c r="F338" s="92">
        <v>790</v>
      </c>
      <c r="G338" s="92">
        <v>2140</v>
      </c>
    </row>
    <row r="339" spans="1:10" s="75" customFormat="1" ht="14.25" customHeight="1">
      <c r="A339" s="86" t="s">
        <v>324</v>
      </c>
      <c r="B339" s="86" t="s">
        <v>3228</v>
      </c>
      <c r="C339" s="92">
        <v>3540</v>
      </c>
      <c r="D339" s="92">
        <v>3500</v>
      </c>
      <c r="E339" s="92">
        <v>3850</v>
      </c>
      <c r="F339" s="92">
        <v>780</v>
      </c>
      <c r="G339" s="92">
        <v>2100</v>
      </c>
    </row>
    <row r="340" spans="1:10" s="75" customFormat="1" ht="14.25" customHeight="1">
      <c r="A340" s="86" t="s">
        <v>324</v>
      </c>
      <c r="B340" s="86" t="s">
        <v>3229</v>
      </c>
      <c r="C340" s="92">
        <v>3850</v>
      </c>
      <c r="D340" s="92">
        <v>3810</v>
      </c>
      <c r="E340" s="92">
        <v>4210</v>
      </c>
      <c r="F340" s="92">
        <v>750</v>
      </c>
      <c r="G340" s="92">
        <v>2280</v>
      </c>
    </row>
    <row r="341" spans="1:10" s="75" customFormat="1" ht="14.25" customHeight="1">
      <c r="A341" s="86" t="s">
        <v>324</v>
      </c>
      <c r="B341" s="86" t="s">
        <v>3230</v>
      </c>
      <c r="C341" s="92">
        <v>3780</v>
      </c>
      <c r="D341" s="92">
        <v>3750</v>
      </c>
      <c r="E341" s="92">
        <v>4140</v>
      </c>
      <c r="F341" s="92">
        <v>720</v>
      </c>
      <c r="G341" s="92">
        <v>2240</v>
      </c>
    </row>
    <row r="342" spans="1:10" s="75" customFormat="1" ht="14.25" customHeight="1">
      <c r="A342" s="86" t="s">
        <v>324</v>
      </c>
      <c r="B342" s="86" t="s">
        <v>3231</v>
      </c>
      <c r="C342" s="92">
        <v>3670</v>
      </c>
      <c r="D342" s="92">
        <v>3620</v>
      </c>
      <c r="E342" s="92">
        <v>3990</v>
      </c>
      <c r="F342" s="92">
        <v>760</v>
      </c>
      <c r="G342" s="92">
        <v>2170</v>
      </c>
    </row>
    <row r="343" spans="1:10" s="75" customFormat="1" ht="14.25" customHeight="1">
      <c r="A343" s="86" t="s">
        <v>324</v>
      </c>
      <c r="B343" s="86" t="s">
        <v>3232</v>
      </c>
      <c r="C343" s="92">
        <v>3760</v>
      </c>
      <c r="D343" s="92">
        <v>3720</v>
      </c>
      <c r="E343" s="92">
        <v>4090</v>
      </c>
      <c r="F343" s="92">
        <v>780</v>
      </c>
      <c r="G343" s="92">
        <v>2220</v>
      </c>
    </row>
    <row r="344" spans="1:10" s="75" customFormat="1" ht="14.25" customHeight="1">
      <c r="A344" s="86" t="s">
        <v>324</v>
      </c>
      <c r="B344" s="86" t="s">
        <v>3233</v>
      </c>
      <c r="C344" s="92">
        <v>3680</v>
      </c>
      <c r="D344" s="92">
        <v>3640</v>
      </c>
      <c r="E344" s="92">
        <v>4010</v>
      </c>
      <c r="F344" s="92">
        <v>750</v>
      </c>
      <c r="G344" s="92">
        <v>2180</v>
      </c>
    </row>
    <row r="345" spans="1:10">
      <c r="A345" s="86" t="s">
        <v>324</v>
      </c>
      <c r="B345" s="86" t="s">
        <v>3234</v>
      </c>
      <c r="C345" s="92">
        <v>3190</v>
      </c>
      <c r="D345" s="92">
        <v>3140</v>
      </c>
      <c r="E345" s="92">
        <v>3450</v>
      </c>
      <c r="F345" s="92">
        <v>720</v>
      </c>
      <c r="G345" s="92">
        <v>1880</v>
      </c>
      <c r="J345" s="75"/>
    </row>
    <row r="346" spans="1:10">
      <c r="A346" s="86" t="s">
        <v>324</v>
      </c>
      <c r="B346" s="86" t="s">
        <v>3235</v>
      </c>
      <c r="C346" s="92">
        <v>3630</v>
      </c>
      <c r="D346" s="92">
        <v>3590</v>
      </c>
      <c r="E346" s="92">
        <v>3940</v>
      </c>
      <c r="F346" s="92">
        <v>730</v>
      </c>
      <c r="G346" s="92">
        <v>2150</v>
      </c>
      <c r="J346" s="75"/>
    </row>
    <row r="347" spans="1:10">
      <c r="A347" s="86" t="s">
        <v>324</v>
      </c>
      <c r="B347" s="86" t="s">
        <v>3236</v>
      </c>
      <c r="C347" s="92">
        <v>3860</v>
      </c>
      <c r="D347" s="92">
        <v>3820</v>
      </c>
      <c r="E347" s="92">
        <v>4220</v>
      </c>
      <c r="F347" s="92">
        <v>750</v>
      </c>
      <c r="G347" s="92">
        <v>2280</v>
      </c>
      <c r="J347" s="75"/>
    </row>
    <row r="348" spans="1:10">
      <c r="A348" s="86" t="s">
        <v>324</v>
      </c>
      <c r="B348" s="86" t="s">
        <v>3237</v>
      </c>
      <c r="C348" s="92">
        <v>4000</v>
      </c>
      <c r="D348" s="92">
        <v>3950</v>
      </c>
      <c r="E348" s="92">
        <v>4430</v>
      </c>
      <c r="F348" s="92">
        <v>760</v>
      </c>
      <c r="G348" s="92">
        <v>2360</v>
      </c>
      <c r="J348" s="75"/>
    </row>
    <row r="349" spans="1:10">
      <c r="A349" s="86" t="s">
        <v>324</v>
      </c>
      <c r="B349" s="86" t="s">
        <v>3238</v>
      </c>
      <c r="C349" s="92">
        <v>3820</v>
      </c>
      <c r="D349" s="92">
        <v>3780</v>
      </c>
      <c r="E349" s="92">
        <v>4170</v>
      </c>
      <c r="F349" s="92">
        <v>710</v>
      </c>
      <c r="G349" s="92">
        <v>2260</v>
      </c>
      <c r="J349" s="75"/>
    </row>
    <row r="350" spans="1:10">
      <c r="A350" s="86" t="s">
        <v>324</v>
      </c>
      <c r="B350" s="86" t="s">
        <v>3239</v>
      </c>
      <c r="C350" s="92">
        <v>3760</v>
      </c>
      <c r="D350" s="92">
        <v>3730</v>
      </c>
      <c r="E350" s="92">
        <v>4100</v>
      </c>
      <c r="F350" s="92">
        <v>800</v>
      </c>
      <c r="G350" s="92">
        <v>2230</v>
      </c>
      <c r="J350" s="75"/>
    </row>
    <row r="351" spans="1:10">
      <c r="A351" s="86" t="s">
        <v>324</v>
      </c>
      <c r="B351" s="86" t="s">
        <v>3240</v>
      </c>
      <c r="C351" s="92">
        <v>3610</v>
      </c>
      <c r="D351" s="92">
        <v>3580</v>
      </c>
      <c r="E351" s="92">
        <v>3930</v>
      </c>
      <c r="F351" s="92">
        <v>700</v>
      </c>
      <c r="G351" s="92">
        <v>2140</v>
      </c>
      <c r="J351" s="75"/>
    </row>
    <row r="352" spans="1:10">
      <c r="A352" s="86" t="s">
        <v>324</v>
      </c>
      <c r="B352" s="86" t="s">
        <v>3241</v>
      </c>
      <c r="C352" s="92">
        <v>3670</v>
      </c>
      <c r="D352" s="92">
        <v>3630</v>
      </c>
      <c r="E352" s="92">
        <v>4000</v>
      </c>
      <c r="F352" s="92">
        <v>750</v>
      </c>
      <c r="G352" s="92">
        <v>2180</v>
      </c>
    </row>
    <row r="353" spans="1:7" s="76" customFormat="1">
      <c r="A353" s="86" t="s">
        <v>324</v>
      </c>
      <c r="B353" s="86" t="s">
        <v>3242</v>
      </c>
      <c r="C353" s="92">
        <v>3190</v>
      </c>
      <c r="D353" s="92">
        <v>3150</v>
      </c>
      <c r="E353" s="92">
        <v>3640</v>
      </c>
      <c r="F353" s="92">
        <v>630</v>
      </c>
      <c r="G353" s="92">
        <v>1890</v>
      </c>
    </row>
    <row r="354" spans="1:7" s="76" customFormat="1">
      <c r="A354" s="86" t="s">
        <v>324</v>
      </c>
      <c r="B354" s="86" t="s">
        <v>3243</v>
      </c>
      <c r="C354" s="92">
        <v>3450</v>
      </c>
      <c r="D354" s="92">
        <v>3420</v>
      </c>
      <c r="E354" s="92">
        <v>3960</v>
      </c>
      <c r="F354" s="92">
        <v>660</v>
      </c>
      <c r="G354" s="92">
        <v>2050</v>
      </c>
    </row>
    <row r="355" spans="1:7" s="76" customFormat="1">
      <c r="A355" s="86" t="s">
        <v>324</v>
      </c>
      <c r="B355" s="86" t="s">
        <v>3244</v>
      </c>
      <c r="C355" s="92">
        <v>3650</v>
      </c>
      <c r="D355" s="92">
        <v>3610</v>
      </c>
      <c r="E355" s="92">
        <v>4200</v>
      </c>
      <c r="F355" s="92">
        <v>640</v>
      </c>
      <c r="G355" s="92">
        <v>2160</v>
      </c>
    </row>
    <row r="356" spans="1:7" s="76" customFormat="1">
      <c r="A356" s="86" t="s">
        <v>324</v>
      </c>
      <c r="B356" s="86" t="s">
        <v>3245</v>
      </c>
      <c r="C356" s="92">
        <v>3260</v>
      </c>
      <c r="D356" s="92">
        <v>3230</v>
      </c>
      <c r="E356" s="92">
        <v>3740</v>
      </c>
      <c r="F356" s="92">
        <v>600</v>
      </c>
      <c r="G356" s="92">
        <v>1930</v>
      </c>
    </row>
    <row r="357" spans="1:7" s="76" customFormat="1">
      <c r="A357" s="95" t="s">
        <v>324</v>
      </c>
      <c r="B357" s="104" t="s">
        <v>3246</v>
      </c>
      <c r="C357" s="99">
        <v>3690</v>
      </c>
      <c r="D357" s="99">
        <v>3650</v>
      </c>
      <c r="E357" s="99">
        <v>4020</v>
      </c>
      <c r="F357" s="99">
        <v>700</v>
      </c>
      <c r="G357" s="99">
        <v>2190</v>
      </c>
    </row>
    <row r="358" spans="1:7" s="76" customFormat="1">
      <c r="A358" s="90" t="s">
        <v>330</v>
      </c>
      <c r="B358" s="82" t="s">
        <v>3247</v>
      </c>
      <c r="C358" s="91">
        <v>2080</v>
      </c>
      <c r="D358" s="91">
        <v>2040</v>
      </c>
      <c r="E358" s="91">
        <v>2010</v>
      </c>
      <c r="F358" s="91">
        <v>530</v>
      </c>
      <c r="G358" s="100">
        <v>1230</v>
      </c>
    </row>
    <row r="359" spans="1:7" s="76" customFormat="1">
      <c r="A359" s="86" t="s">
        <v>330</v>
      </c>
      <c r="B359" s="86" t="s">
        <v>3248</v>
      </c>
      <c r="C359" s="92">
        <v>1850</v>
      </c>
      <c r="D359" s="92">
        <v>1820</v>
      </c>
      <c r="E359" s="92">
        <v>1780</v>
      </c>
      <c r="F359" s="92">
        <v>520</v>
      </c>
      <c r="G359" s="101">
        <v>1100</v>
      </c>
    </row>
    <row r="360" spans="1:7" s="76" customFormat="1">
      <c r="A360" s="86" t="s">
        <v>330</v>
      </c>
      <c r="B360" s="86" t="s">
        <v>3249</v>
      </c>
      <c r="C360" s="92">
        <v>2020</v>
      </c>
      <c r="D360" s="92">
        <v>1990</v>
      </c>
      <c r="E360" s="92">
        <v>1950</v>
      </c>
      <c r="F360" s="92">
        <v>500</v>
      </c>
      <c r="G360" s="101">
        <v>1200</v>
      </c>
    </row>
    <row r="361" spans="1:7" s="76" customFormat="1">
      <c r="A361" s="86" t="s">
        <v>330</v>
      </c>
      <c r="B361" s="86" t="s">
        <v>3250</v>
      </c>
      <c r="C361" s="92">
        <v>2260</v>
      </c>
      <c r="D361" s="92">
        <v>2220</v>
      </c>
      <c r="E361" s="92">
        <v>2180</v>
      </c>
      <c r="F361" s="92">
        <v>580</v>
      </c>
      <c r="G361" s="101">
        <v>1340</v>
      </c>
    </row>
    <row r="362" spans="1:7" s="76" customFormat="1">
      <c r="A362" s="86" t="s">
        <v>330</v>
      </c>
      <c r="B362" s="86" t="s">
        <v>3251</v>
      </c>
      <c r="C362" s="92">
        <v>2650</v>
      </c>
      <c r="D362" s="92">
        <v>2610</v>
      </c>
      <c r="E362" s="92">
        <v>2570</v>
      </c>
      <c r="F362" s="92">
        <v>630</v>
      </c>
      <c r="G362" s="101">
        <v>1570</v>
      </c>
    </row>
    <row r="363" spans="1:7" s="76" customFormat="1">
      <c r="A363" s="86" t="s">
        <v>330</v>
      </c>
      <c r="B363" s="86" t="s">
        <v>3252</v>
      </c>
      <c r="C363" s="92">
        <v>2390</v>
      </c>
      <c r="D363" s="92">
        <v>2360</v>
      </c>
      <c r="E363" s="92">
        <v>2320</v>
      </c>
      <c r="F363" s="92">
        <v>600</v>
      </c>
      <c r="G363" s="101">
        <v>1420</v>
      </c>
    </row>
    <row r="364" spans="1:7" s="76" customFormat="1">
      <c r="A364" s="86" t="s">
        <v>330</v>
      </c>
      <c r="B364" s="86" t="s">
        <v>3253</v>
      </c>
      <c r="C364" s="92">
        <v>2050</v>
      </c>
      <c r="D364" s="92">
        <v>2030</v>
      </c>
      <c r="E364" s="92">
        <v>1990</v>
      </c>
      <c r="F364" s="92">
        <v>550</v>
      </c>
      <c r="G364" s="101">
        <v>1220</v>
      </c>
    </row>
    <row r="365" spans="1:7" s="76" customFormat="1">
      <c r="A365" s="86" t="s">
        <v>330</v>
      </c>
      <c r="B365" s="86" t="s">
        <v>3254</v>
      </c>
      <c r="C365" s="92">
        <v>2140</v>
      </c>
      <c r="D365" s="92">
        <v>2100</v>
      </c>
      <c r="E365" s="92">
        <v>2060</v>
      </c>
      <c r="F365" s="92">
        <v>540</v>
      </c>
      <c r="G365" s="101">
        <v>1270</v>
      </c>
    </row>
    <row r="366" spans="1:7" s="76" customFormat="1">
      <c r="A366" s="86" t="s">
        <v>330</v>
      </c>
      <c r="B366" s="86" t="s">
        <v>3255</v>
      </c>
      <c r="C366" s="92">
        <v>2410</v>
      </c>
      <c r="D366" s="92">
        <v>2370</v>
      </c>
      <c r="E366" s="92">
        <v>2330</v>
      </c>
      <c r="F366" s="92">
        <v>570</v>
      </c>
      <c r="G366" s="101">
        <v>1440</v>
      </c>
    </row>
    <row r="367" spans="1:7" s="76" customFormat="1">
      <c r="A367" s="86" t="s">
        <v>330</v>
      </c>
      <c r="B367" s="86" t="s">
        <v>3256</v>
      </c>
      <c r="C367" s="92">
        <v>2300</v>
      </c>
      <c r="D367" s="92">
        <v>2260</v>
      </c>
      <c r="E367" s="92">
        <v>2220</v>
      </c>
      <c r="F367" s="92">
        <v>560</v>
      </c>
      <c r="G367" s="101">
        <v>1370</v>
      </c>
    </row>
    <row r="368" spans="1:7" s="76" customFormat="1">
      <c r="A368" s="86" t="s">
        <v>330</v>
      </c>
      <c r="B368" s="86" t="s">
        <v>3257</v>
      </c>
      <c r="C368" s="92">
        <v>2430</v>
      </c>
      <c r="D368" s="92">
        <v>2390</v>
      </c>
      <c r="E368" s="92">
        <v>2350</v>
      </c>
      <c r="F368" s="92">
        <v>570</v>
      </c>
      <c r="G368" s="101">
        <v>1450</v>
      </c>
    </row>
    <row r="369" spans="1:7" s="76" customFormat="1">
      <c r="A369" s="86" t="s">
        <v>330</v>
      </c>
      <c r="B369" s="86" t="s">
        <v>3258</v>
      </c>
      <c r="C369" s="92">
        <v>2320</v>
      </c>
      <c r="D369" s="92">
        <v>2290</v>
      </c>
      <c r="E369" s="92">
        <v>2250</v>
      </c>
      <c r="F369" s="92">
        <v>550</v>
      </c>
      <c r="G369" s="101">
        <v>1380</v>
      </c>
    </row>
    <row r="370" spans="1:7" s="76" customFormat="1">
      <c r="A370" s="86" t="s">
        <v>330</v>
      </c>
      <c r="B370" s="86" t="s">
        <v>3259</v>
      </c>
      <c r="C370" s="92">
        <v>2190</v>
      </c>
      <c r="D370" s="92">
        <v>2170</v>
      </c>
      <c r="E370" s="92">
        <v>2130</v>
      </c>
      <c r="F370" s="92">
        <v>530</v>
      </c>
      <c r="G370" s="101">
        <v>1310</v>
      </c>
    </row>
    <row r="371" spans="1:7" s="76" customFormat="1">
      <c r="A371" s="86" t="s">
        <v>330</v>
      </c>
      <c r="B371" s="86" t="s">
        <v>3260</v>
      </c>
      <c r="C371" s="92">
        <v>2460</v>
      </c>
      <c r="D371" s="92">
        <v>2420</v>
      </c>
      <c r="E371" s="92">
        <v>2370</v>
      </c>
      <c r="F371" s="92">
        <v>560</v>
      </c>
      <c r="G371" s="101">
        <v>1470</v>
      </c>
    </row>
    <row r="372" spans="1:7" s="76" customFormat="1">
      <c r="A372" s="86" t="s">
        <v>330</v>
      </c>
      <c r="B372" s="86" t="s">
        <v>3261</v>
      </c>
      <c r="C372" s="92">
        <v>2250</v>
      </c>
      <c r="D372" s="92">
        <v>2210</v>
      </c>
      <c r="E372" s="92">
        <v>2180</v>
      </c>
      <c r="F372" s="92">
        <v>550</v>
      </c>
      <c r="G372" s="101">
        <v>1340</v>
      </c>
    </row>
    <row r="373" spans="1:7" s="76" customFormat="1">
      <c r="A373" s="86" t="s">
        <v>330</v>
      </c>
      <c r="B373" s="86" t="s">
        <v>3262</v>
      </c>
      <c r="C373" s="92">
        <v>2210</v>
      </c>
      <c r="D373" s="92">
        <v>2190</v>
      </c>
      <c r="E373" s="92">
        <v>2150</v>
      </c>
      <c r="F373" s="92">
        <v>530</v>
      </c>
      <c r="G373" s="101">
        <v>1320</v>
      </c>
    </row>
    <row r="374" spans="1:7" s="76" customFormat="1">
      <c r="A374" s="86" t="s">
        <v>330</v>
      </c>
      <c r="B374" s="86" t="s">
        <v>3263</v>
      </c>
      <c r="C374" s="92">
        <v>2320</v>
      </c>
      <c r="D374" s="92">
        <v>2280</v>
      </c>
      <c r="E374" s="92">
        <v>2230</v>
      </c>
      <c r="F374" s="92">
        <v>580</v>
      </c>
      <c r="G374" s="101">
        <v>1380</v>
      </c>
    </row>
    <row r="375" spans="1:7" s="76" customFormat="1">
      <c r="A375" s="86" t="s">
        <v>330</v>
      </c>
      <c r="B375" s="86" t="s">
        <v>3264</v>
      </c>
      <c r="C375" s="92">
        <v>2090</v>
      </c>
      <c r="D375" s="92">
        <v>2050</v>
      </c>
      <c r="E375" s="92">
        <v>2020</v>
      </c>
      <c r="F375" s="92">
        <v>520</v>
      </c>
      <c r="G375" s="101">
        <v>1240</v>
      </c>
    </row>
    <row r="376" spans="1:7" s="76" customFormat="1">
      <c r="A376" s="86" t="s">
        <v>330</v>
      </c>
      <c r="B376" s="86" t="s">
        <v>3265</v>
      </c>
      <c r="C376" s="92">
        <v>2010</v>
      </c>
      <c r="D376" s="92">
        <v>1980</v>
      </c>
      <c r="E376" s="92">
        <v>1940</v>
      </c>
      <c r="F376" s="92">
        <v>540</v>
      </c>
      <c r="G376" s="101">
        <v>1190</v>
      </c>
    </row>
    <row r="377" spans="1:7" s="76" customFormat="1">
      <c r="A377" s="95" t="s">
        <v>330</v>
      </c>
      <c r="B377" s="104" t="s">
        <v>3266</v>
      </c>
      <c r="C377" s="99">
        <v>1930</v>
      </c>
      <c r="D377" s="99">
        <v>1890</v>
      </c>
      <c r="E377" s="99">
        <v>1860</v>
      </c>
      <c r="F377" s="99">
        <v>530</v>
      </c>
      <c r="G377" s="105">
        <v>1150</v>
      </c>
    </row>
    <row r="378" spans="1:7" s="76" customFormat="1">
      <c r="A378" s="106" t="s">
        <v>336</v>
      </c>
      <c r="B378" s="82" t="s">
        <v>3267</v>
      </c>
      <c r="C378" s="91">
        <v>1520</v>
      </c>
      <c r="D378" s="91">
        <v>1490</v>
      </c>
      <c r="E378" s="91">
        <v>1460</v>
      </c>
      <c r="F378" s="91">
        <v>460</v>
      </c>
      <c r="G378" s="100">
        <v>940</v>
      </c>
    </row>
    <row r="379" spans="1:7" s="76" customFormat="1">
      <c r="A379" s="107" t="s">
        <v>336</v>
      </c>
      <c r="B379" s="86" t="s">
        <v>3268</v>
      </c>
      <c r="C379" s="92">
        <v>1500</v>
      </c>
      <c r="D379" s="92">
        <v>1470</v>
      </c>
      <c r="E379" s="92">
        <v>1430</v>
      </c>
      <c r="F379" s="92">
        <v>460</v>
      </c>
      <c r="G379" s="101">
        <v>920</v>
      </c>
    </row>
    <row r="380" spans="1:7" s="76" customFormat="1">
      <c r="A380" s="107" t="s">
        <v>336</v>
      </c>
      <c r="B380" s="86" t="s">
        <v>3269</v>
      </c>
      <c r="C380" s="92">
        <v>1620</v>
      </c>
      <c r="D380" s="92">
        <v>1590</v>
      </c>
      <c r="E380" s="92">
        <v>1560</v>
      </c>
      <c r="F380" s="92">
        <v>480</v>
      </c>
      <c r="G380" s="101">
        <v>1000</v>
      </c>
    </row>
    <row r="381" spans="1:7" s="76" customFormat="1">
      <c r="A381" s="107" t="s">
        <v>336</v>
      </c>
      <c r="B381" s="86" t="s">
        <v>3270</v>
      </c>
      <c r="C381" s="92">
        <v>1460</v>
      </c>
      <c r="D381" s="92">
        <v>1430</v>
      </c>
      <c r="E381" s="92">
        <v>1390</v>
      </c>
      <c r="F381" s="92">
        <v>450</v>
      </c>
      <c r="G381" s="101">
        <v>900</v>
      </c>
    </row>
    <row r="382" spans="1:7" s="76" customFormat="1">
      <c r="A382" s="107" t="s">
        <v>336</v>
      </c>
      <c r="B382" s="86" t="s">
        <v>3271</v>
      </c>
      <c r="C382" s="92">
        <v>1310</v>
      </c>
      <c r="D382" s="92">
        <v>1280</v>
      </c>
      <c r="E382" s="92">
        <v>1250</v>
      </c>
      <c r="F382" s="92">
        <v>440</v>
      </c>
      <c r="G382" s="101">
        <v>800</v>
      </c>
    </row>
    <row r="383" spans="1:7" s="76" customFormat="1">
      <c r="A383" s="107" t="s">
        <v>336</v>
      </c>
      <c r="B383" s="86" t="s">
        <v>3272</v>
      </c>
      <c r="C383" s="92">
        <v>1260</v>
      </c>
      <c r="D383" s="92">
        <v>1230</v>
      </c>
      <c r="E383" s="92">
        <v>1200</v>
      </c>
      <c r="F383" s="92">
        <v>420</v>
      </c>
      <c r="G383" s="101">
        <v>770</v>
      </c>
    </row>
    <row r="384" spans="1:7" s="76" customFormat="1">
      <c r="A384" s="108" t="s">
        <v>336</v>
      </c>
      <c r="B384" s="94" t="s">
        <v>3273</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3417</v>
      </c>
      <c r="E1" s="9">
        <f>'数据-取费表'!B22</f>
        <v>2.5</v>
      </c>
      <c r="F1" s="7" t="s">
        <v>3418</v>
      </c>
      <c r="G1" s="10">
        <f ca="1">IF(OR(C1&lt;C27,E1&lt;=1),INDIRECT("d"&amp;$K$1)/100,ROUND((D5+(E1-C5)*(D7-D5)/(C7-C5))/100,4))</f>
        <v>3.1899999999999998E-2</v>
      </c>
      <c r="H1" s="7" t="s">
        <v>3419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3418</v>
      </c>
      <c r="E2" s="14"/>
      <c r="F2" s="14" t="s">
        <v>3420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3427</v>
      </c>
      <c r="C10" s="40"/>
      <c r="D10" s="40"/>
      <c r="E10" s="40"/>
      <c r="F10" s="40"/>
      <c r="G10" s="40"/>
      <c r="H10" s="40"/>
      <c r="I10" s="3"/>
      <c r="J10" s="3"/>
      <c r="K10" s="40"/>
      <c r="L10" s="41" t="s">
        <v>3428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3429</v>
      </c>
      <c r="C11" s="45" t="s">
        <v>3430</v>
      </c>
      <c r="D11" s="46" t="s">
        <v>3431</v>
      </c>
      <c r="E11" s="47"/>
      <c r="F11" s="46" t="s">
        <v>3432</v>
      </c>
      <c r="G11" s="48"/>
      <c r="H11" s="47"/>
      <c r="I11" s="46" t="s">
        <v>3433</v>
      </c>
      <c r="J11" s="47"/>
      <c r="K11" s="43"/>
      <c r="L11" s="44" t="s">
        <v>3429</v>
      </c>
      <c r="M11" s="45" t="s">
        <v>3430</v>
      </c>
      <c r="N11" s="44" t="s">
        <v>3434</v>
      </c>
      <c r="O11" s="46" t="s">
        <v>3435</v>
      </c>
      <c r="P11" s="48"/>
      <c r="Q11" s="48"/>
      <c r="R11" s="48"/>
      <c r="S11" s="48"/>
      <c r="T11" s="47"/>
      <c r="U11" s="46" t="s">
        <v>3436</v>
      </c>
      <c r="V11" s="48"/>
      <c r="W11" s="47"/>
      <c r="X11" s="44" t="s">
        <v>3437</v>
      </c>
      <c r="Y11" s="44" t="s">
        <v>3438</v>
      </c>
      <c r="Z11" s="44" t="s">
        <v>3439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3440</v>
      </c>
      <c r="E12" s="52" t="s">
        <v>3422</v>
      </c>
      <c r="F12" s="52" t="s">
        <v>3423</v>
      </c>
      <c r="G12" s="52" t="s">
        <v>3424</v>
      </c>
      <c r="H12" s="52" t="s">
        <v>3425</v>
      </c>
      <c r="I12" s="53" t="s">
        <v>3441</v>
      </c>
      <c r="J12" s="53" t="s">
        <v>3441</v>
      </c>
      <c r="K12" s="43"/>
      <c r="L12" s="50"/>
      <c r="M12" s="51"/>
      <c r="N12" s="50"/>
      <c r="O12" s="53" t="s">
        <v>3442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3443</v>
      </c>
      <c r="C13" s="56">
        <v>45797</v>
      </c>
      <c r="D13" s="57">
        <v>3</v>
      </c>
      <c r="E13" s="57">
        <v>3</v>
      </c>
      <c r="F13" s="57">
        <f t="shared" ref="F13:F18" si="0">D13</f>
        <v>3</v>
      </c>
      <c r="G13" s="57">
        <f t="shared" ref="G13:G18" si="1">D13</f>
        <v>3</v>
      </c>
      <c r="H13" s="57">
        <v>3.5</v>
      </c>
      <c r="I13" s="57"/>
      <c r="J13" s="57"/>
      <c r="K13" s="54"/>
      <c r="L13" s="55" t="s">
        <v>3443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2600</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1245</v>
      </c>
      <c r="Y42" s="62" t="s">
        <v>1245</v>
      </c>
      <c r="Z42" s="62" t="s">
        <v>1245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1245</v>
      </c>
      <c r="Y43" s="62" t="s">
        <v>1245</v>
      </c>
      <c r="Z43" s="62" t="s">
        <v>1245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1245</v>
      </c>
      <c r="Y44" s="62" t="s">
        <v>1245</v>
      </c>
      <c r="Z44" s="62" t="s">
        <v>1245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1245</v>
      </c>
      <c r="Y45" s="62" t="s">
        <v>1245</v>
      </c>
      <c r="Z45" s="62" t="s">
        <v>1245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1245</v>
      </c>
      <c r="Y46" s="62" t="s">
        <v>1245</v>
      </c>
      <c r="Z46" s="62" t="s">
        <v>1245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1245</v>
      </c>
      <c r="Y47" s="62" t="s">
        <v>1245</v>
      </c>
      <c r="Z47" s="62" t="s">
        <v>1245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1245</v>
      </c>
      <c r="Y48" s="62" t="s">
        <v>1245</v>
      </c>
      <c r="Z48" s="62" t="s">
        <v>1245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1245</v>
      </c>
      <c r="Y49" s="62" t="s">
        <v>1245</v>
      </c>
      <c r="Z49" s="62" t="s">
        <v>1245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1245</v>
      </c>
      <c r="Y50" s="62" t="s">
        <v>1245</v>
      </c>
      <c r="Z50" s="62" t="s">
        <v>1245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1245</v>
      </c>
      <c r="V51" s="62" t="s">
        <v>1245</v>
      </c>
      <c r="W51" s="62" t="s">
        <v>1245</v>
      </c>
      <c r="X51" s="62" t="s">
        <v>1245</v>
      </c>
      <c r="Y51" s="62" t="s">
        <v>1245</v>
      </c>
      <c r="Z51" s="62" t="s">
        <v>1245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1245</v>
      </c>
      <c r="J70" s="62" t="s">
        <v>1245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22" t="s">
        <v>114</v>
      </c>
      <c r="B1" s="4322"/>
      <c r="C1" s="4322"/>
      <c r="D1" s="4322"/>
    </row>
    <row r="2" spans="1:4" ht="17.399999999999999">
      <c r="A2" s="4323" t="s">
        <v>115</v>
      </c>
      <c r="B2" s="4323"/>
      <c r="C2" s="4323"/>
      <c r="D2" s="4323"/>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23" t="s">
        <v>121</v>
      </c>
      <c r="B6" s="4323"/>
      <c r="C6" s="4323"/>
      <c r="D6" s="4323"/>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24" t="s">
        <v>126</v>
      </c>
      <c r="B11" s="4317"/>
      <c r="C11" s="4317"/>
      <c r="D11" s="4317"/>
    </row>
    <row r="12" spans="1:4" ht="15.6">
      <c r="A12" s="4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0"/>
      <c r="C12" s="4320"/>
      <c r="D12" s="4320"/>
    </row>
    <row r="13" spans="1:4" ht="30" customHeight="1">
      <c r="A13" s="4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0"/>
      <c r="C13" s="4320"/>
      <c r="D13" s="4320"/>
    </row>
    <row r="14" spans="1:4" ht="15.75" customHeight="1">
      <c r="A14" s="4317" t="str">
        <f>IF(项目基本情况!B8="抵押","4.本次评估估价师所知悉的法定优先受偿款情况说明如下：","——")</f>
        <v>4.本次评估估价师所知悉的法定优先受偿款情况说明如下：</v>
      </c>
      <c r="B14" s="4320"/>
      <c r="C14" s="4320"/>
      <c r="D14" s="4320"/>
    </row>
    <row r="15" spans="1:4" ht="42" customHeight="1">
      <c r="A15" s="4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7"/>
      <c r="C15" s="4317"/>
      <c r="D15" s="4317"/>
    </row>
    <row r="16" spans="1:4" ht="30" customHeight="1">
      <c r="A16" s="4321" t="s">
        <v>127</v>
      </c>
      <c r="B16" s="4321"/>
      <c r="C16" s="4321"/>
      <c r="D16" s="4321"/>
    </row>
    <row r="17" spans="1:4" ht="144" customHeight="1">
      <c r="A17" s="4321" t="s">
        <v>128</v>
      </c>
      <c r="B17" s="4321"/>
      <c r="C17" s="4321"/>
      <c r="D17" s="4321"/>
    </row>
    <row r="18" spans="1:4" ht="15.75" customHeight="1">
      <c r="A18" s="4317" t="str">
        <f>IF(项目基本情况!B8="抵押",结果表!K120,"——")</f>
        <v>故，本次评估估价师知悉的法定优先受偿款为人民币849万元整。</v>
      </c>
      <c r="B18" s="4317"/>
      <c r="C18" s="4317"/>
      <c r="D18" s="4317"/>
    </row>
    <row r="19" spans="1:4" ht="46.5" customHeight="1">
      <c r="A19" s="4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7"/>
      <c r="C19" s="4317"/>
      <c r="D19" s="4317"/>
    </row>
    <row r="20" spans="1:4" ht="57.75" customHeight="1">
      <c r="A20" s="4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7"/>
      <c r="C20" s="4317"/>
      <c r="D20" s="4317"/>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129</v>
      </c>
      <c r="B22" s="4319"/>
      <c r="C22" s="4319"/>
      <c r="D22" s="4319"/>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16">
        <v>42551</v>
      </c>
      <c r="D31" s="43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27" t="s">
        <v>146</v>
      </c>
      <c r="B15" s="4332" t="s">
        <v>147</v>
      </c>
      <c r="C15" s="4326"/>
    </row>
    <row r="16" spans="1:7" ht="14.4">
      <c r="A16" s="4328"/>
      <c r="B16" s="4332" t="s">
        <v>148</v>
      </c>
      <c r="C16" s="4326"/>
    </row>
    <row r="17" spans="1:3" ht="14.4">
      <c r="A17" s="4328"/>
      <c r="B17" s="4331" t="s">
        <v>149</v>
      </c>
      <c r="C17" s="4220" t="s">
        <v>146</v>
      </c>
    </row>
    <row r="18" spans="1:3" ht="14.4">
      <c r="A18" s="4328"/>
      <c r="B18" s="4331"/>
      <c r="C18" s="4220" t="s">
        <v>150</v>
      </c>
    </row>
    <row r="19" spans="1:3" ht="14.4">
      <c r="A19" s="4328"/>
      <c r="B19" s="4331"/>
      <c r="C19" s="4220" t="s">
        <v>151</v>
      </c>
    </row>
    <row r="20" spans="1:3" ht="14.4">
      <c r="A20" s="4329"/>
      <c r="B20" s="4325" t="s">
        <v>152</v>
      </c>
      <c r="C20" s="4326"/>
    </row>
    <row r="21" spans="1:3" ht="14.4">
      <c r="A21" s="4221" t="s">
        <v>153</v>
      </c>
      <c r="B21" s="4222"/>
      <c r="C21" s="4223"/>
    </row>
    <row r="22" spans="1:3" ht="14.4">
      <c r="A22" s="4330" t="s">
        <v>154</v>
      </c>
      <c r="B22" s="4325" t="s">
        <v>155</v>
      </c>
      <c r="C22" s="4326"/>
    </row>
    <row r="23" spans="1:3" ht="14.4">
      <c r="A23" s="4330"/>
      <c r="B23" s="4325" t="s">
        <v>156</v>
      </c>
      <c r="C23" s="4326"/>
    </row>
    <row r="24" spans="1:3" ht="14.4">
      <c r="A24" s="4330"/>
      <c r="B24" s="4325" t="s">
        <v>157</v>
      </c>
      <c r="C24" s="4326"/>
    </row>
    <row r="25" spans="1:3" ht="14.4">
      <c r="A25" s="4330"/>
      <c r="B25" s="4331" t="s">
        <v>158</v>
      </c>
      <c r="C25" s="4220" t="s">
        <v>159</v>
      </c>
    </row>
    <row r="26" spans="1:3" ht="14.4">
      <c r="A26" s="4330"/>
      <c r="B26" s="4331"/>
      <c r="C26" s="4220" t="s">
        <v>160</v>
      </c>
    </row>
    <row r="27" spans="1:3" ht="14.4">
      <c r="A27" s="4330"/>
      <c r="B27" s="4331"/>
      <c r="C27" s="4220" t="s">
        <v>161</v>
      </c>
    </row>
    <row r="28" spans="1:3" ht="14.4">
      <c r="A28" s="4330"/>
      <c r="B28" s="4331"/>
      <c r="C28" s="4220" t="s">
        <v>162</v>
      </c>
    </row>
    <row r="29" spans="1:3" ht="14.4">
      <c r="A29" s="4330"/>
      <c r="B29" s="4331"/>
      <c r="C29" s="4220" t="s">
        <v>163</v>
      </c>
    </row>
    <row r="30" spans="1:3" ht="14.4">
      <c r="A30" s="4330"/>
      <c r="B30" s="4331"/>
      <c r="C30" s="4220" t="s">
        <v>164</v>
      </c>
    </row>
    <row r="31" spans="1:3" ht="14.4">
      <c r="A31" s="4330"/>
      <c r="B31" s="4331"/>
      <c r="C31" s="4220" t="s">
        <v>165</v>
      </c>
    </row>
    <row r="32" spans="1:3" ht="14.4">
      <c r="A32" s="4330"/>
      <c r="B32" s="4331"/>
      <c r="C32" s="4220" t="s">
        <v>166</v>
      </c>
    </row>
    <row r="33" spans="1:3" ht="14.4">
      <c r="A33" s="4330"/>
      <c r="B33" s="4331"/>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46129</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33" t="s">
        <v>197</v>
      </c>
      <c r="B17" s="4333"/>
      <c r="C17" s="4333"/>
      <c r="D17" s="4333"/>
      <c r="E17" s="4333"/>
      <c r="F17" s="4333"/>
      <c r="G17" s="4333"/>
      <c r="H17" s="4333"/>
    </row>
    <row r="18" spans="1:8" ht="24" customHeight="1">
      <c r="A18" s="4334" t="s">
        <v>198</v>
      </c>
      <c r="B18" s="4334"/>
      <c r="C18" s="4334"/>
      <c r="D18" s="4190"/>
      <c r="E18" s="4335" t="s">
        <v>199</v>
      </c>
      <c r="F18" s="4334"/>
      <c r="G18" s="4334"/>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2026-04-17T08:26:40Z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