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390" windowHeight="1113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收益法-商业" sheetId="77" r:id="rId33"/>
    <sheet name="收益法-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 name="价值表" sheetId="80" r:id="rId48"/>
    <sheet name="Sheet1" sheetId="81"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3">'收益法-车库'!$A$1:$AK$69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H1" i="81" l="1"/>
  <c r="D10" i="68"/>
  <c r="C10" i="68"/>
  <c r="B29" i="1"/>
  <c r="C8" i="68"/>
  <c r="C5" i="68"/>
  <c r="C20" i="68"/>
  <c r="D6" i="73"/>
  <c r="K1" i="73"/>
  <c r="D5" i="73"/>
  <c r="G1" i="73"/>
  <c r="B40" i="1"/>
  <c r="F22" i="68"/>
  <c r="C23" i="68"/>
  <c r="C24" i="68"/>
  <c r="C25" i="68"/>
  <c r="C22" i="68"/>
  <c r="F27" i="68"/>
  <c r="C28" i="68"/>
  <c r="C27" i="68"/>
  <c r="C26" i="68"/>
  <c r="D22" i="68"/>
  <c r="C29" i="68"/>
  <c r="D27" i="68"/>
  <c r="C31" i="68"/>
  <c r="N16" i="1"/>
  <c r="F34" i="68"/>
  <c r="O6" i="1"/>
  <c r="O7" i="1"/>
  <c r="O8" i="1"/>
  <c r="O14" i="1"/>
  <c r="O16" i="1"/>
  <c r="C34" i="68"/>
  <c r="C35" i="68"/>
  <c r="C36" i="68"/>
  <c r="D9" i="68"/>
  <c r="D19" i="68"/>
  <c r="D37" i="68"/>
  <c r="C37" i="68"/>
  <c r="C38" i="68"/>
  <c r="C33" i="68"/>
  <c r="C39" i="68"/>
  <c r="C42" i="68"/>
  <c r="C43" i="68"/>
  <c r="C41" i="68"/>
  <c r="C46" i="68"/>
  <c r="C45" i="68"/>
  <c r="C44" i="68"/>
  <c r="D41" i="68"/>
  <c r="C47" i="68"/>
  <c r="D45" i="68"/>
  <c r="C49" i="68"/>
  <c r="F50"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8" i="12"/>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3" i="77"/>
  <c r="F1" i="77"/>
  <c r="AE7" i="1"/>
  <c r="F41" i="77"/>
  <c r="C40" i="77"/>
  <c r="M6" i="77"/>
  <c r="M8" i="77"/>
  <c r="M7" i="77"/>
  <c r="M9" i="77"/>
  <c r="J6" i="77"/>
  <c r="M11" i="77"/>
  <c r="J10" i="77"/>
  <c r="J5" i="77"/>
  <c r="J26" i="77"/>
  <c r="J29" i="77"/>
  <c r="J60" i="77"/>
  <c r="L46" i="77"/>
  <c r="B2" i="77"/>
  <c r="D8" i="12"/>
  <c r="F6" i="78"/>
  <c r="F8" i="78"/>
  <c r="F7" i="78"/>
  <c r="F9" i="78"/>
  <c r="C6" i="78"/>
  <c r="F11" i="78"/>
  <c r="C10" i="78"/>
  <c r="C5" i="78"/>
  <c r="C32" i="78"/>
  <c r="C33" i="78"/>
  <c r="R8"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8" i="1"/>
  <c r="F41" i="78"/>
  <c r="C40" i="78"/>
  <c r="M6" i="78"/>
  <c r="M8" i="78"/>
  <c r="M7" i="78"/>
  <c r="M9" i="78"/>
  <c r="J6" i="78"/>
  <c r="M11" i="78"/>
  <c r="J10" i="78"/>
  <c r="J5" i="78"/>
  <c r="J26" i="78"/>
  <c r="J29" i="78"/>
  <c r="J60" i="78"/>
  <c r="L46" i="78"/>
  <c r="B2" i="78"/>
  <c r="E8" i="12"/>
  <c r="C4" i="12"/>
  <c r="P6" i="1"/>
  <c r="P7" i="1"/>
  <c r="P8" i="1"/>
  <c r="P14"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B3" i="12"/>
  <c r="D20" i="9"/>
  <c r="G20" i="9"/>
  <c r="C19" i="9"/>
  <c r="D19" i="9"/>
  <c r="G19" i="9"/>
  <c r="G21" i="9"/>
  <c r="D21" i="9"/>
  <c r="C21" i="9"/>
  <c r="E2" i="81"/>
  <c r="E3" i="81"/>
  <c r="E4" i="81"/>
  <c r="E5" i="81"/>
  <c r="D4" i="81"/>
  <c r="E1" i="81"/>
  <c r="D1" i="81"/>
  <c r="B9" i="81"/>
  <c r="B8" i="81"/>
  <c r="B6" i="81"/>
  <c r="B22" i="1"/>
  <c r="E1" i="73"/>
  <c r="B23" i="1"/>
  <c r="B24" i="1"/>
  <c r="F23" i="15"/>
  <c r="F23" i="77"/>
  <c r="F23" i="78"/>
  <c r="C17" i="9"/>
  <c r="D17" i="9"/>
  <c r="C18" i="9"/>
  <c r="D18" i="9"/>
  <c r="D4" i="80"/>
  <c r="D5" i="80"/>
  <c r="D3" i="80"/>
  <c r="C4" i="80"/>
  <c r="C5" i="80"/>
  <c r="C3" i="80"/>
  <c r="B4" i="80"/>
  <c r="B5" i="80"/>
  <c r="B3" i="80"/>
  <c r="T25" i="1"/>
  <c r="T21" i="1"/>
  <c r="T22" i="1"/>
  <c r="T24" i="1"/>
  <c r="U7" i="1"/>
  <c r="I11" i="39"/>
  <c r="G11" i="39"/>
  <c r="E11" i="39"/>
  <c r="U21" i="1"/>
  <c r="U22" i="1"/>
  <c r="R25" i="1"/>
  <c r="R21" i="1"/>
  <c r="R23" i="1"/>
  <c r="R22" i="1"/>
  <c r="G20" i="6"/>
  <c r="R24" i="1"/>
  <c r="F20" i="6"/>
  <c r="U23" i="1"/>
  <c r="U24" i="1"/>
  <c r="I38" i="39"/>
  <c r="G38" i="39"/>
  <c r="E38" i="39"/>
  <c r="I7" i="39"/>
  <c r="G7" i="39"/>
  <c r="E7" i="39"/>
  <c r="I5" i="39"/>
  <c r="G5" i="39"/>
  <c r="E5" i="39"/>
  <c r="C38" i="39"/>
  <c r="F38" i="39"/>
  <c r="AA38" i="39"/>
  <c r="F7" i="39"/>
  <c r="AA7" i="39"/>
  <c r="R46" i="39"/>
  <c r="BD13" i="3"/>
  <c r="BB13" i="3"/>
  <c r="BC13" i="3"/>
  <c r="BE13" i="3"/>
  <c r="BA13" i="3"/>
  <c r="BQ13" i="3"/>
  <c r="BR13" i="3"/>
  <c r="BL13" i="3"/>
  <c r="AZ13" i="3"/>
  <c r="AZ5" i="3"/>
  <c r="H13" i="3"/>
  <c r="AC13" i="3"/>
  <c r="G13" i="3"/>
  <c r="G5" i="3"/>
  <c r="AT5" i="3"/>
  <c r="B3" i="3"/>
  <c r="AY6" i="3"/>
  <c r="D3" i="6"/>
  <c r="E3" i="6"/>
  <c r="F19" i="6"/>
  <c r="E19" i="6"/>
  <c r="D19" i="6"/>
  <c r="E20" i="6"/>
  <c r="D20" i="6"/>
  <c r="G21" i="6"/>
  <c r="E21" i="6"/>
  <c r="D21" i="6"/>
  <c r="D22" i="6"/>
  <c r="D23" i="6"/>
  <c r="D24" i="6"/>
  <c r="D25" i="6"/>
  <c r="D26" i="6"/>
  <c r="D27" i="6"/>
  <c r="BQ5" i="3"/>
  <c r="F28" i="6"/>
  <c r="BR5" i="3"/>
  <c r="G28" i="6"/>
  <c r="E28" i="6"/>
  <c r="D28" i="6"/>
  <c r="D29" i="6"/>
  <c r="D30" i="6"/>
  <c r="D31" i="6"/>
  <c r="BB5" i="3"/>
  <c r="BC5" i="3"/>
  <c r="E8" i="6"/>
  <c r="F27" i="6"/>
  <c r="F30" i="6"/>
  <c r="F31" i="6"/>
  <c r="I6" i="6"/>
  <c r="C11" i="39"/>
  <c r="F11" i="39"/>
  <c r="AA11" i="39"/>
  <c r="H38" i="39"/>
  <c r="AB38" i="39"/>
  <c r="H7" i="39"/>
  <c r="AB7" i="39"/>
  <c r="T46" i="39"/>
  <c r="H11" i="39"/>
  <c r="AB11" i="39"/>
  <c r="J38" i="39"/>
  <c r="AC38" i="39"/>
  <c r="J7" i="39"/>
  <c r="AC7" i="39"/>
  <c r="V46" i="39"/>
  <c r="J11" i="39"/>
  <c r="AC11" i="39"/>
  <c r="E57" i="39"/>
  <c r="E5" i="6"/>
  <c r="E6" i="6"/>
  <c r="D39" i="43"/>
  <c r="D33" i="43"/>
  <c r="D29" i="43"/>
  <c r="A6" i="1"/>
  <c r="G1" i="78"/>
  <c r="BA5" i="3"/>
  <c r="E27" i="6"/>
  <c r="K21" i="6"/>
  <c r="L21" i="6"/>
  <c r="M21" i="6"/>
  <c r="I21" i="6"/>
  <c r="H21" i="6"/>
  <c r="R21" i="6"/>
  <c r="K8" i="1"/>
  <c r="M8" i="1"/>
  <c r="S8" i="1"/>
  <c r="T8" i="1"/>
  <c r="B3" i="78"/>
  <c r="E6" i="12"/>
  <c r="G1" i="77"/>
  <c r="K7" i="1"/>
  <c r="F32" i="77"/>
  <c r="F33" i="77"/>
  <c r="K20" i="6"/>
  <c r="L20" i="6"/>
  <c r="M20" i="6"/>
  <c r="I20" i="6"/>
  <c r="H20" i="6"/>
  <c r="R20" i="6"/>
  <c r="F34" i="77"/>
  <c r="M7" i="1"/>
  <c r="S7" i="1"/>
  <c r="T7" i="1"/>
  <c r="F15" i="77"/>
  <c r="F17" i="77"/>
  <c r="F18" i="77"/>
  <c r="F20" i="77"/>
  <c r="F21" i="77"/>
  <c r="F28" i="77"/>
  <c r="C28" i="77"/>
  <c r="M47" i="77"/>
  <c r="J50" i="77"/>
  <c r="J51" i="77"/>
  <c r="B3" i="77"/>
  <c r="D6" i="12"/>
  <c r="G1" i="15"/>
  <c r="K6" i="1"/>
  <c r="K19" i="6"/>
  <c r="L19" i="6"/>
  <c r="M19" i="6"/>
  <c r="I19" i="6"/>
  <c r="H19" i="6"/>
  <c r="R19" i="6"/>
  <c r="M6" i="1"/>
  <c r="S6" i="1"/>
  <c r="T6" i="1"/>
  <c r="M47" i="15"/>
  <c r="B3" i="15"/>
  <c r="C6" i="12"/>
  <c r="F15" i="78"/>
  <c r="F17" i="78"/>
  <c r="F18" i="78"/>
  <c r="F20"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I2" i="43"/>
  <c r="M6"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C19" i="43"/>
  <c r="D4" i="73"/>
  <c r="E20" i="43"/>
  <c r="N17"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J50" i="15"/>
  <c r="J51" i="15"/>
  <c r="C18" i="43"/>
  <c r="AD5" i="3"/>
  <c r="AH5" i="3"/>
  <c r="AL5" i="3"/>
  <c r="AP5" i="3"/>
  <c r="K5" i="3"/>
  <c r="I5" i="3"/>
  <c r="I4" i="6"/>
  <c r="G3" i="43"/>
  <c r="F33" i="43"/>
  <c r="C33" i="43"/>
  <c r="G33" i="43"/>
  <c r="H33" i="43"/>
  <c r="I33" i="43"/>
  <c r="D1" i="43"/>
  <c r="C10" i="43"/>
  <c r="C11" i="43"/>
  <c r="E8" i="43"/>
  <c r="E9" i="43"/>
  <c r="E10" i="43"/>
  <c r="E11" i="43"/>
  <c r="C9" i="43"/>
  <c r="C7" i="43"/>
  <c r="C15" i="43"/>
  <c r="D15" i="43"/>
  <c r="E15" i="43"/>
  <c r="F15" i="43"/>
  <c r="C12" i="43"/>
  <c r="E33"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43" i="1"/>
  <c r="D78" i="9"/>
  <c r="D24" i="15"/>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N6" i="43"/>
  <c r="F59" i="43"/>
  <c r="BO5" i="3"/>
  <c r="BM5" i="3"/>
  <c r="F29" i="6"/>
  <c r="BJ5" i="3"/>
  <c r="BH5" i="3"/>
  <c r="BF5" i="3"/>
  <c r="BD5" i="3"/>
  <c r="AC5" i="3"/>
  <c r="BS5" i="3"/>
  <c r="BP5" i="3"/>
  <c r="BN5" i="3"/>
  <c r="BK5" i="3"/>
  <c r="BI5" i="3"/>
  <c r="BG5" i="3"/>
  <c r="BE5" i="3"/>
  <c r="BT5" i="3"/>
  <c r="U36" i="40"/>
  <c r="N4" i="43"/>
  <c r="F81" i="43"/>
  <c r="H83" i="43"/>
  <c r="F48" i="43"/>
  <c r="H52" i="43"/>
  <c r="N7" i="43"/>
  <c r="F70" i="43"/>
  <c r="H73" i="43"/>
  <c r="M11" i="43"/>
  <c r="E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15" i="6"/>
  <c r="C18" i="4"/>
  <c r="D8" i="6"/>
  <c r="D14" i="6"/>
  <c r="D5" i="6"/>
  <c r="D6" i="6"/>
  <c r="D12" i="6"/>
  <c r="D9" i="6"/>
  <c r="D11" i="6"/>
  <c r="D10" i="6"/>
  <c r="D13" i="6"/>
  <c r="L19" i="9"/>
  <c r="E61" i="40"/>
  <c r="H25" i="6"/>
  <c r="R25" i="6"/>
  <c r="H22" i="6"/>
  <c r="H23" i="6"/>
  <c r="H26" i="6"/>
  <c r="H24" i="6"/>
  <c r="F34" i="11"/>
  <c r="C37" i="11"/>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I63" i="40"/>
  <c r="H65" i="40"/>
  <c r="C39" i="11"/>
  <c r="C43" i="11"/>
  <c r="C41" i="11"/>
  <c r="I70" i="39"/>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02" i="9"/>
  <c r="D103" i="9"/>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103" i="9"/>
  <c r="D22"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<sst xmlns="http://schemas.openxmlformats.org/spreadsheetml/2006/main" count="8315" uniqueCount="3170">
  <si>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</si>
  <si>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</si>
  <si>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</si>
  <si>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</si>
  <si>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</si>
  <si>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</si>
  <si>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</si>
  <si>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</si>
  <si>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</si>
  <si>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</si>
  <si>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</si>
  <si>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</si>
  <si>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</si>
  <si>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</si>
  <si>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</si>
  <si>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</si>
  <si>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</si>
  <si>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</si>
  <si>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</si>
  <si>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</si>
  <si>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</si>
  <si>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</si>
  <si>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</si>
  <si>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</si>
  <si>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</si>
  <si>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</si>
  <si>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</si>
  <si>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</si>
  <si>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</si>
  <si>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</si>
  <si>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</si>
  <si>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</si>
  <si>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</si>
  <si>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</si>
  <si>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</si>
  <si>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</si>
  <si>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</si>
  <si>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</si>
  <si>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</si>
  <si>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</si>
  <si>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</si>
  <si>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</si>
  <si>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</si>
  <si>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</si>
  <si>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</si>
  <si>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</si>
  <si>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</si>
  <si>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</si>
  <si>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</si>
  <si>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</si>
  <si>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</si>
  <si>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</si>
  <si>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</si>
  <si>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</si>
  <si>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</si>
  <si>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</si>
  <si>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</si>
  <si>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</si>
  <si>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</si>
  <si>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</si>
  <si>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</si>
  <si>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</si>
  <si>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</si>
  <si>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</si>
  <si>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</si>
  <si>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</si>
  <si>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</si>
  <si>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</si>
  <si>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</si>
  <si>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</si>
  <si>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</si>
  <si>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</si>
  <si>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</si>
  <si>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</si>
  <si>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</si>
  <si>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</si>
  <si>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</si>
  <si>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</si>
  <si>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</si>
  <si>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</si>
  <si>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</si>
  <si>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</si>
  <si>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</si>
  <si>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</si>
  <si>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</si>
  <si>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</si>
  <si>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</si>
  <si>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</si>
  <si>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</si>
  <si>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</si>
  <si>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</si>
  <si>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</si>
  <si>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</si>
  <si>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</si>
  <si>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</si>
  <si>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</si>
  <si>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</si>
  <si>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</si>
  <si>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</si>
  <si>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</si>
  <si>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</si>
  <si>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</si>
  <si>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</si>
  <si>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</si>
  <si>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</si>
  <si>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</si>
  <si>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</si>
  <si>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</si>
  <si>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</si>
  <si>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</si>
  <si>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</si>
  <si>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</si>
  <si>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</si>
  <si>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</si>
  <si>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</si>
  <si>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</si>
  <si>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</si>
  <si>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</si>
  <si>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</si>
  <si>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</si>
  <si>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</si>
  <si>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</si>
  <si>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</si>
  <si>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</si>
  <si>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</si>
  <si>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</si>
  <si>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</si>
  <si>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</si>
  <si>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</si>
  <si>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</si>
  <si>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</si>
  <si>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</si>
  <si>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</si>
  <si>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</si>
  <si>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</si>
  <si>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</si>
  <si>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</si>
  <si>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</si>
  <si>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</si>
  <si>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</si>
  <si>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</si>
  <si>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</si>
  <si>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</si>
  <si>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</si>
  <si>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</si>
  <si>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</si>
  <si>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</si>
  <si>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</si>
  <si>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</si>
  <si>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</si>
  <si>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</si>
  <si>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</si>
  <si>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</si>
  <si>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</si>
  <si>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</si>
  <si>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</si>
  <si>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</si>
  <si>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</si>
  <si>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</si>
  <si>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</si>
  <si>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</si>
  <si>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</si>
  <si>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</si>
  <si>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</si>
  <si>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</si>
  <si>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</si>
  <si>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</si>
  <si>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</si>
  <si>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</si>
  <si>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</si>
  <si>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</si>
  <si>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</si>
  <si>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</si>
  <si>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</si>
  <si>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</si>
  <si>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</si>
  <si>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</si>
  <si>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</si>
  <si>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</si>
  <si>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</si>
  <si>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</si>
  <si>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</si>
  <si>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</si>
  <si>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</si>
  <si>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</si>
  <si>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</si>
  <si>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</si>
  <si>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</si>
  <si>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</si>
  <si>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</si>
  <si>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</si>
  <si>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</si>
  <si>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</si>
  <si>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</si>
  <si>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</si>
  <si>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</si>
  <si>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</si>
  <si>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</si>
  <si>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</si>
  <si>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</si>
  <si>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</si>
  <si>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</si>
  <si>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</si>
  <si>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</si>
  <si>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</si>
  <si>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</si>
  <si>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</si>
  <si>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</si>
  <si>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</si>
  <si>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</si>
  <si>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</si>
  <si>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</si>
  <si>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</si>
  <si>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</si>
  <si>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</si>
  <si>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</si>
  <si>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</si>
  <si>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</si>
  <si>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</si>
  <si>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</si>
  <si>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</si>
  <si>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</si>
  <si>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</si>
  <si>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</si>
  <si>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</si>
  <si>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</si>
  <si>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</si>
  <si>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</si>
  <si>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</si>
  <si>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</si>
  <si>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</si>
  <si>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</si>
  <si>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</si>
  <si>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</si>
  <si>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</si>
  <si>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</si>
  <si>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</si>
  <si>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</si>
  <si>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</si>
  <si>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</si>
  <si>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</si>
  <si>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</si>
  <si>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</si>
  <si>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</si>
  <si>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</si>
  <si>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</si>
  <si>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</si>
  <si>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</si>
  <si>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</si>
  <si>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</si>
  <si>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</si>
  <si>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</si>
  <si>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</si>
  <si>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</si>
  <si>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</si>
  <si>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</si>
  <si>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</si>
  <si>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</si>
  <si>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</si>
  <si>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</si>
  <si>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</si>
  <si>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</si>
  <si>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</si>
  <si>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</si>
  <si>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</si>
  <si>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</si>
  <si>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</si>
  <si>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</si>
  <si>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</si>
  <si>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</si>
  <si>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</si>
  <si>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</si>
  <si>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</si>
  <si>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</si>
  <si>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</si>
  <si>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</si>
  <si>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</si>
  <si>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</si>
  <si>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</si>
  <si>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</si>
  <si>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</si>
  <si>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</si>
  <si>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</si>
  <si>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</si>
  <si>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</si>
  <si>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</si>
  <si>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</si>
  <si>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</si>
  <si>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</si>
  <si>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</si>
  <si>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</si>
  <si>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</si>
  <si>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</si>
  <si>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</si>
  <si>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</si>
  <si>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</si>
  <si>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</si>
  <si>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</si>
  <si>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</si>
  <si>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</si>
  <si>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</si>
  <si>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</si>
  <si>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</si>
  <si>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</si>
  <si>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</si>
  <si>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</si>
  <si>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</si>
  <si>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</si>
  <si>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</si>
  <si>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</si>
  <si>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</si>
  <si>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</si>
  <si>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</si>
  <si>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</si>
  <si>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</si>
  <si>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</si>
  <si>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</si>
  <si>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</si>
  <si>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</si>
  <si>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</si>
  <si>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</si>
  <si>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</si>
  <si>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</si>
  <si>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</si>
  <si>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</si>
  <si>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</si>
  <si>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</si>
  <si>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</si>
  <si>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</si>
  <si>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</si>
  <si>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</si>
  <si>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</si>
  <si>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</si>
  <si>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</si>
  <si>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</si>
  <si>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</si>
  <si>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</si>
  <si>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</si>
  <si>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</si>
  <si>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</si>
  <si>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</si>
  <si>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</si>
  <si>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</si>
  <si>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</si>
  <si>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</si>
  <si>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</si>
  <si>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</si>
  <si>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</si>
  <si>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</si>
  <si>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</si>
  <si>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</si>
  <si>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</si>
  <si>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</si>
  <si>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</si>
  <si>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</si>
  <si>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</si>
  <si>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</si>
  <si>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</si>
  <si>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</si>
  <si>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</si>
  <si>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</si>
  <si>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</si>
  <si>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</si>
  <si>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</si>
  <si>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</si>
  <si>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</si>
  <si>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</si>
  <si>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</si>
  <si>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</si>
  <si>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</si>
  <si>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</si>
  <si>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</si>
  <si>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</si>
  <si>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</si>
  <si>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</si>
  <si>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</si>
  <si>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</si>
  <si>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</si>
  <si>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</si>
  <si>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</si>
  <si>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</si>
  <si>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</si>
  <si>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</si>
  <si>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</si>
  <si>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</si>
  <si>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</si>
  <si>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</si>
  <si>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</si>
  <si>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</si>
  <si>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</si>
  <si>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</si>
  <si>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</si>
  <si>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</si>
  <si>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</si>
  <si>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</si>
  <si>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</si>
  <si>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</si>
  <si>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</si>
  <si>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</si>
  <si>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</si>
  <si>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</si>
  <si>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</si>
  <si>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</si>
  <si>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</si>
  <si>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</si>
  <si>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</si>
  <si>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</si>
  <si>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</si>
  <si>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</si>
  <si>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</si>
  <si>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</si>
  <si>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</si>
  <si>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</si>
  <si>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</si>
  <si>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</si>
  <si>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</si>
  <si>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</si>
  <si>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</si>
  <si>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</si>
  <si>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</si>
  <si>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</si>
  <si>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</si>
  <si>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</si>
  <si>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</si>
  <si>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</si>
  <si>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</si>
  <si>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</si>
  <si>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</si>
  <si>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</si>
  <si>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</si>
  <si>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</si>
  <si>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</si>
  <si>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</si>
  <si>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</si>
  <si>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</si>
  <si>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</si>
  <si>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</si>
  <si>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</si>
  <si>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</si>
  <si>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</si>
  <si>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</si>
  <si>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</si>
  <si>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</si>
  <si>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</si>
  <si>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</si>
  <si>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</si>
  <si>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</si>
  <si>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</si>
  <si>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</si>
  <si>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</si>
  <si>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</si>
  <si>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</si>
  <si>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</si>
  <si>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</si>
  <si>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</si>
  <si>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</si>
  <si>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</si>
  <si>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</si>
  <si>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</si>
  <si>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</si>
  <si>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</si>
  <si>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</si>
  <si>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</si>
  <si>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</si>
  <si>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</si>
  <si>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</si>
  <si>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</si>
  <si>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</si>
  <si>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</si>
  <si>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</si>
  <si>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</si>
  <si>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</si>
  <si>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</si>
  <si>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</si>
  <si>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</si>
  <si>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</si>
  <si>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</si>
  <si>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</si>
  <si>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</si>
  <si>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</si>
  <si>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</si>
  <si>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</si>
  <si>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</si>
  <si>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</si>
  <si>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</si>
  <si>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</si>
  <si>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</si>
  <si>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</si>
  <si>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</si>
  <si>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</si>
  <si>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</si>
  <si>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</si>
  <si>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</si>
  <si>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</si>
  <si>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</si>
  <si>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</si>
  <si>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</si>
  <si>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</si>
  <si>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</si>
  <si>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</si>
  <si>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</si>
  <si>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</si>
  <si>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</si>
  <si>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</si>
  <si>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</si>
  <si>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</si>
  <si>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</si>
  <si>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</si>
  <si>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</si>
  <si>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</si>
  <si>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</si>
  <si>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</si>
  <si>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</si>
  <si>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</si>
  <si>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</si>
  <si>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</si>
  <si>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</si>
  <si>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</si>
  <si>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</si>
  <si>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</si>
  <si>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</si>
  <si>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</si>
  <si>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</si>
  <si>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</si>
  <si>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</si>
  <si>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</si>
  <si>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</si>
  <si>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</si>
  <si>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</si>
  <si>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</si>
  <si>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</si>
  <si>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</si>
  <si>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</si>
  <si>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</si>
  <si>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</si>
  <si>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</si>
  <si>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</si>
  <si>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</si>
  <si>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</si>
  <si>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</si>
  <si>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</si>
  <si>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</si>
  <si>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</si>
  <si>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</si>
  <si>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</si>
  <si>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</si>
  <si>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</si>
  <si>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</si>
  <si>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</si>
  <si>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</si>
  <si>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</si>
  <si>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</si>
  <si>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</si>
  <si>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</si>
  <si>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</si>
  <si>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</si>
  <si>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</si>
  <si>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</si>
  <si>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</si>
  <si>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</si>
  <si>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</si>
  <si>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</si>
  <si>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</si>
  <si>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</si>
  <si>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</si>
  <si>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</si>
  <si>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</si>
  <si>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</si>
  <si>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</si>
  <si>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</si>
  <si>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</si>
  <si>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</si>
  <si>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</si>
  <si>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</si>
  <si>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</si>
  <si>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</si>
  <si>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</si>
  <si>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</si>
  <si>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</si>
  <si>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</si>
  <si>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</si>
  <si>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</si>
  <si>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</si>
  <si>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</si>
  <si>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</si>
  <si>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</si>
  <si>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</si>
  <si>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</si>
  <si>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</si>
  <si>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</si>
  <si>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</si>
  <si>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</si>
  <si>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</si>
  <si>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</si>
  <si>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</si>
  <si>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</si>
  <si>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</si>
  <si>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</si>
  <si>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</si>
  <si>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</si>
  <si>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</si>
  <si>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</si>
  <si>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</si>
  <si>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</si>
  <si>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</si>
  <si>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</si>
  <si>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</si>
  <si>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</si>
  <si>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</si>
  <si>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</si>
  <si>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</si>
  <si>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</si>
  <si>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</si>
  <si>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</si>
  <si>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</si>
  <si>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</si>
  <si>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</si>
  <si>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</si>
  <si>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</si>
  <si>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</si>
  <si>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</si>
  <si>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</si>
  <si>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</si>
  <si>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</si>
  <si>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</si>
  <si>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</si>
  <si>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</si>
  <si>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</si>
  <si>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</si>
  <si>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</si>
  <si>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</si>
  <si>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</si>
  <si>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</si>
  <si>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</si>
  <si>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</si>
  <si>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</si>
  <si>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</si>
  <si>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</si>
  <si>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</si>
  <si>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</si>
  <si>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</si>
  <si>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</si>
  <si>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</si>
  <si>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</si>
  <si>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</si>
  <si>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</si>
  <si>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</si>
  <si>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</si>
  <si>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</si>
  <si>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</si>
  <si>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</si>
  <si>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</si>
  <si>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</si>
  <si>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</si>
  <si>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</si>
  <si>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</si>
  <si>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</si>
  <si>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</si>
  <si>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</si>
  <si>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</si>
  <si>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</si>
  <si>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</si>
  <si>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</si>
  <si>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</si>
  <si>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</si>
  <si>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</si>
  <si>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</si>
  <si>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</si>
  <si>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</si>
  <si>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</si>
  <si>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</si>
  <si>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</si>
  <si>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</si>
  <si>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</si>
  <si>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</si>
  <si>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</si>
  <si>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</si>
  <si>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</si>
  <si>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</si>
  <si>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</si>
  <si>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</si>
  <si>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</si>
  <si>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</si>
  <si>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</si>
  <si>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</si>
  <si>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</si>
  <si>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</si>
  <si>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</si>
  <si>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</si>
  <si>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</si>
  <si>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</si>
  <si>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</si>
  <si>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</si>
  <si>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</si>
  <si>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</si>
  <si>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</si>
  <si>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</si>
  <si>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</si>
  <si>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</si>
  <si>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</si>
  <si>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</si>
  <si>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</si>
  <si>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</si>
  <si>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</si>
  <si>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</si>
  <si>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</si>
  <si>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</si>
  <si>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</si>
  <si>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</si>
  <si>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</si>
  <si>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</si>
  <si>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</si>
  <si>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</si>
  <si>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</si>
  <si>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</si>
  <si>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</si>
  <si>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</si>
  <si>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</si>
  <si>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</si>
  <si>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</si>
  <si>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</si>
  <si>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</si>
  <si>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</si>
  <si>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</si>
  <si>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</si>
  <si>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</si>
  <si>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</si>
  <si>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</si>
  <si>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</si>
  <si>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</si>
  <si>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</si>
  <si>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</si>
  <si>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</si>
  <si>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</si>
  <si>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</si>
  <si>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</si>
  <si>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</si>
  <si>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</si>
  <si>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</si>
  <si>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</si>
  <si>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</si>
  <si>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</si>
  <si>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</si>
  <si>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</si>
  <si>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</si>
  <si>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</si>
  <si>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</si>
  <si>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</si>
  <si>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</si>
  <si>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</si>
  <si>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</si>
  <si>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</si>
  <si>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</si>
  <si>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</si>
  <si>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</si>
  <si>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</si>
  <si>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</si>
  <si>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</si>
  <si>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</si>
  <si>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</si>
  <si>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</si>
  <si>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</si>
  <si>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</si>
  <si>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</si>
  <si>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</si>
  <si>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</si>
  <si>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</si>
  <si>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</si>
  <si>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</si>
  <si>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</si>
  <si>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</si>
  <si>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</si>
  <si>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</si>
  <si>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</si>
  <si>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</si>
  <si>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</si>
  <si>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</si>
  <si>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</si>
  <si>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</si>
  <si>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</si>
  <si>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</si>
  <si>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</si>
  <si>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</si>
  <si>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</si>
  <si>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</si>
  <si>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</si>
  <si>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</si>
  <si>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</si>
  <si>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</si>
  <si>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</si>
  <si>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</si>
  <si>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</si>
  <si>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</si>
  <si>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</si>
  <si>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</si>
  <si>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</si>
  <si>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</si>
  <si>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</si>
  <si>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</si>
  <si>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</si>
  <si>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</si>
  <si>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</si>
  <si>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</si>
  <si>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</si>
  <si>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</si>
  <si>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</si>
  <si>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</si>
  <si>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</si>
  <si>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</si>
  <si>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</si>
  <si>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</si>
  <si>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</si>
  <si>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</si>
  <si>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</si>
  <si>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</si>
  <si>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</si>
  <si>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</si>
  <si>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</si>
  <si>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</si>
  <si>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</si>
  <si>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</si>
  <si>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</si>
  <si>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</si>
  <si>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</si>
  <si>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</si>
  <si>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</si>
  <si>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</si>
  <si>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</si>
  <si>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</si>
  <si>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</si>
  <si>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</si>
  <si>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</si>
  <si>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</si>
  <si>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</si>
  <si>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</si>
  <si>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</si>
  <si>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</si>
  <si>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</si>
  <si>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</si>
  <si>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</si>
  <si>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</si>
  <si>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</si>
  <si>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</si>
  <si>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</si>
  <si>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</si>
  <si>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</si>
  <si>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</si>
  <si>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</si>
  <si>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</si>
  <si>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</si>
  <si>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</si>
  <si>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</si>
  <si>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</si>
  <si>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</si>
  <si>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</si>
  <si>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</si>
  <si>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</si>
  <si>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</si>
  <si>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</si>
  <si>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</si>
  <si>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</si>
  <si>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</si>
  <si>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</si>
  <si>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</si>
  <si>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</si>
  <si>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</si>
  <si>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</si>
  <si>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</si>
  <si>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</si>
  <si>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</si>
  <si>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</si>
  <si>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</si>
  <si>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</si>
  <si>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</si>
  <si>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</si>
  <si>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</si>
  <si>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</si>
  <si>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</si>
  <si>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</si>
  <si>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</si>
  <si>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</si>
  <si>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</si>
  <si>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</si>
  <si>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</si>
  <si>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</si>
  <si>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</si>
  <si>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</si>
  <si>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</si>
  <si>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</si>
  <si>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</si>
  <si>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</si>
  <si>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</si>
  <si>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</si>
  <si>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</si>
  <si>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</si>
  <si>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</si>
  <si>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</si>
  <si>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</si>
  <si>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</si>
  <si>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</si>
  <si>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</si>
  <si>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</si>
  <si>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</si>
  <si>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</si>
  <si>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</si>
  <si>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</si>
  <si>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</si>
  <si>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</si>
  <si>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</si>
  <si>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</si>
  <si>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</si>
  <si>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</si>
  <si>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</si>
  <si>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</si>
  <si>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</si>
  <si>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</si>
  <si>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</si>
  <si>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</si>
  <si>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</si>
  <si>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</si>
  <si>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</si>
  <si>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</si>
  <si>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</si>
  <si>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</si>
  <si>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</si>
  <si>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</si>
  <si>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</si>
  <si>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</si>
  <si>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</si>
  <si>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</si>
  <si>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</si>
  <si>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</si>
  <si>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</si>
  <si>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</si>
  <si>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</si>
  <si>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</si>
  <si>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</si>
  <si>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</si>
  <si>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</si>
  <si>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</si>
  <si>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</si>
  <si>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</si>
  <si>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</si>
  <si>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</si>
  <si>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</si>
  <si>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</si>
  <si>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</si>
  <si>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</si>
  <si>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</si>
  <si>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</si>
  <si>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</si>
  <si>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</si>
  <si>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</si>
  <si>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</si>
  <si>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</si>
  <si>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</si>
  <si>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</si>
  <si>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</si>
  <si>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</si>
  <si>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</si>
  <si>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</si>
  <si>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</si>
  <si>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</si>
  <si>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</si>
  <si>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</si>
  <si>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</si>
  <si>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</si>
  <si>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</si>
  <si>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</si>
  <si>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</si>
  <si>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</si>
  <si>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</si>
  <si>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</si>
  <si>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</si>
  <si>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</si>
  <si>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</si>
  <si>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</si>
  <si>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</si>
  <si>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</si>
  <si>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</si>
  <si>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</si>
  <si>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</si>
  <si>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</si>
  <si>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</si>
  <si>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</si>
  <si>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</si>
  <si>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</si>
  <si>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</si>
  <si>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</si>
  <si>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</si>
  <si>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</si>
  <si>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</si>
  <si>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</si>
  <si>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</si>
  <si>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</si>
  <si>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</si>
  <si>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</si>
  <si>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</si>
  <si>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</si>
  <si>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</si>
  <si>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</si>
  <si>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</si>
  <si>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</si>
  <si>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</si>
  <si>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</si>
  <si>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</si>
  <si>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</si>
  <si>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</si>
  <si>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</si>
  <si>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</si>
  <si>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</si>
  <si>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</si>
  <si>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</si>
  <si>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</si>
  <si>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</si>
  <si>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</si>
  <si>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</si>
  <si>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</si>
  <si>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</si>
  <si>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</si>
  <si>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</si>
  <si>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</si>
  <si>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</si>
  <si>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</si>
  <si>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</si>
  <si>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</si>
  <si>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</si>
  <si>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</si>
  <si>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</si>
  <si>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</si>
  <si>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</si>
  <si>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</si>
  <si>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</si>
  <si>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</si>
  <si>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</si>
  <si>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</si>
  <si>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</si>
  <si>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</si>
  <si>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</si>
  <si>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</si>
  <si>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</si>
  <si>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</si>
  <si>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</si>
  <si>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</si>
  <si>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</si>
  <si>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</si>
  <si>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</si>
  <si>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</si>
  <si>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</si>
  <si>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</si>
  <si>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</si>
  <si>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</si>
  <si>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</si>
  <si>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</si>
  <si>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</si>
  <si>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</si>
  <si>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</si>
  <si>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</si>
  <si>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</si>
  <si>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</si>
  <si>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</si>
  <si>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</si>
  <si>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</si>
  <si>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</si>
  <si>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</si>
  <si>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</si>
  <si>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</si>
  <si>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</si>
  <si>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</si>
  <si>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</si>
  <si>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</si>
  <si>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</si>
  <si>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</si>
  <si>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</si>
  <si>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</si>
  <si>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</si>
  <si>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</si>
  <si>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</si>
  <si>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</si>
  <si>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</si>
  <si>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</si>
  <si>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</si>
  <si>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</si>
  <si>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</si>
  <si>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</si>
  <si>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</si>
  <si>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</si>
  <si>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</si>
  <si>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</si>
  <si>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</si>
  <si>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</si>
  <si>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</si>
  <si>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</si>
  <si>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</si>
  <si>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</si>
  <si>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</si>
  <si>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</si>
  <si>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</si>
  <si>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</si>
  <si>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</si>
  <si>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</si>
  <si>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</si>
  <si>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</si>
  <si>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</si>
  <si>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</si>
  <si>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</si>
  <si>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</si>
  <si>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</si>
  <si>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</si>
  <si>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</si>
  <si>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</si>
  <si>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</si>
  <si>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</si>
  <si>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</si>
  <si>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</si>
  <si>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</si>
  <si>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</si>
  <si>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</si>
  <si>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</si>
  <si>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</si>
  <si>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</si>
  <si>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</si>
  <si>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</si>
  <si>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</si>
  <si>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</si>
  <si>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</si>
  <si>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</si>
  <si>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</si>
  <si>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</si>
  <si>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</si>
  <si>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</si>
  <si>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</si>
  <si>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</si>
  <si>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</si>
  <si>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</si>
  <si>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</si>
  <si>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</si>
  <si>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</si>
  <si>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</si>
  <si>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</si>
  <si>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</si>
  <si>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</si>
  <si>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</si>
  <si>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</si>
  <si>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</si>
  <si>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</si>
  <si>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</si>
  <si>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</si>
  <si>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</si>
  <si>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</si>
  <si>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</si>
  <si>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</si>
  <si>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</si>
  <si>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</si>
  <si>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</si>
  <si>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</si>
  <si>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</si>
  <si>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</si>
  <si>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</si>
  <si>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</si>
  <si>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</si>
  <si>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</si>
  <si>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</si>
  <si>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</si>
  <si>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</si>
  <si>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</si>
  <si>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</si>
  <si>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</si>
  <si>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</si>
  <si>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</si>
  <si>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</si>
  <si>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</si>
  <si>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</si>
  <si>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</si>
  <si>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</si>
  <si>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</si>
  <si>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</si>
  <si>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</si>
  <si>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</si>
  <si>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</si>
  <si>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</si>
  <si>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</si>
  <si>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</si>
  <si>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</si>
  <si>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</si>
  <si>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</si>
  <si>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</si>
  <si>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</si>
  <si>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</si>
  <si>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</si>
  <si>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</si>
  <si>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</si>
  <si>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</si>
  <si>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</si>
  <si>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</si>
  <si>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</si>
  <si>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</si>
  <si>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</si>
  <si>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</si>
  <si>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</si>
  <si>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</si>
  <si>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</si>
  <si>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</si>
  <si>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</si>
  <si>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</si>
  <si>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</si>
  <si>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</si>
  <si>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</si>
  <si>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</si>
  <si>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</si>
  <si>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</si>
  <si>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</si>
  <si>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</si>
  <si>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</si>
  <si>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</si>
  <si>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</si>
  <si>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</si>
  <si>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</si>
  <si>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</si>
  <si>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</si>
  <si>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</si>
  <si>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</si>
  <si>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</si>
  <si>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</si>
  <si>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</si>
  <si>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</si>
  <si>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</si>
  <si>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</si>
  <si>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</si>
  <si>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</si>
  <si>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</si>
  <si>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</si>
  <si>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</si>
  <si>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</si>
  <si>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</si>
  <si>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</si>
  <si>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</si>
  <si>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</si>
  <si>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</si>
  <si>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</si>
  <si>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</si>
  <si>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</si>
  <si>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</si>
  <si>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</si>
  <si>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</si>
  <si>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</si>
  <si>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</si>
  <si>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</si>
  <si>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</si>
  <si>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</si>
  <si>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</si>
  <si>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</si>
  <si>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</si>
  <si>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</si>
  <si>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</si>
  <si>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</si>
  <si>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</si>
  <si>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</si>
  <si>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</si>
  <si>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</si>
  <si>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</si>
  <si>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</si>
  <si>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</si>
  <si>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</si>
  <si>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</si>
  <si>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</si>
  <si>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</si>
  <si>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</si>
  <si>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</si>
  <si>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</si>
  <si>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</si>
  <si>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</si>
  <si>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</si>
  <si>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</si>
  <si>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</si>
  <si>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</si>
  <si>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</si>
  <si>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</si>
  <si>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</si>
  <si>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</si>
  <si>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</si>
  <si>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</si>
  <si>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</si>
  <si>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</si>
  <si>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</si>
  <si>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</si>
  <si>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</si>
  <si>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</si>
  <si>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</si>
  <si>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</si>
  <si>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</si>
  <si>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</si>
  <si>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</si>
  <si>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</si>
  <si>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</si>
  <si>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</si>
  <si>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</si>
  <si>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</si>
  <si>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</si>
  <si>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</si>
  <si>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</si>
  <si>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</si>
  <si>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</si>
  <si>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</si>
  <si>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</si>
  <si>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</si>
  <si>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</si>
  <si>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</si>
  <si>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</si>
  <si>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</si>
  <si>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</si>
  <si>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</si>
  <si>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</si>
  <si>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</si>
  <si>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</si>
  <si>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</si>
  <si>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</si>
  <si>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</si>
  <si>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</si>
  <si>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</si>
  <si>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</si>
  <si>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</si>
  <si>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</si>
  <si>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</si>
  <si>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</si>
  <si>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</si>
  <si>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</si>
  <si>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</si>
  <si>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</si>
  <si>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</si>
  <si>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</si>
  <si>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</si>
  <si>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</si>
  <si>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</si>
  <si>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</si>
  <si>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</si>
  <si>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</si>
  <si>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</si>
  <si>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</si>
  <si>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</si>
  <si>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</si>
  <si>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</si>
  <si>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</si>
  <si>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</si>
  <si>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</si>
  <si>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</si>
  <si>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</si>
  <si>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</si>
  <si>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</si>
  <si>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</si>
  <si>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</si>
  <si>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</si>
  <si>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</si>
  <si>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</si>
  <si>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</si>
  <si>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</si>
  <si>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</si>
  <si>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</si>
  <si>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</si>
  <si>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</si>
  <si>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</si>
  <si>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</si>
  <si>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</si>
  <si>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</si>
  <si>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</si>
  <si>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</si>
  <si>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</si>
  <si>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</si>
  <si>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</si>
  <si>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</si>
  <si>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</si>
  <si>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</si>
  <si>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</si>
  <si>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</si>
  <si>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</si>
  <si>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</si>
  <si>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</si>
  <si>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</si>
  <si>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</si>
  <si>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</si>
  <si>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</si>
  <si>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</si>
  <si>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</si>
  <si>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</si>
  <si>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</si>
  <si>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</si>
  <si>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</si>
  <si>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</si>
  <si>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</si>
  <si>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</si>
  <si>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</si>
  <si>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</si>
  <si>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</si>
  <si>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</si>
  <si>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</si>
  <si>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</si>
  <si>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</si>
  <si>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</si>
  <si>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</si>
  <si>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</si>
  <si>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</si>
  <si>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</si>
  <si>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</si>
  <si>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</si>
  <si>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</si>
  <si>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</si>
  <si>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</si>
  <si>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</si>
  <si>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</si>
  <si>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</si>
  <si>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</si>
  <si>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</si>
  <si>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</si>
  <si>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</si>
  <si>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</si>
  <si>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</si>
  <si>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</si>
  <si>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</si>
  <si>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</si>
  <si>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</si>
  <si>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</si>
  <si>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</si>
  <si>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</si>
  <si>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</si>
  <si>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</si>
  <si>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</si>
  <si>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</si>
  <si>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</si>
  <si>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</si>
  <si>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</si>
  <si>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</si>
  <si>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</si>
  <si>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</si>
  <si>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</si>
  <si>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</si>
  <si>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</si>
  <si>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</si>
  <si>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</si>
  <si>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</si>
  <si>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</si>
  <si>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</si>
  <si>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</si>
  <si>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</si>
  <si>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</si>
  <si>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</si>
  <si>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</si>
  <si>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</si>
  <si>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</si>
  <si>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</si>
  <si>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</si>
  <si>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</si>
  <si>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</si>
  <si>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</si>
  <si>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</si>
  <si>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</si>
  <si>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</si>
  <si>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</si>
  <si>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</si>
  <si>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</si>
  <si>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</si>
  <si>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</si>
  <si>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</si>
  <si>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</si>
  <si>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</si>
  <si>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</si>
  <si>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</si>
  <si>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</si>
  <si>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</si>
  <si>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</si>
  <si>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</si>
  <si>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</si>
  <si>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</si>
  <si>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</si>
  <si>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</si>
  <si>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</si>
  <si>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</si>
  <si>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</si>
  <si>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</si>
  <si>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</si>
  <si>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</si>
  <si>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</si>
  <si>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</si>
  <si>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</si>
  <si>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</si>
  <si>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</si>
  <si>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</si>
  <si>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</si>
  <si>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</si>
  <si>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</si>
  <si>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</si>
  <si>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</si>
  <si>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</si>
  <si>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</si>
  <si>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</si>
  <si>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</si>
  <si>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</si>
  <si>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</si>
  <si>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</si>
  <si>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</si>
  <si>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</si>
  <si>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</si>
  <si>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</si>
  <si>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</si>
  <si>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</si>
  <si>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</si>
  <si>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</si>
  <si>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</si>
  <si>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</si>
  <si>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</si>
  <si>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</si>
  <si>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</si>
  <si>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</si>
  <si>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</si>
  <si>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</si>
  <si>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</si>
  <si>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</si>
  <si>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</si>
  <si>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</si>
  <si>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</si>
  <si>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</si>
  <si>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</si>
  <si>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</si>
  <si>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</si>
  <si>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</si>
  <si>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</si>
  <si>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</si>
  <si>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</si>
  <si>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</si>
  <si>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</si>
  <si>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</si>
  <si>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</si>
  <si>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</si>
  <si>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</si>
  <si>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</si>
  <si>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</si>
  <si>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</si>
  <si>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</si>
  <si>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</si>
  <si>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</si>
  <si>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</si>
  <si>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</si>
  <si>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</si>
  <si>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</si>
  <si>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</si>
  <si>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</si>
  <si>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</si>
  <si>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</si>
  <si>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</si>
  <si>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</si>
  <si>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</si>
  <si>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</si>
  <si>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</si>
  <si>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</si>
  <si>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</si>
  <si>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</si>
  <si>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</si>
  <si>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</si>
  <si>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</si>
  <si>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</si>
  <si>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</si>
  <si>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</si>
  <si>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</si>
  <si>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</si>
  <si>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</si>
  <si>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</si>
  <si>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</si>
  <si>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</si>
  <si>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</si>
  <si>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</si>
  <si>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</si>
  <si>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</si>
  <si>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</si>
  <si>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</si>
  <si>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</si>
  <si>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</si>
  <si>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</si>
  <si>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</si>
  <si>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</si>
  <si>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</si>
  <si>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</si>
  <si>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</si>
  <si>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</si>
  <si>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</si>
  <si>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</si>
  <si>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</si>
  <si>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</si>
  <si>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</si>
  <si>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</si>
  <si>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</si>
  <si>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</si>
  <si>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</si>
  <si>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</si>
  <si>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</si>
  <si>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</si>
  <si>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</si>
  <si>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</si>
  <si>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</si>
  <si>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</si>
  <si>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</si>
  <si>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</si>
  <si>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</si>
  <si>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</si>
  <si>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</si>
  <si>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</si>
  <si>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</si>
  <si>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</si>
  <si>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</si>
  <si>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</si>
  <si>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</si>
  <si>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</si>
  <si>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</si>
  <si>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</si>
  <si>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</si>
  <si>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</si>
  <si>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</si>
  <si>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</si>
  <si>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</si>
  <si>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</si>
  <si>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</si>
  <si>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</si>
  <si>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</si>
  <si>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</si>
  <si>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</si>
  <si>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</si>
  <si>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</si>
  <si>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</si>
  <si>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</si>
  <si>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</si>
  <si>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</si>
  <si>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</si>
  <si>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</si>
  <si>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</si>
  <si>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</si>
  <si>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</si>
  <si>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</si>
  <si>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</si>
  <si>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</si>
  <si>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</si>
  <si>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</si>
  <si>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</si>
  <si>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</si>
  <si>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</si>
  <si>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</si>
  <si>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</si>
  <si>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</si>
  <si>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</si>
  <si>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</si>
  <si>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</si>
  <si>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</si>
  <si>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</si>
  <si>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</si>
  <si>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</si>
  <si>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</si>
  <si>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</si>
  <si>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</si>
  <si>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</si>
  <si>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</si>
  <si>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</si>
  <si>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</si>
  <si>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</si>
  <si>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</si>
  <si>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</si>
  <si>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</si>
  <si>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</si>
  <si>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</si>
  <si>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</si>
  <si>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</si>
  <si>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</si>
  <si>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</si>
  <si>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</si>
  <si>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</si>
  <si>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</si>
  <si>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</si>
  <si>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</si>
  <si>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</si>
  <si>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</si>
  <si>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</si>
  <si>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</si>
  <si>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</si>
  <si>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</si>
  <si>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</si>
  <si>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</si>
  <si>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</si>
  <si>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</si>
  <si>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</si>
  <si>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</si>
  <si>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</si>
  <si>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</si>
  <si>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</si>
  <si>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</si>
  <si>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</si>
  <si>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</si>
  <si>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</si>
  <si>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</si>
  <si>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</si>
  <si>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</si>
  <si>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</si>
  <si>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</si>
  <si>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</si>
  <si>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</si>
  <si>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</si>
  <si>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</si>
  <si>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</si>
  <si>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</si>
  <si>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</si>
  <si>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</si>
  <si>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</si>
  <si>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</si>
  <si>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</si>
  <si>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</si>
  <si>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</si>
  <si>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</si>
  <si>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</si>
  <si>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</si>
  <si>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</si>
  <si>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</si>
  <si>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</si>
  <si>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</si>
  <si>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</si>
  <si>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</si>
  <si>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</si>
  <si>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</si>
  <si>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</si>
  <si>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</si>
  <si>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</si>
  <si>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</si>
  <si>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</si>
  <si>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</si>
  <si>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</si>
  <si>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</si>
  <si>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</si>
  <si>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</si>
  <si>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</si>
  <si>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</si>
  <si>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</si>
  <si>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</si>
  <si>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</si>
  <si>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</si>
  <si>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</si>
  <si>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</si>
  <si>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</si>
  <si>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</si>
  <si>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</si>
  <si>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</si>
  <si>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</si>
  <si>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</si>
  <si>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</si>
  <si>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</si>
  <si>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</si>
  <si>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</si>
  <si>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</si>
  <si>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</si>
  <si>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</si>
  <si>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</si>
  <si>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</si>
  <si>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</si>
  <si>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</si>
  <si>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</si>
  <si>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</si>
  <si>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</si>
  <si>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</si>
  <si>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</si>
  <si>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</si>
  <si>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</si>
  <si>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</si>
  <si>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</si>
  <si>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</si>
  <si>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</si>
  <si>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</si>
  <si>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</si>
  <si>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</si>
  <si>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</si>
  <si>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</si>
  <si>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</si>
  <si>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</si>
  <si>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</si>
  <si>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</si>
  <si>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</si>
  <si>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</si>
  <si>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</si>
  <si>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</si>
  <si>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</si>
  <si>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</si>
  <si>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</si>
  <si>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</si>
  <si>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</si>
  <si>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</si>
  <si>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</si>
  <si>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</si>
  <si>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</si>
  <si>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</si>
  <si>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</si>
  <si>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</si>
  <si>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</si>
  <si>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</si>
  <si>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</si>
  <si>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</si>
  <si>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</si>
  <si>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</si>
  <si>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</si>
  <si>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</si>
  <si>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</si>
  <si>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</si>
  <si>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</si>
  <si>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</si>
  <si>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</si>
  <si>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</si>
  <si>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</si>
  <si>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</si>
  <si>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</si>
  <si>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</si>
  <si>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</si>
  <si>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</si>
  <si>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</si>
  <si>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</si>
  <si>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</si>
  <si>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</si>
  <si>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</si>
  <si>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</si>
  <si>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</si>
  <si>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</si>
  <si>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</si>
  <si>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</si>
  <si>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</si>
  <si>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</si>
  <si>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</si>
  <si>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</si>
  <si>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</si>
  <si>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</si>
  <si>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</si>
  <si>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</si>
  <si>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</si>
  <si>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</si>
  <si>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</si>
  <si>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</si>
  <si>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</si>
  <si>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</si>
  <si>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</si>
  <si>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</si>
  <si>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</si>
  <si>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</si>
  <si>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</si>
  <si>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</si>
  <si>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</si>
  <si>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</si>
  <si>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</si>
  <si>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</si>
  <si>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</si>
  <si>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</si>
  <si>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</si>
  <si>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</si>
  <si>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</si>
  <si>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</si>
  <si>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</si>
  <si>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</si>
  <si>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</si>
  <si>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</si>
  <si>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</si>
  <si>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</si>
  <si>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</si>
  <si>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</si>
  <si>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</si>
  <si>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</si>
  <si>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</si>
  <si>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</si>
  <si>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</si>
  <si>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</si>
  <si>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</si>
  <si>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</si>
  <si>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</si>
  <si>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</si>
  <si>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</si>
  <si>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</si>
  <si>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</si>
  <si>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</si>
  <si>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</si>
  <si>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</si>
  <si>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</si>
  <si>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</si>
  <si>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</si>
  <si>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</si>
  <si>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</si>
  <si>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</si>
  <si>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</si>
  <si>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</si>
  <si>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</si>
  <si>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</si>
  <si>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</si>
  <si>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</si>
  <si>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</si>
  <si>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</si>
  <si>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</si>
  <si>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</si>
  <si>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</si>
  <si>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</si>
  <si>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</si>
  <si>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</si>
  <si>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</si>
  <si>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</si>
  <si>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</si>
  <si>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</si>
  <si>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</si>
  <si>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</si>
  <si>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</si>
  <si>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</si>
  <si>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</si>
  <si>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</si>
  <si>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</si>
  <si>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</si>
  <si>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</si>
  <si>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</si>
  <si>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</si>
  <si>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</si>
  <si>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</si>
  <si>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</si>
  <si>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</si>
  <si>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</si>
  <si>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</si>
  <si>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</si>
  <si>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</si>
  <si>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</si>
  <si>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</si>
  <si>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</si>
  <si>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</si>
  <si>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</si>
  <si>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</si>
  <si>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</si>
  <si>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</si>
  <si>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</si>
  <si>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</si>
  <si>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</si>
  <si>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</si>
  <si>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</si>
  <si>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</si>
  <si>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</si>
  <si>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</si>
  <si>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</si>
  <si>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</si>
  <si>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</si>
  <si>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</si>
  <si>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</si>
  <si>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</si>
  <si>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</si>
  <si>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</si>
  <si>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</si>
  <si>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</si>
  <si>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</si>
  <si>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</si>
  <si>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</si>
  <si>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</si>
  <si>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</si>
  <si>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</si>
  <si>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</si>
  <si>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</si>
  <si>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</si>
  <si>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</si>
  <si>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</si>
  <si>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</si>
  <si>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</si>
  <si>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</si>
  <si>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</si>
  <si>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</si>
  <si>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</si>
  <si>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</si>
  <si>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</si>
  <si>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</si>
  <si>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</si>
  <si>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</si>
  <si>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</si>
  <si>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</si>
  <si>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</si>
  <si>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</si>
  <si>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</si>
  <si>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</si>
  <si>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</si>
  <si>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</si>
  <si>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</si>
  <si>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</si>
  <si>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</si>
  <si>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</si>
  <si>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</si>
  <si>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</si>
  <si>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</si>
  <si>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</si>
  <si>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</si>
  <si>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</si>
  <si>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</si>
  <si>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</si>
  <si>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</si>
  <si>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</si>
  <si>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</si>
  <si>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</si>
  <si>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</si>
  <si>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</si>
  <si>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</si>
  <si>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</si>
  <si>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</si>
  <si>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</si>
  <si>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</si>
  <si>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</si>
  <si>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</si>
  <si>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</si>
  <si>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</si>
  <si>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</si>
  <si>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</si>
  <si>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</si>
  <si>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</si>
  <si>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</si>
  <si>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</si>
  <si>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</si>
  <si>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</si>
  <si>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</si>
  <si>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</si>
  <si>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</si>
  <si>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</si>
  <si>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</si>
  <si>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</si>
  <si>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</si>
  <si>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</si>
  <si>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</si>
  <si>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</si>
  <si>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</si>
  <si>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</si>
  <si>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</si>
  <si>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</si>
  <si>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</si>
  <si>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</si>
  <si>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</si>
  <si>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</si>
  <si>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</si>
  <si>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</si>
  <si>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</si>
  <si>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</si>
  <si>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</si>
  <si>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</si>
  <si>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</si>
  <si>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</si>
  <si>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</si>
  <si>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</si>
  <si>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</si>
  <si>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</si>
  <si>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</si>
  <si>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</si>
  <si>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</si>
  <si>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</si>
  <si>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</si>
  <si>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</si>
  <si>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</si>
  <si>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</si>
  <si>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</si>
  <si>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</si>
  <si>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</si>
  <si>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</si>
  <si>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</si>
  <si>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</si>
  <si>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</si>
  <si>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</si>
  <si>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</si>
  <si>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</si>
  <si>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</si>
  <si>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</si>
  <si>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</si>
  <si>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</si>
  <si>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</si>
  <si>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</si>
  <si>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</si>
  <si>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</si>
  <si>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</si>
  <si>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</si>
  <si>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</si>
  <si>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</si>
  <si>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</si>
  <si>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</si>
  <si>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</si>
  <si>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</si>
  <si>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</si>
  <si>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</si>
  <si>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</si>
  <si>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</si>
  <si>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</si>
  <si>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</si>
  <si>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</si>
  <si>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</si>
  <si>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</si>
  <si>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</si>
  <si>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</si>
  <si>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</si>
  <si>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</si>
  <si>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</si>
  <si>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</si>
  <si>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</si>
  <si>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</si>
  <si>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</si>
  <si>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</si>
  <si>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</si>
  <si>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</si>
  <si>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</si>
  <si>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</si>
  <si>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</si>
  <si>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</si>
  <si>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</si>
  <si>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</si>
  <si>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</si>
  <si>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</si>
  <si>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</si>
  <si>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</si>
  <si>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</si>
  <si>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</si>
  <si>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</si>
  <si>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</si>
  <si>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</si>
  <si>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</si>
  <si>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</si>
  <si>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</si>
  <si>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</si>
  <si>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</si>
  <si>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</si>
  <si>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</si>
  <si>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</si>
  <si>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</si>
  <si>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</si>
  <si>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</si>
  <si>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</si>
  <si>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</si>
  <si>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</si>
  <si>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</si>
  <si>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</si>
  <si>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</si>
  <si>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</si>
  <si>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</si>
  <si>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</si>
  <si>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</si>
  <si>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</si>
  <si>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</si>
  <si>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</si>
  <si>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</si>
  <si>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</si>
  <si>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</si>
  <si>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</si>
  <si>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</si>
  <si>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</si>
  <si>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</si>
  <si>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</si>
  <si>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</si>
  <si>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</si>
  <si>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</si>
  <si>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</si>
  <si>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</si>
  <si>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</si>
  <si>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</si>
  <si>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</si>
  <si>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</si>
  <si>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</si>
  <si>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</si>
  <si>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</si>
  <si>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</si>
  <si>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</si>
  <si>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</si>
  <si>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</si>
  <si>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</si>
  <si>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</si>
  <si>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</si>
  <si>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</si>
  <si>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</si>
  <si>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</si>
  <si>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</si>
  <si>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</si>
  <si>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</si>
  <si>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</si>
  <si>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</si>
  <si>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</si>
  <si>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</si>
  <si>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</si>
  <si>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</si>
  <si>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</si>
  <si>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</si>
  <si>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</si>
  <si>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</si>
  <si>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</si>
  <si>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</si>
  <si>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</si>
  <si>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</si>
  <si>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</si>
  <si>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</si>
  <si>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</si>
  <si>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</si>
  <si>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</si>
  <si>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</si>
  <si>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</si>
  <si>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</si>
  <si>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</si>
  <si>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</si>
  <si>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</si>
  <si>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</si>
  <si>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</si>
  <si>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</si>
  <si>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</si>
  <si>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</si>
  <si>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</si>
  <si>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</si>
  <si>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</si>
  <si>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</si>
  <si>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</si>
  <si>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</si>
  <si>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</si>
  <si>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</si>
  <si>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</si>
  <si>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</si>
  <si>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</si>
  <si>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</si>
  <si>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</si>
  <si>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</si>
  <si>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</si>
  <si>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</si>
  <si>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</si>
  <si>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</si>
  <si>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</si>
  <si>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</si>
  <si>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</si>
  <si>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</si>
  <si>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</si>
  <si>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</si>
  <si>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</si>
  <si>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</si>
  <si>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</si>
  <si>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</si>
  <si>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</si>
  <si>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</si>
  <si>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</si>
  <si>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</si>
  <si>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</si>
  <si>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</si>
  <si>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</si>
  <si>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</si>
  <si>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</si>
  <si>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</si>
  <si>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</si>
  <si>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</si>
  <si>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</si>
  <si>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</si>
  <si>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</si>
  <si>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</si>
  <si>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</si>
  <si>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</si>
  <si>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</si>
  <si>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</si>
  <si>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</si>
  <si>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</si>
  <si>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</si>
  <si>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</si>
  <si>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</si>
  <si>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</si>
  <si>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</si>
  <si>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</si>
  <si>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</si>
  <si>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</si>
  <si>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</si>
  <si>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</si>
  <si>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</si>
  <si>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</si>
  <si>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</si>
  <si>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</si>
  <si>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</si>
  <si>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</si>
  <si>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</si>
  <si>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</si>
  <si>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</si>
  <si>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</si>
  <si>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</si>
  <si>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</si>
  <si>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</si>
  <si>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</si>
  <si>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</si>
  <si>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</si>
  <si>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</si>
  <si>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</si>
  <si>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</si>
  <si>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</si>
  <si>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</si>
  <si>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</si>
  <si>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</si>
  <si>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</si>
  <si>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</si>
  <si>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</si>
  <si>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</si>
  <si>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</si>
  <si>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</si>
  <si>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</si>
  <si>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</si>
  <si>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</si>
  <si>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</si>
  <si>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</si>
  <si>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</si>
  <si>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</si>
  <si>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</si>
  <si>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</si>
  <si>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</si>
  <si>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</si>
  <si>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</si>
  <si>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</si>
  <si>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</si>
  <si>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</si>
  <si>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</si>
  <si>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</si>
  <si>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</si>
  <si>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</si>
  <si>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</si>
  <si>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</si>
  <si>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</si>
  <si>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</si>
  <si>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</si>
  <si>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</si>
  <si>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</si>
  <si>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</si>
  <si>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</si>
  <si>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</si>
  <si>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</si>
  <si>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</si>
  <si>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</si>
  <si>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</si>
  <si>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</si>
  <si>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</si>
  <si>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</si>
  <si>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</si>
  <si>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</si>
  <si>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</si>
  <si>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</si>
  <si>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</si>
  <si>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</si>
  <si>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</si>
  <si>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</si>
  <si>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</si>
  <si>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</si>
  <si>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</si>
  <si>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</si>
  <si>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</si>
  <si>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</si>
  <si>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</si>
  <si>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</si>
  <si>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</si>
  <si>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</si>
  <si>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</si>
  <si>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</si>
  <si>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</si>
  <si>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</si>
  <si>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</si>
  <si>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</si>
  <si>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</si>
  <si>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</si>
  <si>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</si>
  <si>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</si>
  <si>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</si>
  <si>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</si>
  <si>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</si>
  <si>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</si>
  <si>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</si>
  <si>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</si>
  <si>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</si>
  <si>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</si>
  <si>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</si>
  <si>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</si>
  <si>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</si>
  <si>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</si>
  <si>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</si>
  <si>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</si>
  <si>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</si>
  <si>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</si>
  <si>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</si>
  <si>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</si>
  <si>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</si>
  <si>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</si>
  <si>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</si>
  <si>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</si>
  <si>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</si>
  <si>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</si>
  <si>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</si>
  <si>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</si>
  <si>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</si>
  <si>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</si>
  <si>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</si>
  <si>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</si>
  <si>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</si>
  <si>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</si>
  <si>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</si>
  <si>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</si>
  <si>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</si>
  <si>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</si>
  <si>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</si>
  <si>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</si>
  <si>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</si>
  <si>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</si>
  <si>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</si>
  <si>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</si>
  <si>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</si>
  <si>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</si>
  <si>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</si>
  <si>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</si>
  <si>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</si>
  <si>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</si>
  <si>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</si>
  <si>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</si>
  <si>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</si>
  <si>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</si>
  <si>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</si>
  <si>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</si>
  <si>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</si>
  <si>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</si>
  <si>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</si>
  <si>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</si>
  <si>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</si>
  <si>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</si>
  <si>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</si>
  <si>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</si>
  <si>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</si>
  <si>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</si>
  <si>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</si>
  <si>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</si>
  <si>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</si>
  <si>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</si>
  <si>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</si>
  <si>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</si>
  <si>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</si>
  <si>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</si>
  <si>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</si>
  <si>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</si>
  <si>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</si>
  <si>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</si>
  <si>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</si>
  <si>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</si>
  <si>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</si>
  <si>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</si>
  <si>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</si>
  <si>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</si>
  <si>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</si>
  <si>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</si>
  <si>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</si>
  <si>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</si>
  <si>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</si>
  <si>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</si>
  <si>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</si>
  <si>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</si>
  <si>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</si>
  <si>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</si>
  <si>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</si>
  <si>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</si>
  <si>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</si>
  <si>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</si>
  <si>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</si>
  <si>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</si>
  <si>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</si>
  <si>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</si>
  <si>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</si>
  <si>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</si>
  <si>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</si>
  <si>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</si>
  <si>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</si>
  <si>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</si>
  <si>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</si>
  <si>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</si>
  <si>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</si>
  <si>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</si>
  <si>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</si>
  <si>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</si>
  <si>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</si>
  <si>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</si>
  <si>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</si>
  <si>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</si>
  <si>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</si>
  <si>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</si>
  <si>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</si>
  <si>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</si>
  <si>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</si>
  <si>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</si>
  <si>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</si>
  <si>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</si>
  <si>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</si>
  <si>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</si>
  <si>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</si>
  <si>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</si>
  <si>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</si>
  <si>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</si>
  <si>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</si>
  <si>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</si>
  <si>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</si>
  <si>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</si>
  <si>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</si>
  <si>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</si>
  <si>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</si>
  <si>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</si>
  <si>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</si>
  <si>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</si>
  <si>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</si>
  <si>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</si>
  <si>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</si>
  <si>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</si>
  <si>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</si>
  <si>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</si>
  <si>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</si>
  <si>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</si>
  <si>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</si>
  <si>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</si>
  <si>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</si>
  <si>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</si>
  <si>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</si>
  <si>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</si>
  <si>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</si>
  <si>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</si>
  <si>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</si>
  <si>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</si>
  <si>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</si>
  <si>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</si>
  <si>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</si>
  <si>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</si>
  <si>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</si>
  <si>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</si>
  <si>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</si>
  <si>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</si>
  <si>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</si>
  <si>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</si>
  <si>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</si>
  <si>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</si>
  <si>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</si>
  <si>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</si>
  <si>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</si>
  <si>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</si>
  <si>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</si>
  <si>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</si>
  <si>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</si>
  <si>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</si>
  <si>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</si>
  <si>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</si>
  <si>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</si>
  <si>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</si>
  <si>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</si>
  <si>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</si>
  <si>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</si>
  <si>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</si>
  <si>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</si>
  <si>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</si>
  <si>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</si>
  <si>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</si>
  <si>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</si>
  <si>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</si>
  <si>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</si>
  <si>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</si>
  <si>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</si>
  <si>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</si>
  <si>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</si>
  <si>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</si>
  <si>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</si>
  <si>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</si>
  <si>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</si>
  <si>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</si>
  <si>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</si>
  <si>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</si>
  <si>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</si>
  <si>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</si>
  <si>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</si>
  <si>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</si>
  <si>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</si>
  <si>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</si>
  <si>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</si>
  <si>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</si>
  <si>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</si>
  <si>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</si>
  <si>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</si>
  <si>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</si>
  <si>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</si>
  <si>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</si>
  <si>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</si>
  <si>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</si>
  <si>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</si>
  <si>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</si>
  <si>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</si>
  <si>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</si>
  <si>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</si>
  <si>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</si>
  <si>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</si>
  <si>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</si>
  <si>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</si>
  <si>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</si>
  <si>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</si>
  <si>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</si>
  <si>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</si>
  <si>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</si>
  <si>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</si>
  <si>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</si>
  <si>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</si>
  <si>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</si>
  <si>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</si>
  <si>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</si>
  <si>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</si>
  <si>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</si>
  <si>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</si>
  <si>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</si>
  <si>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</si>
  <si>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</si>
  <si>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</si>
  <si>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</si>
  <si>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</si>
  <si>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</si>
  <si>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</si>
  <si>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</si>
  <si>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</si>
  <si>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</si>
  <si>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</si>
  <si>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</si>
  <si>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</si>
  <si>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</si>
  <si>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</si>
  <si>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</si>
  <si>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</si>
  <si>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</si>
  <si>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</si>
  <si>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</si>
  <si>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</si>
  <si>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</si>
  <si>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</si>
  <si>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</si>
  <si>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</si>
  <si>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</si>
  <si>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</si>
  <si>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</si>
  <si>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</si>
  <si>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</si>
  <si>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</si>
  <si>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</si>
  <si>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</si>
  <si>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</si>
  <si>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</si>
  <si>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</si>
  <si>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</si>
  <si>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</si>
  <si>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</si>
  <si>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</si>
  <si>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</si>
  <si>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</si>
  <si>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</si>
  <si>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</si>
  <si>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</si>
  <si>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</si>
  <si>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</si>
  <si>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</si>
  <si>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</si>
  <si>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</si>
  <si>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</si>
  <si>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</si>
  <si>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</si>
  <si>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</si>
  <si>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</si>
  <si>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</si>
  <si>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</si>
  <si>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</si>
  <si>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</si>
  <si>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</si>
  <si>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</si>
  <si>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</si>
  <si>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</si>
  <si>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</si>
  <si>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</si>
  <si>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</si>
  <si>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</si>
  <si>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</si>
  <si>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</si>
  <si>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</si>
  <si>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</si>
  <si>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</si>
  <si>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</si>
  <si>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</si>
  <si>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</si>
  <si>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</si>
  <si>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</si>
  <si>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</si>
  <si>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</si>
  <si>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</si>
  <si>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</si>
  <si>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</si>
  <si>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</si>
  <si>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</si>
  <si>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</si>
  <si>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</si>
  <si>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</si>
  <si>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</si>
  <si>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</si>
  <si>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</si>
  <si>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</si>
  <si>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</si>
  <si>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</si>
  <si>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</si>
  <si>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</si>
  <si>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</si>
  <si>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</si>
  <si>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</si>
  <si>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</si>
  <si>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</si>
  <si>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</si>
  <si>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</si>
  <si>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</si>
  <si>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</si>
  <si>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</si>
  <si>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</si>
  <si>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</si>
  <si>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</si>
  <si>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</si>
  <si>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</si>
  <si>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</si>
  <si>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</si>
  <si>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</si>
  <si>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</si>
  <si>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</si>
  <si>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</si>
  <si>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</si>
  <si>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</si>
  <si>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</si>
  <si>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</si>
  <si>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</si>
  <si>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</si>
  <si>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</si>
  <si>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</si>
  <si>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</si>
  <si>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</si>
  <si>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</si>
  <si>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</si>
  <si>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</si>
  <si>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</si>
  <si>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</si>
  <si>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</si>
  <si>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</si>
  <si>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</si>
  <si>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</si>
  <si>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</si>
  <si>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</si>
  <si>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</si>
  <si>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</si>
  <si>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</si>
  <si>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</si>
  <si>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</si>
  <si>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</si>
  <si>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</si>
  <si>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</si>
  <si>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</si>
  <si>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</si>
  <si>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</si>
  <si>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</si>
  <si>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</si>
  <si>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</si>
  <si>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</si>
  <si>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</si>
  <si>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</si>
  <si>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</si>
  <si>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</si>
  <si>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</si>
  <si>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</si>
  <si>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</si>
  <si>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</si>
  <si>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</si>
  <si>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</si>
  <si>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</si>
  <si>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</si>
  <si>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</si>
  <si>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</si>
  <si>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</si>
  <si>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</si>
  <si>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</si>
  <si>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</si>
  <si>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</si>
  <si>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</si>
  <si>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</si>
  <si>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</si>
  <si>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</si>
  <si>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</si>
  <si>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</si>
  <si>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</si>
  <si>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</si>
  <si>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</si>
  <si>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</si>
  <si>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</si>
  <si>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</si>
  <si>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</si>
  <si>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</si>
  <si>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</si>
  <si>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</si>
  <si>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</si>
  <si>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</si>
  <si>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</si>
  <si>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</si>
  <si>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</si>
  <si>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</si>
  <si>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</si>
  <si>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</si>
  <si>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</si>
  <si>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</si>
  <si>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</si>
  <si>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</si>
  <si>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</si>
  <si>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</si>
  <si>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</si>
  <si>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</si>
  <si>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</si>
  <si>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</si>
  <si>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</si>
  <si>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</si>
  <si>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</si>
  <si>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</si>
  <si>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</si>
  <si>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</si>
  <si>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</si>
  <si>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</si>
  <si>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</si>
  <si>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</si>
  <si>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</si>
  <si>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</si>
  <si>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</si>
  <si>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</si>
  <si>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</si>
  <si>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</si>
  <si>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</si>
  <si>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</si>
  <si>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</si>
  <si>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</si>
  <si>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</si>
  <si>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</si>
  <si>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</si>
  <si>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</si>
  <si>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</si>
  <si>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</si>
  <si>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</si>
  <si>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</si>
  <si>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</si>
  <si>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</si>
  <si>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</si>
  <si>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</si>
  <si>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</si>
  <si>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</si>
  <si>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</si>
  <si>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</si>
  <si>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</si>
  <si>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</si>
  <si>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</si>
  <si>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</si>
  <si>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</si>
  <si>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</si>
  <si>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</si>
  <si>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</si>
  <si>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</si>
  <si>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</si>
  <si>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</si>
  <si>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</si>
  <si>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</si>
  <si>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</si>
  <si>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</si>
  <si>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</si>
  <si>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</si>
  <si>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</si>
  <si>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</si>
  <si>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</si>
  <si>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</si>
  <si>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</si>
  <si>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</si>
  <si>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</si>
  <si>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</si>
  <si>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</si>
  <si>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</si>
  <si>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</si>
  <si>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</si>
  <si>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</si>
  <si>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</si>
  <si>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</si>
  <si>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</si>
  <si>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</si>
  <si>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</si>
  <si>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</si>
  <si>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</si>
  <si>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</si>
  <si>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</si>
  <si>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</si>
  <si>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</si>
  <si>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</si>
  <si>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</si>
  <si>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</si>
  <si>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</si>
  <si>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</si>
  <si>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</si>
  <si>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</si>
  <si>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</si>
  <si>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</si>
  <si>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</si>
  <si>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</si>
  <si>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</si>
  <si>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</si>
  <si>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</si>
  <si>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</si>
  <si>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</si>
  <si>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</si>
  <si>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</si>
  <si>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</si>
  <si>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</si>
  <si>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</si>
  <si>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</si>
  <si>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</si>
  <si>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</si>
  <si>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</si>
  <si>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</si>
  <si>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</si>
  <si>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</si>
  <si>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</si>
  <si>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</si>
  <si>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</si>
  <si>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</si>
  <si>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</si>
  <si>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</si>
  <si>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</si>
  <si>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</si>
  <si>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</si>
  <si>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</si>
  <si>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</si>
  <si>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</si>
  <si>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</si>
  <si>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</si>
  <si>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</si>
  <si>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</si>
  <si>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</si>
  <si>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</si>
  <si>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</si>
  <si>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</si>
  <si>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</si>
  <si>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</si>
  <si>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</si>
  <si>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</si>
  <si>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</si>
  <si>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</si>
  <si>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</si>
  <si>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</si>
  <si>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</si>
  <si>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</si>
  <si>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</si>
  <si>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</si>
  <si>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</si>
  <si>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</si>
  <si>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</si>
  <si>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</si>
  <si>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</si>
  <si>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</si>
  <si>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</si>
  <si>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</si>
  <si>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</si>
  <si>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</si>
  <si>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</si>
  <si>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</si>
  <si>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</si>
  <si>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</si>
  <si>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</si>
  <si>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</si>
  <si>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</si>
  <si>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</si>
  <si>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</si>
  <si>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</si>
  <si>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</si>
  <si>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</si>
  <si>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</si>
  <si>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</si>
  <si>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</si>
  <si>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</si>
  <si>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</si>
  <si>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</si>
  <si>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</si>
  <si>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</si>
  <si>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</si>
  <si>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</si>
  <si>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</si>
  <si>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</si>
  <si>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</si>
  <si>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</si>
  <si>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</si>
  <si>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</si>
  <si>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</si>
  <si>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</si>
  <si>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</si>
  <si>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</si>
  <si>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</si>
  <si>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</si>
  <si>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</si>
  <si>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</si>
  <si>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</si>
  <si>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</si>
  <si>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</si>
  <si>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</si>
  <si>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</si>
  <si>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</si>
  <si>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</si>
  <si>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</si>
  <si>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</si>
  <si>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</si>
  <si>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</si>
  <si>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</si>
  <si>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</si>
  <si>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</si>
  <si>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</si>
  <si>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</si>
  <si>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</si>
  <si>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</si>
  <si>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</si>
  <si>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</si>
  <si>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</si>
  <si>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</si>
  <si>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</si>
  <si>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</si>
  <si>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</si>
  <si>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</si>
  <si>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</si>
  <si>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</si>
  <si>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</si>
  <si>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</si>
  <si>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</si>
  <si>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</si>
  <si>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</si>
  <si>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</si>
  <si>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</si>
  <si>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</si>
  <si>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</si>
  <si>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</si>
  <si>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</si>
  <si>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</si>
  <si>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</si>
  <si>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</si>
  <si>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</si>
  <si>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</si>
  <si>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</si>
  <si>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</si>
  <si>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</si>
  <si>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</si>
  <si>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</si>
  <si>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</si>
  <si>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</si>
  <si>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</si>
  <si>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</si>
  <si>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</si>
  <si>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</si>
  <si>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</si>
  <si>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</si>
  <si>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</si>
  <si>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</si>
  <si>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</si>
  <si>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</si>
  <si>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</si>
  <si>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</si>
  <si>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</si>
  <si>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</si>
  <si>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</si>
  <si>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</si>
  <si>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</si>
  <si>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</si>
  <si>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Ⅵ-通1</t>
  </si>
  <si>
    <t>是</t>
  </si>
  <si>
    <t>地上</t>
  </si>
  <si>
    <t>底商</t>
  </si>
  <si>
    <t>地下</t>
  </si>
  <si>
    <t>车库—办公</t>
  </si>
  <si>
    <t>车库</t>
  </si>
  <si>
    <t>商业</t>
    <phoneticPr fontId="7" type="noConversion"/>
  </si>
  <si>
    <t>地下车库</t>
    <phoneticPr fontId="7" type="noConversion"/>
  </si>
  <si>
    <t>在建（套用方法）</t>
  </si>
  <si>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</si>
  <si>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</si>
  <si>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</si>
  <si>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</si>
  <si>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</si>
  <si>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</si>
  <si>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</si>
  <si>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</si>
  <si>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</si>
  <si>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</si>
  <si>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</si>
  <si>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</si>
  <si>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</si>
  <si>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</si>
  <si>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</si>
  <si>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</si>
  <si>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</si>
  <si>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</si>
  <si>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</si>
  <si>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</si>
  <si>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</si>
  <si>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</si>
  <si>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</si>
  <si>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</si>
  <si>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</si>
  <si>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</si>
  <si>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</si>
  <si>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</si>
  <si>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</si>
  <si>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</si>
  <si>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</si>
  <si>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</si>
  <si>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</si>
  <si>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</si>
  <si>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</si>
  <si>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</si>
  <si>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</si>
  <si>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</si>
  <si>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</si>
  <si>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</si>
  <si>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</si>
  <si>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</si>
  <si>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</si>
  <si>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</si>
  <si>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</si>
  <si>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</si>
  <si>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</si>
  <si>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</si>
  <si>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</si>
  <si>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</si>
  <si>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</si>
  <si>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</si>
  <si>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</si>
  <si>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</si>
  <si>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</si>
  <si>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</si>
  <si>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</si>
  <si>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</si>
  <si>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</si>
  <si>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</si>
  <si>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商务金融用地（办公类）</t>
  </si>
  <si>
    <t>容积率修正</t>
  </si>
  <si>
    <t>宗地容积率</t>
  </si>
  <si>
    <t>五通一平</t>
  </si>
  <si>
    <t>缺少</t>
  </si>
  <si>
    <t>通热</t>
  </si>
  <si>
    <t>燃气</t>
  </si>
  <si>
    <t>不临58条商业街</t>
  </si>
  <si>
    <t>季度增幅（自定义）</t>
  </si>
  <si>
    <t>正常</t>
    <phoneticPr fontId="31" type="noConversion"/>
  </si>
  <si>
    <t>正常</t>
    <phoneticPr fontId="31" type="noConversion"/>
  </si>
  <si>
    <t>50</t>
    <phoneticPr fontId="31" type="noConversion"/>
  </si>
  <si>
    <t>一般</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</si>
  <si>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</si>
  <si>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</si>
  <si>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</si>
  <si>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</si>
  <si>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</si>
  <si>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2015-2</t>
    <phoneticPr fontId="31" type="noConversion"/>
  </si>
  <si>
    <t>2015-1</t>
    <phoneticPr fontId="31" type="noConversion"/>
  </si>
  <si>
    <t>2014-4</t>
    <phoneticPr fontId="31" type="noConversion"/>
  </si>
  <si>
    <t>2014-3</t>
    <phoneticPr fontId="31" type="noConversion"/>
  </si>
  <si>
    <t>未包含在土地购买价格中</t>
  </si>
  <si>
    <t>全部缴纳</t>
  </si>
  <si>
    <t>已包含在土地取得成本中</t>
  </si>
  <si>
    <t>成本法</t>
  </si>
  <si>
    <t>假设开发法</t>
  </si>
  <si>
    <t>2014-2</t>
    <phoneticPr fontId="31" type="noConversion"/>
  </si>
  <si>
    <t>鹏瑞利美融加五（北京）置业有限公司</t>
    <phoneticPr fontId="6" type="noConversion"/>
  </si>
  <si>
    <r>
      <rPr>
        <sz val="12"/>
        <color theme="9" tint="-0.249977111117893"/>
        <rFont val="宋体"/>
        <family val="3"/>
        <charset val="134"/>
      </rPr>
      <t>通州区运河西岸Ⅷ</t>
    </r>
    <r>
      <rPr>
        <sz val="12"/>
        <color theme="9" tint="-0.249977111117893"/>
        <rFont val="Arial"/>
        <family val="2"/>
      </rPr>
      <t>-11</t>
    </r>
    <r>
      <rPr>
        <sz val="12"/>
        <color theme="9" tint="-0.249977111117893"/>
        <rFont val="宋体"/>
        <family val="3"/>
        <charset val="134"/>
      </rPr>
      <t>地块</t>
    </r>
    <phoneticPr fontId="6" type="noConversion"/>
  </si>
  <si>
    <t>公寓</t>
  </si>
  <si>
    <t>公寓</t>
    <phoneticPr fontId="7" type="noConversion"/>
  </si>
  <si>
    <t>双面临街</t>
  </si>
  <si>
    <t>加五</t>
    <phoneticPr fontId="143" type="noConversion"/>
  </si>
  <si>
    <t>成本法</t>
    <phoneticPr fontId="143" type="noConversion"/>
  </si>
  <si>
    <t>假开</t>
    <phoneticPr fontId="143" type="noConversion"/>
  </si>
  <si>
    <t>总价</t>
    <phoneticPr fontId="143" type="noConversion"/>
  </si>
  <si>
    <t>楼面</t>
    <phoneticPr fontId="143" type="noConversion"/>
  </si>
  <si>
    <t>地面</t>
    <phoneticPr fontId="143" type="noConversion"/>
  </si>
  <si>
    <r>
      <t>1</t>
    </r>
    <r>
      <rPr>
        <sz val="11"/>
        <color theme="1"/>
        <rFont val="宋体"/>
        <family val="3"/>
        <charset val="134"/>
        <scheme val="minor"/>
      </rPr>
      <t>1-A</t>
    </r>
    <phoneticPr fontId="143" type="noConversion"/>
  </si>
  <si>
    <r>
      <t>1</t>
    </r>
    <r>
      <rPr>
        <sz val="11"/>
        <color theme="1"/>
        <rFont val="宋体"/>
        <family val="3"/>
        <charset val="134"/>
        <scheme val="minor"/>
      </rPr>
      <t>1-B</t>
    </r>
    <phoneticPr fontId="143" type="noConversion"/>
  </si>
  <si>
    <r>
      <t>1</t>
    </r>
    <r>
      <rPr>
        <sz val="11"/>
        <color theme="1"/>
        <rFont val="宋体"/>
        <family val="3"/>
        <charset val="134"/>
        <scheme val="minor"/>
      </rPr>
      <t>1-C</t>
    </r>
    <phoneticPr fontId="143" type="noConversion"/>
  </si>
  <si>
    <t>11-D</t>
    <phoneticPr fontId="143" type="noConversion"/>
  </si>
  <si>
    <r>
      <t>0</t>
    </r>
    <r>
      <rPr>
        <sz val="11"/>
        <color theme="1"/>
        <rFont val="宋体"/>
        <family val="3"/>
        <charset val="134"/>
        <scheme val="minor"/>
      </rPr>
      <t>.32/3</t>
    </r>
    <phoneticPr fontId="143" type="noConversion"/>
  </si>
  <si>
    <t>0/3</t>
    <phoneticPr fontId="143" type="noConversion"/>
  </si>
  <si>
    <t>0/3</t>
    <phoneticPr fontId="143" type="noConversion"/>
  </si>
  <si>
    <t>5.8/25</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</si>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</sst>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0" fillId="0" borderId="0" xfId="0" applyFill="1" applyAlignment="1"/>
    <xf numFmtId="0" fontId="0" fillId="9" borderId="0" xfId="0" applyFill="1" applyAlignment="1"/>
    <xf numFmtId="0" fontId="47" fillId="17" borderId="9" xfId="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xf>
    <xf numFmtId="10" fontId="47" fillId="17" borderId="32" xfId="1" applyNumberFormat="1" applyFont="1" applyFill="1" applyBorder="1" applyAlignment="1" applyProtection="1">
      <alignment horizontal="center" vertical="center"/>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0" fillId="0" borderId="0" xfId="0" applyNumberForma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2</xdr:row>
      <xdr:rowOff>104775</xdr:rowOff>
    </xdr:from>
    <xdr:to>
      <xdr:col>17</xdr:col>
      <xdr:colOff>360990</xdr:colOff>
      <xdr:row>9</xdr:row>
      <xdr:rowOff>57006</xdr:rowOff>
    </xdr:to>
    <xdr:pic>
      <xdr:nvPicPr>
        <xdr:cNvPr id="2" name="图片 1"/>
        <xdr:cNvPicPr>
          <a:picLocks noChangeAspect="1"/>
        </xdr:cNvPicPr>
      </xdr:nvPicPr>
      <xdr:blipFill>
        <a:blip xmlns:r="http://schemas.openxmlformats.org/officeDocument/2006/relationships" r:embed="rId1"/>
        <a:stretch>
          <a:fillRect/>
        </a:stretch>
      </xdr:blipFill>
      <xdr:spPr>
        <a:xfrm>
          <a:off x="4333875" y="447675"/>
          <a:ext cx="7685715" cy="1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北京市通州区运河西岸Ⅷ-11地块出让国有建设用地使用权及在建建筑物房地产抵押价值预评估</v>
      </c>
    </row>
    <row r="3" spans="1:2" s="1591" customFormat="1">
      <c r="A3" s="1589" t="s">
        <v>1221</v>
      </c>
      <c r="B3" s="1590" t="str">
        <f>'预评函-封皮'!B40</f>
        <v>鹏瑞利美融加五（北京）置业有限公司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受贵公司委托，我公司对北京市通州区运河西岸Ⅷ-11地块出让国有建设用地使用权及在建建筑物房地产抵押价值进行了预评估。</v>
      </c>
    </row>
    <row r="7" spans="1:2" s="1591" customFormat="1">
      <c r="A7" s="1589" t="s">
        <v>1264</v>
      </c>
      <c r="B7" s="1590" t="str">
        <f>'预评函-1'!A7</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2018年7月13日（评估专业人员实地查勘之日）</v>
      </c>
    </row>
    <row r="13" spans="1:2" s="1591" customFormat="1">
      <c r="A13" s="1589" t="s">
        <v>1227</v>
      </c>
      <c r="B13" s="1590" t="str">
        <f>'预评函-1'!A18</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114782</v>
      </c>
    </row>
    <row r="21" spans="1:2" s="1591" customFormat="1">
      <c r="A21" s="1589" t="s">
        <v>1235</v>
      </c>
      <c r="B21" s="1590">
        <f ca="1">'预评函-2'!D7</f>
        <v>11969</v>
      </c>
    </row>
    <row r="22" spans="1:2" s="1591" customFormat="1">
      <c r="A22" s="1589" t="s">
        <v>1236</v>
      </c>
      <c r="B22" s="1590" t="str">
        <f ca="1">'预评函-2'!D6</f>
        <v>壹拾壹亿肆仟柒佰捌拾贰万元整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114782</v>
      </c>
    </row>
    <row r="31" spans="1:2" s="1591" customFormat="1">
      <c r="A31" s="1589" t="s">
        <v>1274</v>
      </c>
      <c r="B31" s="1590">
        <f ca="1">'预评函-2'!D15</f>
        <v>11969</v>
      </c>
    </row>
    <row r="32" spans="1:2" s="1591" customFormat="1">
      <c r="A32" s="1589" t="s">
        <v>1241</v>
      </c>
      <c r="B32" s="1590" t="str">
        <f ca="1">'预评函-2'!D14</f>
        <v>壹拾壹亿肆仟柒佰捌拾贰万元整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北京市通州区运河西岸Ⅷ-11地块出让国有建设用地使用权及在建建筑物房地产</v>
      </c>
    </row>
    <row r="42" spans="1:2" s="1591" customFormat="1">
      <c r="A42" s="1589" t="s">
        <v>1288</v>
      </c>
      <c r="B42" s="1590" t="str">
        <f>'预评函-3'!B2</f>
        <v>建筑面积</v>
      </c>
    </row>
    <row r="43" spans="1:2" s="1591" customFormat="1">
      <c r="A43" s="1589" t="s">
        <v>1289</v>
      </c>
      <c r="B43" s="1590">
        <f>'预评函-3'!B4</f>
        <v>95896.06</v>
      </c>
    </row>
    <row r="44" spans="1:2" s="1591" customFormat="1">
      <c r="A44" s="1589" t="s">
        <v>1273</v>
      </c>
      <c r="B44" s="1590" t="str">
        <f>'预评函-3'!C2</f>
        <v>(分摊)土地面积</v>
      </c>
    </row>
    <row r="45" spans="1:2" s="1591" customFormat="1">
      <c r="A45" s="1589" t="s">
        <v>1245</v>
      </c>
      <c r="B45" s="1590">
        <f>'预评函-3'!C4</f>
        <v>15644.81</v>
      </c>
    </row>
    <row r="46" spans="1:2" s="1591" customFormat="1">
      <c r="A46" s="1589" t="s">
        <v>1271</v>
      </c>
      <c r="B46" s="1590" t="str">
        <f>'预评函-3'!D2</f>
        <v>出让国有建设用地使用权价值</v>
      </c>
    </row>
    <row r="47" spans="1:2" s="1591" customFormat="1">
      <c r="A47" s="1589" t="s">
        <v>1246</v>
      </c>
      <c r="B47" s="1590">
        <f ca="1">'预评函-3'!D4</f>
        <v>102271</v>
      </c>
    </row>
    <row r="48" spans="1:2" s="1591" customFormat="1">
      <c r="A48" s="1589" t="s">
        <v>1247</v>
      </c>
      <c r="B48" s="1590">
        <f ca="1">'预评函-3'!E4</f>
        <v>10664</v>
      </c>
    </row>
    <row r="49" spans="1:2" s="1591" customFormat="1">
      <c r="A49" s="1589" t="s">
        <v>1248</v>
      </c>
      <c r="B49" s="1590" t="str">
        <f ca="1">'预评函-3'!D5</f>
        <v>壹拾亿贰仟贰佰柒拾壹万元整</v>
      </c>
    </row>
    <row r="50" spans="1:2" s="1591" customFormat="1">
      <c r="A50" s="1589" t="s">
        <v>1272</v>
      </c>
      <c r="B50" s="1590" t="str">
        <f>'预评函-3'!F2</f>
        <v>在建建筑物价值</v>
      </c>
    </row>
    <row r="51" spans="1:2" s="1591" customFormat="1">
      <c r="A51" s="1589" t="s">
        <v>1249</v>
      </c>
      <c r="B51" s="1590">
        <f ca="1">'预评函-3'!F4</f>
        <v>12511</v>
      </c>
    </row>
    <row r="52" spans="1:2" s="1591" customFormat="1">
      <c r="A52" s="1589" t="s">
        <v>1250</v>
      </c>
      <c r="B52" s="1590">
        <f ca="1">'预评函-3'!G4</f>
        <v>1305</v>
      </c>
    </row>
    <row r="53" spans="1:2" s="1591" customFormat="1">
      <c r="A53" s="1589" t="s">
        <v>1278</v>
      </c>
      <c r="B53" s="1590" t="str">
        <f ca="1">'预评函-3'!F5</f>
        <v>壹亿贰仟伍佰壹拾壹万元整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3067</v>
      </c>
      <c r="C17" s="2013"/>
    </row>
    <row r="18" spans="1:3">
      <c r="A18" s="2012" t="s">
        <v>1767</v>
      </c>
      <c r="B18" s="2012" t="s">
        <v>3069</v>
      </c>
      <c r="C18" s="2013"/>
    </row>
    <row r="19" spans="1:3">
      <c r="A19" s="2012" t="s">
        <v>1768</v>
      </c>
      <c r="B19" s="2012" t="s">
        <v>3071</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0"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0" t="s">
        <v>864</v>
      </c>
      <c r="C54" s="2017" t="s">
        <v>1281</v>
      </c>
    </row>
    <row r="55" spans="1:4">
      <c r="A55" s="3020"/>
      <c r="B55" s="2020" t="s">
        <v>865</v>
      </c>
      <c r="C55" s="2017" t="s">
        <v>1282</v>
      </c>
    </row>
    <row r="56" spans="1:4">
      <c r="A56" s="3020"/>
      <c r="B56" s="2020" t="s">
        <v>866</v>
      </c>
      <c r="C56" s="2017" t="s">
        <v>1286</v>
      </c>
    </row>
    <row r="57" spans="1:4">
      <c r="A57" s="3020"/>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2" sqref="G3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21"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022"/>
      <c r="D1" s="3022"/>
      <c r="E1" s="3022"/>
      <c r="F1" s="3022"/>
      <c r="G1" s="3022"/>
      <c r="H1" s="3022"/>
      <c r="I1" s="302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2033" t="s">
        <v>1778</v>
      </c>
      <c r="B3" s="2034">
        <v>43294</v>
      </c>
      <c r="C3" s="2035" t="s">
        <v>1779</v>
      </c>
      <c r="D3" s="2034">
        <v>43294</v>
      </c>
      <c r="E3" s="2024"/>
      <c r="F3" s="2024"/>
      <c r="G3" s="2024"/>
      <c r="H3" s="2024"/>
      <c r="I3" s="2024"/>
      <c r="J3" s="2024"/>
      <c r="K3" s="2025"/>
      <c r="L3" s="2026"/>
      <c r="M3" s="2026"/>
      <c r="N3" s="2027"/>
      <c r="O3" s="2028"/>
      <c r="P3" s="2027"/>
      <c r="Q3" s="2027"/>
      <c r="R3" s="2027"/>
      <c r="S3" s="2029"/>
    </row>
    <row r="4" spans="1:19" ht="18" customHeight="1" thickBot="1">
      <c r="A4" s="2036" t="s">
        <v>1780</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949" t="s">
        <v>3150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3047</v>
      </c>
      <c r="C8" s="2053"/>
      <c r="D8" s="3024" t="s">
        <v>1785</v>
      </c>
      <c r="E8" s="2054" t="s">
        <v>3048</v>
      </c>
      <c r="F8" s="2055"/>
      <c r="G8" s="2024"/>
      <c r="H8" s="2024"/>
      <c r="I8" s="2024"/>
      <c r="J8" s="2040"/>
      <c r="K8" s="2041"/>
      <c r="L8" s="2026"/>
      <c r="M8" s="2026"/>
      <c r="N8" s="2027"/>
      <c r="O8" s="2028"/>
      <c r="P8" s="2027"/>
      <c r="Q8" s="2027"/>
      <c r="R8" s="2027"/>
    </row>
    <row r="9" spans="1:19" ht="18" customHeight="1" thickBot="1">
      <c r="A9" s="2038" t="s">
        <v>1786</v>
      </c>
      <c r="B9" s="2056" t="s">
        <v>3048</v>
      </c>
      <c r="C9" s="2057"/>
      <c r="D9" s="3025"/>
      <c r="E9" s="2056"/>
      <c r="F9" s="2058"/>
      <c r="G9" s="2059"/>
      <c r="H9" s="2059"/>
      <c r="I9" s="2059"/>
      <c r="J9" s="2040"/>
      <c r="K9" s="2051"/>
      <c r="L9" s="2026"/>
      <c r="M9" s="2026"/>
      <c r="N9" s="2027"/>
      <c r="O9" s="2028"/>
      <c r="P9" s="2027"/>
      <c r="Q9" s="2027"/>
      <c r="R9" s="2027"/>
    </row>
    <row r="10" spans="1:19" ht="18" customHeight="1" thickTop="1">
      <c r="A10" s="2060" t="s">
        <v>1787</v>
      </c>
      <c r="B10" s="2061" t="s">
        <v>3049</v>
      </c>
      <c r="C10" s="2062"/>
      <c r="D10" s="2044"/>
      <c r="E10" s="2063" t="s">
        <v>1788</v>
      </c>
      <c r="F10" s="2064" t="s">
        <v>3151</v>
      </c>
      <c r="G10" s="2065"/>
      <c r="H10" s="2066"/>
      <c r="I10" s="2044"/>
      <c r="J10" s="2040"/>
      <c r="K10" s="2051"/>
      <c r="L10" s="2026"/>
      <c r="M10" s="2026"/>
      <c r="N10" s="2027"/>
      <c r="O10" s="2028"/>
      <c r="P10" s="2027"/>
      <c r="Q10" s="2027"/>
      <c r="R10" s="2027"/>
    </row>
    <row r="11" spans="1:19" ht="18" customHeight="1">
      <c r="A11" s="2067" t="s">
        <v>1789</v>
      </c>
      <c r="B11" s="2068" t="s">
        <v>3050</v>
      </c>
      <c r="C11" s="2950" t="s">
        <v>3150</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3051</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c r="E13" s="2076">
        <v>56013</v>
      </c>
      <c r="F13" s="2076">
        <v>59665</v>
      </c>
      <c r="G13" s="2076">
        <v>59665</v>
      </c>
      <c r="H13" s="2076"/>
      <c r="I13" s="1047"/>
      <c r="J13" s="2040"/>
      <c r="K13" s="2051"/>
      <c r="L13" s="2026"/>
      <c r="M13" s="2026"/>
      <c r="N13" s="2027"/>
      <c r="O13" s="2028"/>
      <c r="P13" s="2027"/>
      <c r="Q13" s="2027"/>
      <c r="R13" s="2027"/>
    </row>
    <row r="14" spans="1:19" ht="18" customHeight="1">
      <c r="A14" s="2073"/>
      <c r="B14" s="2074"/>
      <c r="C14" s="2075" t="s">
        <v>1799</v>
      </c>
      <c r="D14" s="1050"/>
      <c r="E14" s="1050">
        <v>40</v>
      </c>
      <c r="F14" s="1050">
        <v>50</v>
      </c>
      <c r="G14" s="1050">
        <v>50</v>
      </c>
      <c r="H14" s="1050"/>
      <c r="I14" s="1050"/>
      <c r="J14" s="2040"/>
      <c r="K14" s="2077"/>
      <c r="L14" s="2026"/>
      <c r="M14" s="2026"/>
      <c r="N14" s="2027"/>
      <c r="O14" s="2028"/>
      <c r="P14" s="2027"/>
      <c r="Q14" s="2027"/>
      <c r="R14" s="2027"/>
    </row>
    <row r="15" spans="1:19" ht="18" customHeight="1">
      <c r="A15" s="2060"/>
      <c r="B15" s="2078"/>
      <c r="C15" s="2075" t="s">
        <v>1800</v>
      </c>
      <c r="D15" s="1049" t="str">
        <f>IF(B12="出让",IF(D13="","",ROUNDDOWN(MIN((D13-$D$3)/365,D14),2)),D14)</f>
        <v/>
      </c>
      <c r="E15" s="1049">
        <f>IF(B12="出让",IF(E13="","",ROUNDDOWN(MIN((E13-$D$3)/365,E14),2)),E14)</f>
        <v>34.840000000000003</v>
      </c>
      <c r="F15" s="1049">
        <f>IF(B12="出让",IF(F13="","",ROUNDDOWN(MIN((F13-$D$3)/365,F14),2)),F14)</f>
        <v>44.85</v>
      </c>
      <c r="G15" s="1049">
        <f>IF(B12="出让",IF(G13="","",ROUNDDOWN(MIN((G13-$D$3)/365,G14),2)),G14)</f>
        <v>44.85</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31"/>
      <c r="C16" s="3032"/>
      <c r="D16" s="3033"/>
      <c r="E16" s="2082" t="s">
        <v>1802</v>
      </c>
      <c r="F16" s="3034"/>
      <c r="G16" s="3035"/>
      <c r="H16" s="3035"/>
      <c r="I16" s="3036"/>
      <c r="J16" s="2027"/>
      <c r="K16" s="2079"/>
      <c r="L16" s="2080"/>
      <c r="M16" s="2080"/>
      <c r="N16" s="2081"/>
      <c r="O16" s="2080"/>
      <c r="P16" s="2081"/>
      <c r="Q16" s="2027"/>
      <c r="R16" s="2027"/>
    </row>
    <row r="17" spans="1:22" ht="18" customHeight="1">
      <c r="A17" s="2083" t="s">
        <v>1803</v>
      </c>
      <c r="B17" s="2033" t="s">
        <v>1804</v>
      </c>
      <c r="C17" s="1054">
        <f>'数据-汇总表'!E3</f>
        <v>95896.06</v>
      </c>
      <c r="D17" s="2084" t="s">
        <v>1805</v>
      </c>
      <c r="E17" s="3037" t="s">
        <v>1806</v>
      </c>
      <c r="F17" s="3038"/>
      <c r="G17" s="3038"/>
      <c r="H17" s="3038"/>
      <c r="I17" s="3039"/>
      <c r="J17" s="2027"/>
      <c r="K17" s="2085"/>
      <c r="L17" s="2080"/>
      <c r="M17" s="2080"/>
      <c r="N17" s="2081"/>
      <c r="O17" s="2080"/>
      <c r="P17" s="2081"/>
      <c r="Q17" s="2027"/>
      <c r="R17" s="2027"/>
      <c r="S17" s="2027"/>
      <c r="T17" s="2027"/>
      <c r="U17" s="2027"/>
      <c r="V17" s="2027"/>
    </row>
    <row r="18" spans="1:22" ht="36" customHeight="1" thickBot="1">
      <c r="A18" s="2086" t="s">
        <v>1807</v>
      </c>
      <c r="B18" s="2036" t="s">
        <v>1808</v>
      </c>
      <c r="C18" s="1443">
        <f>'数据-汇总表'!D3</f>
        <v>15644.81</v>
      </c>
      <c r="D18" s="2087" t="s">
        <v>1805</v>
      </c>
      <c r="E18" s="3040" t="s">
        <v>1809</v>
      </c>
      <c r="F18" s="3041"/>
      <c r="G18" s="3041"/>
      <c r="H18" s="3041"/>
      <c r="I18" s="3042"/>
      <c r="J18" s="2027"/>
      <c r="K18" s="2085"/>
      <c r="L18" s="2080"/>
      <c r="M18" s="2080"/>
      <c r="N18" s="2081"/>
      <c r="O18" s="2080"/>
      <c r="P18" s="2081"/>
      <c r="Q18" s="2027"/>
      <c r="R18" s="2027"/>
      <c r="S18" s="2027"/>
      <c r="T18" s="2027"/>
      <c r="U18" s="2027"/>
      <c r="V18" s="2027"/>
    </row>
    <row r="19" spans="1:22" ht="37.5" customHeight="1" thickTop="1" thickBot="1">
      <c r="A19" s="371" t="s">
        <v>1810</v>
      </c>
      <c r="B19" s="350" t="s">
        <v>1811</v>
      </c>
      <c r="C19" s="2088"/>
      <c r="D19" s="2089" t="s">
        <v>1812</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1813</v>
      </c>
      <c r="B20" s="3027" t="s">
        <v>1814</v>
      </c>
      <c r="C20" s="3028"/>
      <c r="D20" s="3029" t="s">
        <v>1815</v>
      </c>
      <c r="E20" s="3030"/>
      <c r="F20" s="2094" t="s">
        <v>1816</v>
      </c>
      <c r="G20" s="2040"/>
      <c r="H20" s="2040"/>
      <c r="I20" s="2040"/>
      <c r="J20" s="2040"/>
      <c r="K20" s="3026"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1818</v>
      </c>
      <c r="C21" s="2096" t="s">
        <v>1819</v>
      </c>
      <c r="D21" s="2097" t="s">
        <v>1820</v>
      </c>
      <c r="E21" s="2098" t="s">
        <v>1819</v>
      </c>
      <c r="F21" s="2099"/>
      <c r="G21" s="2040"/>
      <c r="H21" s="2040"/>
      <c r="I21" s="2040"/>
      <c r="J21" s="2040"/>
      <c r="K21" s="3026"/>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1821</v>
      </c>
      <c r="C22" s="2096" t="s">
        <v>1822</v>
      </c>
      <c r="D22" s="2024"/>
      <c r="E22" s="2024"/>
      <c r="F22" s="2101"/>
      <c r="G22" s="2040"/>
      <c r="H22" s="2040"/>
      <c r="I22" s="2040"/>
      <c r="J22" s="2040"/>
      <c r="K22" s="3026"/>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1823</v>
      </c>
      <c r="B23" s="181" t="s">
        <v>1824</v>
      </c>
      <c r="C23" s="2103"/>
      <c r="D23" s="2104" t="s">
        <v>1824</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1" t="s">
        <v>1825</v>
      </c>
      <c r="C24" s="2108"/>
      <c r="D24" s="2102" t="s">
        <v>1825</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1" t="s">
        <v>1826</v>
      </c>
      <c r="C25" s="2108"/>
      <c r="D25" s="2102" t="s">
        <v>1826</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1827</v>
      </c>
      <c r="C26" s="2112"/>
      <c r="D26" s="2113" t="s">
        <v>1828</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44" t="s">
        <v>1829</v>
      </c>
      <c r="B27" s="2060" t="s">
        <v>1830</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44"/>
      <c r="B28" s="2033" t="s">
        <v>1831</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44"/>
      <c r="B29" s="2033" t="s">
        <v>1832</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45"/>
      <c r="B30" s="2033" t="s">
        <v>1833</v>
      </c>
      <c r="C30" s="3046"/>
      <c r="D30" s="3047"/>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48" t="s">
        <v>1834</v>
      </c>
      <c r="B31" s="2123"/>
      <c r="C31" s="2124" t="str">
        <f>IF(B31="现房","成新及维护状况正常否",IF(B31="在建","工程状态是否正常",IF(B31="土地","是否闲置","-")))</f>
        <v>-</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49"/>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49"/>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1835</v>
      </c>
      <c r="B34" s="2130"/>
      <c r="C34" s="2130"/>
      <c r="D34" s="2130"/>
      <c r="E34" s="2130"/>
      <c r="F34" s="2130"/>
      <c r="G34" s="2130"/>
      <c r="H34" s="2130"/>
      <c r="I34" s="2040"/>
      <c r="J34" s="2040"/>
      <c r="K34" s="1793">
        <f>COUNTIF(B34:H34,"——")</f>
        <v>0</v>
      </c>
      <c r="L34" s="2071" t="s">
        <v>1836</v>
      </c>
      <c r="M34" s="2071" t="s">
        <v>1837</v>
      </c>
      <c r="N34" s="2071" t="s">
        <v>1838</v>
      </c>
      <c r="O34" s="2071" t="s">
        <v>1839</v>
      </c>
      <c r="P34" s="2071" t="s">
        <v>1840</v>
      </c>
      <c r="Q34" s="2071" t="s">
        <v>1841</v>
      </c>
      <c r="R34" s="2071" t="s">
        <v>1842</v>
      </c>
      <c r="S34" s="3043" t="s">
        <v>1843</v>
      </c>
      <c r="T34" s="2131" t="str">
        <f>NUMBERSTRING(7-K34,1)&amp;"通"</f>
        <v>七通</v>
      </c>
      <c r="U34" s="2027"/>
      <c r="V34" s="2027"/>
    </row>
    <row r="35" spans="1:22" ht="18" customHeight="1">
      <c r="A35" s="2132"/>
      <c r="B35" s="3050" t="s">
        <v>1844</v>
      </c>
      <c r="C35" s="3050"/>
      <c r="D35" s="3050"/>
      <c r="E35" s="3050"/>
      <c r="F35" s="2133">
        <f>C10</f>
        <v>0</v>
      </c>
      <c r="G35" s="2040"/>
      <c r="H35" s="2040"/>
      <c r="I35" s="2040"/>
      <c r="J35" s="2040"/>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3"/>
      <c r="T35" s="48" t="str">
        <f>IF(T34="一通",L35,IF(T34="二通",M35,IF(T34="三通",N35,IF(T34="四通",O35,IF(T34="五通",P35,IF(T34="六通",Q35,R35))))))</f>
        <v>、、、、、、</v>
      </c>
      <c r="U35" s="2027"/>
      <c r="V35" s="2027"/>
    </row>
    <row r="36" spans="1:22" ht="18" customHeight="1">
      <c r="A36" s="2134"/>
      <c r="B36" s="2133" t="s">
        <v>1845</v>
      </c>
      <c r="C36" s="2133" t="s">
        <v>1846</v>
      </c>
      <c r="D36" s="2133" t="s">
        <v>1847</v>
      </c>
      <c r="E36" s="2133" t="s">
        <v>1848</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1849</v>
      </c>
      <c r="B37" s="2137" t="s">
        <v>56</v>
      </c>
      <c r="C37" s="2137" t="s">
        <v>56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1850</v>
      </c>
      <c r="B38" s="2139" t="s">
        <v>3052</v>
      </c>
      <c r="C38" s="2139" t="s">
        <v>3052</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4"/>
      <c r="L40" s="2080"/>
      <c r="M40" s="2080"/>
      <c r="N40" s="2081"/>
      <c r="O40" s="2080"/>
      <c r="P40" s="2027"/>
      <c r="Q40" s="2027"/>
      <c r="R40" s="2027"/>
      <c r="S40" s="2027"/>
      <c r="T40" s="2027"/>
      <c r="U40" s="2027"/>
      <c r="V40" s="2027"/>
    </row>
    <row r="41" spans="1:22" ht="18" customHeight="1">
      <c r="A41" s="8" t="s">
        <v>1852</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1853</v>
      </c>
      <c r="B42" s="1793" t="s">
        <v>1854</v>
      </c>
      <c r="C42" s="1793" t="s">
        <v>1855</v>
      </c>
      <c r="D42" s="1793" t="s">
        <v>1856</v>
      </c>
      <c r="E42" s="1793" t="s">
        <v>1857</v>
      </c>
      <c r="F42" s="1793" t="s">
        <v>1858</v>
      </c>
      <c r="G42" s="1793" t="s">
        <v>1859</v>
      </c>
      <c r="H42" s="1793" t="s">
        <v>1860</v>
      </c>
      <c r="I42" s="1793" t="s">
        <v>1861</v>
      </c>
      <c r="J42" s="2149" t="s">
        <v>1862</v>
      </c>
      <c r="K42" s="2072" t="s">
        <v>1863</v>
      </c>
      <c r="L42" s="2072" t="s">
        <v>1864</v>
      </c>
      <c r="M42" s="2072" t="s">
        <v>1865</v>
      </c>
      <c r="N42" s="1793" t="s">
        <v>1866</v>
      </c>
      <c r="O42" s="1793" t="s">
        <v>1867</v>
      </c>
      <c r="P42" s="1793" t="s">
        <v>1868</v>
      </c>
      <c r="Q42" s="2071" t="s">
        <v>1869</v>
      </c>
      <c r="R42" s="2071" t="s">
        <v>1870</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1876</v>
      </c>
      <c r="AZ2" s="1269"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16160</v>
      </c>
      <c r="B3" s="14">
        <f>IF(C3="否",G5-AT5,G5)</f>
        <v>99053.95</v>
      </c>
      <c r="C3" s="2165" t="s">
        <v>3053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1"/>
      <c r="C5" s="1801"/>
      <c r="D5" s="1804"/>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0"/>
      <c r="AV5" s="15" t="s">
        <v>1879</v>
      </c>
      <c r="AW5" s="1801"/>
      <c r="AX5" s="180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4" customFormat="1" ht="12.75">
      <c r="A6" s="15" t="s">
        <v>1880</v>
      </c>
      <c r="B6" s="2171"/>
      <c r="C6" s="2171"/>
      <c r="D6" s="217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3"/>
      <c r="AV6" s="15" t="s">
        <v>1880</v>
      </c>
      <c r="AW6" s="2171"/>
      <c r="AX6" s="217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1888</v>
      </c>
      <c r="AV7" s="23" t="s">
        <v>1889</v>
      </c>
      <c r="AW7" s="2163" t="s">
        <v>1890</v>
      </c>
      <c r="AX7" s="23" t="s">
        <v>1883</v>
      </c>
      <c r="AY7" s="1801"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16"/>
      <c r="K8" s="1816"/>
      <c r="L8" s="1816"/>
      <c r="M8" s="1816"/>
      <c r="N8" s="1816"/>
      <c r="O8" s="1816"/>
      <c r="P8" s="1816"/>
      <c r="Q8" s="1816"/>
      <c r="R8" s="1816"/>
      <c r="S8" s="1816"/>
      <c r="T8" s="1816"/>
      <c r="U8" s="1816"/>
      <c r="V8" s="2183"/>
      <c r="W8" s="1816"/>
      <c r="X8" s="1816"/>
      <c r="Y8" s="1816"/>
      <c r="Z8" s="1816"/>
      <c r="AA8" s="2183"/>
      <c r="AB8" s="2184"/>
      <c r="AC8" s="981" t="s">
        <v>1894</v>
      </c>
      <c r="AD8" s="2185"/>
      <c r="AE8" s="2177"/>
      <c r="AF8" s="1816"/>
      <c r="AG8" s="1816"/>
      <c r="AH8" s="1816"/>
      <c r="AI8" s="1816"/>
      <c r="AJ8" s="1816"/>
      <c r="AK8" s="1816"/>
      <c r="AL8" s="1816"/>
      <c r="AM8" s="1816"/>
      <c r="AN8" s="1816"/>
      <c r="AO8" s="1816"/>
      <c r="AP8" s="1816"/>
      <c r="AQ8" s="1816"/>
      <c r="AR8" s="1816"/>
      <c r="AS8" s="1816"/>
      <c r="AT8" s="1291" t="s">
        <v>1895</v>
      </c>
      <c r="AU8" s="2179" t="s">
        <v>1896</v>
      </c>
      <c r="AV8" s="1291"/>
      <c r="AW8" s="2162"/>
      <c r="AX8" s="1291"/>
      <c r="AY8" s="2163"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1899</v>
      </c>
      <c r="I9" s="2188" t="s">
        <v>3054</v>
      </c>
      <c r="J9" s="981"/>
      <c r="K9" s="2188" t="s">
        <v>3054</v>
      </c>
      <c r="L9" s="981"/>
      <c r="M9" s="2188" t="s">
        <v>3056</v>
      </c>
      <c r="N9" s="981"/>
      <c r="O9" s="2188" t="s">
        <v>3056</v>
      </c>
      <c r="P9" s="981"/>
      <c r="Q9" s="2188"/>
      <c r="R9" s="981"/>
      <c r="S9" s="2188"/>
      <c r="T9" s="981"/>
      <c r="U9" s="2188"/>
      <c r="V9" s="981"/>
      <c r="W9" s="2188"/>
      <c r="X9" s="2189"/>
      <c r="Y9" s="2188"/>
      <c r="Z9" s="981"/>
      <c r="AA9" s="2188"/>
      <c r="AB9" s="981"/>
      <c r="AC9" s="2180"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0"/>
      <c r="AT9" s="2179"/>
      <c r="AU9" s="2179" t="s">
        <v>1902</v>
      </c>
      <c r="AV9" s="1291"/>
      <c r="AW9" s="2162"/>
      <c r="AX9" s="1291"/>
      <c r="AY9" s="28"/>
      <c r="AZ9" s="28" t="s">
        <v>1892</v>
      </c>
      <c r="BA9" s="2191" t="s">
        <v>1903</v>
      </c>
      <c r="BB9" s="2192"/>
      <c r="BC9" s="1337"/>
      <c r="BD9" s="1337"/>
      <c r="BE9" s="1337"/>
      <c r="BF9" s="1337"/>
      <c r="BG9" s="1337"/>
      <c r="BH9" s="1337"/>
      <c r="BI9" s="1337"/>
      <c r="BJ9" s="1337"/>
      <c r="BK9" s="2193"/>
      <c r="BL9" s="15" t="s">
        <v>1904</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t="s">
        <v>1377</v>
      </c>
      <c r="L10" s="981"/>
      <c r="M10" s="2194" t="s">
        <v>1377</v>
      </c>
      <c r="N10" s="981"/>
      <c r="O10" s="2194" t="s">
        <v>3057</v>
      </c>
      <c r="P10" s="981"/>
      <c r="Q10" s="2194"/>
      <c r="R10" s="981"/>
      <c r="S10" s="2194"/>
      <c r="T10" s="981"/>
      <c r="U10" s="2194"/>
      <c r="V10" s="981"/>
      <c r="W10" s="2194"/>
      <c r="X10" s="981"/>
      <c r="Y10" s="2194"/>
      <c r="Z10" s="981"/>
      <c r="AA10" s="2194"/>
      <c r="AB10" s="981"/>
      <c r="AC10" s="1291"/>
      <c r="AD10" s="15" t="s">
        <v>1905</v>
      </c>
      <c r="AE10" s="2195"/>
      <c r="AF10" s="15" t="s">
        <v>1905</v>
      </c>
      <c r="AG10" s="2195"/>
      <c r="AH10" s="15" t="s">
        <v>1906</v>
      </c>
      <c r="AI10" s="2195"/>
      <c r="AJ10" s="15" t="s">
        <v>1906</v>
      </c>
      <c r="AK10" s="2195"/>
      <c r="AL10" s="15" t="s">
        <v>1907</v>
      </c>
      <c r="AM10" s="1297"/>
      <c r="AN10" s="15" t="s">
        <v>1907</v>
      </c>
      <c r="AO10" s="1297"/>
      <c r="AP10" s="15" t="s">
        <v>1908</v>
      </c>
      <c r="AQ10" s="1297"/>
      <c r="AR10" s="15" t="s">
        <v>1908</v>
      </c>
      <c r="AS10" s="1297"/>
      <c r="AT10" s="2179"/>
      <c r="AU10" s="2179"/>
      <c r="AV10" s="1291"/>
      <c r="AW10" s="2162"/>
      <c r="AX10" s="1291"/>
      <c r="AY10" s="28"/>
      <c r="AZ10" s="28"/>
      <c r="BA10" s="2196" t="s">
        <v>1899</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3152</v>
      </c>
      <c r="J11" s="2200"/>
      <c r="K11" s="2199" t="s">
        <v>3055</v>
      </c>
      <c r="L11" s="2200"/>
      <c r="M11" s="2199" t="s">
        <v>3055</v>
      </c>
      <c r="N11" s="2200"/>
      <c r="O11" s="2199" t="s">
        <v>3058</v>
      </c>
      <c r="P11" s="2200"/>
      <c r="Q11" s="2199"/>
      <c r="R11" s="2200"/>
      <c r="S11" s="2199"/>
      <c r="T11" s="2200"/>
      <c r="U11" s="2199"/>
      <c r="V11" s="2200"/>
      <c r="W11" s="2199"/>
      <c r="X11" s="2200"/>
      <c r="Y11" s="2199"/>
      <c r="Z11" s="2200"/>
      <c r="AA11" s="2199"/>
      <c r="AB11" s="2200"/>
      <c r="AC11" s="1291"/>
      <c r="AD11" s="2201" t="s">
        <v>1909</v>
      </c>
      <c r="AE11" s="1817"/>
      <c r="AF11" s="2201" t="s">
        <v>1909</v>
      </c>
      <c r="AG11" s="1817"/>
      <c r="AH11" s="2201" t="s">
        <v>1910</v>
      </c>
      <c r="AI11" s="2202"/>
      <c r="AJ11" s="2201" t="s">
        <v>1910</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t="str">
        <f>K10</f>
        <v>商业</v>
      </c>
      <c r="BD11" s="2184" t="str">
        <f>M10</f>
        <v>商业</v>
      </c>
      <c r="BE11" s="2184" t="str">
        <f>O10</f>
        <v>车库—办公</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6"/>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公寓</v>
      </c>
      <c r="BC12" s="2209" t="str">
        <f>K11</f>
        <v>底商</v>
      </c>
      <c r="BD12" s="2209" t="str">
        <f>M11</f>
        <v>底商</v>
      </c>
      <c r="BE12" s="2184" t="str">
        <f>O11</f>
        <v>车库</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3053</v>
      </c>
      <c r="E13" s="16">
        <f>IF($C$3="是",ROUND($A$3*G13/$B$3,2),ROUND($A$3*(G13-AT13)/$B$3,2))</f>
        <v>16160</v>
      </c>
      <c r="F13" s="32"/>
      <c r="G13" s="33">
        <f>H13+AC13+AT13</f>
        <v>99053.95</v>
      </c>
      <c r="H13" s="20">
        <f>SUMIF(I$12:AB$12,"总值",I13:AB13)</f>
        <v>86430.56</v>
      </c>
      <c r="I13" s="2211">
        <v>28977.16</v>
      </c>
      <c r="J13" s="2211"/>
      <c r="K13" s="2211">
        <v>25665.52</v>
      </c>
      <c r="L13" s="2211"/>
      <c r="M13" s="2211">
        <v>13156.32</v>
      </c>
      <c r="N13" s="2211"/>
      <c r="O13" s="2211">
        <v>18631.560000000001</v>
      </c>
      <c r="P13" s="2211"/>
      <c r="Q13" s="2211"/>
      <c r="R13" s="2211"/>
      <c r="S13" s="2211"/>
      <c r="T13" s="2211"/>
      <c r="U13" s="2211"/>
      <c r="V13" s="2211"/>
      <c r="W13" s="2211"/>
      <c r="X13" s="2211"/>
      <c r="Y13" s="2211"/>
      <c r="Z13" s="2211"/>
      <c r="AA13" s="2211"/>
      <c r="AB13" s="2211"/>
      <c r="AC13" s="16">
        <f>SUMIF(AD$12:AS$12,"总值",AD13:AS13)</f>
        <v>9465.5</v>
      </c>
      <c r="AD13" s="2212"/>
      <c r="AE13" s="2212"/>
      <c r="AF13" s="2212"/>
      <c r="AG13" s="2212"/>
      <c r="AH13" s="2212"/>
      <c r="AI13" s="2212"/>
      <c r="AJ13" s="2212"/>
      <c r="AK13" s="2212"/>
      <c r="AL13" s="2212">
        <v>1966.19</v>
      </c>
      <c r="AM13" s="2212"/>
      <c r="AN13" s="2212">
        <v>7499.31</v>
      </c>
      <c r="AO13" s="2212"/>
      <c r="AP13" s="2212"/>
      <c r="AQ13" s="2212"/>
      <c r="AR13" s="2212"/>
      <c r="AS13" s="2212"/>
      <c r="AT13" s="2213">
        <v>3157.89</v>
      </c>
      <c r="AU13" s="2214"/>
      <c r="AV13" s="11">
        <f t="shared" ref="AV13:AX17" si="6">A13</f>
        <v>0</v>
      </c>
      <c r="AW13" s="11">
        <f t="shared" si="6"/>
        <v>0</v>
      </c>
      <c r="AX13" s="11">
        <f t="shared" si="6"/>
        <v>0</v>
      </c>
      <c r="AY13" s="1804">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C19" sqref="C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1"/>
      <c r="C1" s="1391"/>
      <c r="D1" s="1391"/>
      <c r="E1" s="1391"/>
      <c r="F1" s="1391"/>
      <c r="G1" s="1391"/>
      <c r="H1" s="1391"/>
      <c r="I1" s="1391"/>
      <c r="J1" s="1391"/>
      <c r="K1" s="1391"/>
      <c r="L1" s="1391"/>
      <c r="M1" s="1391"/>
      <c r="N1" s="1391"/>
      <c r="O1" s="1391"/>
      <c r="P1" s="1391"/>
    </row>
    <row r="2" spans="1:16" ht="15">
      <c r="A2" s="3062" t="s">
        <v>1939</v>
      </c>
      <c r="B2" s="3062"/>
      <c r="C2" s="3062"/>
      <c r="D2" s="967" t="s">
        <v>1915</v>
      </c>
      <c r="E2" s="2224" t="s">
        <v>1916</v>
      </c>
      <c r="F2" s="1391"/>
      <c r="G2" s="2225"/>
      <c r="H2" s="2226"/>
      <c r="I2" s="2227" t="s">
        <v>1940</v>
      </c>
      <c r="J2" s="1391"/>
      <c r="K2" s="1391"/>
      <c r="L2" s="1391"/>
      <c r="M2" s="1391"/>
      <c r="N2" s="1426"/>
      <c r="O2" s="1391"/>
      <c r="P2" s="1391"/>
    </row>
    <row r="3" spans="1:16" ht="15.75" thickBot="1">
      <c r="A3" s="3063" t="s">
        <v>1913</v>
      </c>
      <c r="B3" s="3063"/>
      <c r="C3" s="3063"/>
      <c r="D3" s="46">
        <f>'数据-基础表'!AY6</f>
        <v>15644.81</v>
      </c>
      <c r="E3" s="46">
        <f>'数据-基础表'!AZ5</f>
        <v>95896.06</v>
      </c>
      <c r="F3" s="1391"/>
      <c r="G3" s="1398"/>
      <c r="H3" s="1247" t="s">
        <v>1914</v>
      </c>
      <c r="I3" s="55">
        <f>ROUND('数据-基础表'!B3/'数据-基础表'!A3,2)</f>
        <v>6.13</v>
      </c>
      <c r="J3" s="1391"/>
      <c r="K3" s="1391"/>
      <c r="L3" s="1391"/>
      <c r="M3" s="1391"/>
      <c r="N3" s="1426"/>
      <c r="O3" s="1391"/>
      <c r="P3" s="1391"/>
    </row>
    <row r="4" spans="1:16" ht="15">
      <c r="A4" s="3064"/>
      <c r="B4" s="3065"/>
      <c r="C4" s="3066"/>
      <c r="D4" s="2228" t="s">
        <v>1915</v>
      </c>
      <c r="E4" s="2229" t="s">
        <v>1916</v>
      </c>
      <c r="F4" s="1391"/>
      <c r="G4" s="2230" t="s">
        <v>1941</v>
      </c>
      <c r="H4" s="1247" t="s">
        <v>1921</v>
      </c>
      <c r="I4" s="55">
        <f>ROUND(SUMIF('数据-基础表'!I9:AS9,"地上",'数据-基础表'!I5:AS5)/'数据-基础表'!A3,2)</f>
        <v>3.5</v>
      </c>
      <c r="J4" s="1391"/>
      <c r="K4" s="1391"/>
      <c r="L4" s="1391"/>
      <c r="M4" s="1391"/>
      <c r="N4" s="1426"/>
      <c r="O4" s="1391"/>
      <c r="P4" s="1391"/>
    </row>
    <row r="5" spans="1:16">
      <c r="A5" s="47" t="s">
        <v>1917</v>
      </c>
      <c r="B5" s="3067" t="s">
        <v>1918</v>
      </c>
      <c r="C5" s="3067"/>
      <c r="D5" s="48">
        <f>ROUND($D$3*E5/$E$3,2)</f>
        <v>0</v>
      </c>
      <c r="E5" s="49">
        <f>SUMIF('数据-基础表'!$11:$11,"住宅",'数据-基础表'!$5:$5)</f>
        <v>0</v>
      </c>
      <c r="F5" s="1391"/>
      <c r="G5" s="1398"/>
      <c r="H5" s="1247" t="s">
        <v>1914</v>
      </c>
      <c r="I5" s="55">
        <f>ROUND(E31/D31,2)</f>
        <v>6.13</v>
      </c>
      <c r="J5" s="1391"/>
      <c r="K5" s="1391"/>
      <c r="L5" s="1391"/>
      <c r="M5" s="1391"/>
      <c r="N5" s="1391"/>
      <c r="O5" s="1391"/>
      <c r="P5" s="1391"/>
    </row>
    <row r="6" spans="1:16" ht="15" thickBot="1">
      <c r="A6" s="2231"/>
      <c r="B6" s="3067" t="s">
        <v>1919</v>
      </c>
      <c r="C6" s="3067"/>
      <c r="D6" s="48">
        <f>ROUND($D$3*E6/$E$3,2)</f>
        <v>15644.81</v>
      </c>
      <c r="E6" s="49">
        <f>E3-E5</f>
        <v>95896.06</v>
      </c>
      <c r="F6" s="1391"/>
      <c r="G6" s="2232" t="s">
        <v>1920</v>
      </c>
      <c r="H6" s="1398" t="s">
        <v>1921</v>
      </c>
      <c r="I6" s="939">
        <f>ROUND(F31/D31,2)</f>
        <v>3.62</v>
      </c>
      <c r="J6" s="1391"/>
      <c r="K6" s="1391"/>
      <c r="L6" s="1391"/>
      <c r="M6" s="1391"/>
      <c r="N6" s="1391"/>
      <c r="O6" s="1391"/>
      <c r="P6" s="1391"/>
    </row>
    <row r="7" spans="1:16" ht="15">
      <c r="A7" s="3059"/>
      <c r="B7" s="3060"/>
      <c r="C7" s="3061"/>
      <c r="D7" s="2228" t="s">
        <v>1915</v>
      </c>
      <c r="E7" s="2233" t="s">
        <v>1922</v>
      </c>
      <c r="F7" s="1391"/>
      <c r="G7" s="2225" t="s">
        <v>1923</v>
      </c>
      <c r="H7" s="64"/>
      <c r="I7" s="418"/>
      <c r="J7" s="1391"/>
      <c r="K7" s="1391"/>
      <c r="L7" s="1391"/>
      <c r="M7" s="1391"/>
      <c r="N7" s="1391"/>
      <c r="O7" s="1391"/>
      <c r="P7" s="1391"/>
    </row>
    <row r="8" spans="1:16">
      <c r="A8" s="47" t="s">
        <v>1924</v>
      </c>
      <c r="B8" s="50" t="s">
        <v>1925</v>
      </c>
      <c r="C8" s="48" t="s">
        <v>1926</v>
      </c>
      <c r="D8" s="48">
        <f t="shared" ref="D8:D15" si="0">ROUND($D$3*E8/$E$3,2)</f>
        <v>8914.59</v>
      </c>
      <c r="E8" s="51">
        <f>SUMIF('数据-基础表'!BB10:BK10,"地上",'数据-基础表'!BB5:BK5)</f>
        <v>54642.68</v>
      </c>
      <c r="F8" s="1391"/>
      <c r="G8" s="2234"/>
      <c r="H8" s="2234"/>
      <c r="I8" s="1391"/>
      <c r="J8" s="1391"/>
      <c r="K8" s="1391"/>
      <c r="L8" s="1391"/>
      <c r="M8" s="1391"/>
      <c r="N8" s="1391"/>
      <c r="O8" s="1391"/>
      <c r="P8" s="1391"/>
    </row>
    <row r="9" spans="1:16">
      <c r="A9" s="2235"/>
      <c r="B9" s="2236"/>
      <c r="C9" s="48" t="s">
        <v>1927</v>
      </c>
      <c r="D9" s="48">
        <f t="shared" si="0"/>
        <v>0</v>
      </c>
      <c r="E9" s="52">
        <v>0</v>
      </c>
      <c r="F9" s="1391"/>
      <c r="G9" s="2234"/>
      <c r="H9" s="2234"/>
      <c r="I9" s="1391"/>
      <c r="J9" s="1391"/>
      <c r="K9" s="1391"/>
      <c r="L9" s="1391"/>
      <c r="M9" s="1391"/>
      <c r="N9" s="1391"/>
      <c r="O9" s="1391"/>
      <c r="P9" s="1391"/>
    </row>
    <row r="10" spans="1:16">
      <c r="A10" s="2235"/>
      <c r="B10" s="2236"/>
      <c r="C10" s="48" t="s">
        <v>1936</v>
      </c>
      <c r="D10" s="48">
        <f t="shared" si="0"/>
        <v>2146.37</v>
      </c>
      <c r="E10" s="51">
        <f>SUMPRODUCT(('数据-基础表'!BB10:BK10="地下")*('数据-基础表'!BB11:BK11="商业")*('数据-基础表'!BB5:BK5))</f>
        <v>13156.32</v>
      </c>
      <c r="F10" s="1391"/>
      <c r="G10" s="2234"/>
      <c r="H10" s="2234"/>
      <c r="I10" s="1391"/>
      <c r="J10" s="1391"/>
      <c r="K10" s="1391"/>
      <c r="L10" s="1391"/>
      <c r="M10" s="1391"/>
      <c r="N10" s="1391"/>
      <c r="O10" s="1391"/>
      <c r="P10" s="1391"/>
    </row>
    <row r="11" spans="1:16">
      <c r="A11" s="2235"/>
      <c r="B11" s="2236"/>
      <c r="C11" s="48" t="s">
        <v>1928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1930</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1937</v>
      </c>
      <c r="D15" s="48">
        <f t="shared" si="0"/>
        <v>3039.62</v>
      </c>
      <c r="E15" s="51">
        <f>SUMPRODUCT(('数据-基础表'!BB10:BK10="地下")*('数据-基础表'!BB11:BK11="车库—办公")*('数据-基础表'!BB5:BK5))</f>
        <v>18631.560000000001</v>
      </c>
      <c r="F15" s="1391"/>
      <c r="G15" s="2234"/>
      <c r="H15" s="2234"/>
      <c r="I15" s="1391"/>
      <c r="J15" s="1391"/>
      <c r="K15" s="1391"/>
      <c r="L15" s="1391"/>
      <c r="M15" s="1391"/>
      <c r="N15" s="1391"/>
      <c r="O15" s="1391"/>
      <c r="P15" s="1391"/>
    </row>
    <row r="16" spans="1:16" ht="15.75" thickBot="1">
      <c r="A16" s="2231"/>
      <c r="B16" s="2236"/>
      <c r="C16" s="50" t="s">
        <v>1931</v>
      </c>
      <c r="D16" s="50">
        <f>SUM(D8:D15)</f>
        <v>14100.579999999998</v>
      </c>
      <c r="E16" s="53">
        <f>SUM(E8:E15)</f>
        <v>86430.56</v>
      </c>
      <c r="F16" s="1391"/>
      <c r="G16" s="2234"/>
      <c r="H16" s="2237" t="s">
        <v>1943</v>
      </c>
      <c r="I16" s="2238"/>
      <c r="J16" s="1391"/>
      <c r="K16" s="3056" t="s">
        <v>1943</v>
      </c>
      <c r="L16" s="3057"/>
      <c r="M16" s="3057"/>
      <c r="N16" s="3057"/>
      <c r="O16" s="3057"/>
      <c r="P16" s="3058"/>
    </row>
    <row r="17" spans="1:19" ht="15">
      <c r="A17" s="2239" t="s">
        <v>1944</v>
      </c>
      <c r="B17" s="2240" t="s">
        <v>1945</v>
      </c>
      <c r="C17" s="2241" t="s">
        <v>1946</v>
      </c>
      <c r="D17" s="2242" t="s">
        <v>1934</v>
      </c>
      <c r="E17" s="2243" t="s">
        <v>1935</v>
      </c>
      <c r="F17" s="2244"/>
      <c r="G17" s="2245"/>
      <c r="H17" s="2246" t="s">
        <v>1947</v>
      </c>
      <c r="I17" s="2247" t="s">
        <v>1932</v>
      </c>
      <c r="J17" s="1391"/>
      <c r="K17" s="3053" t="s">
        <v>1948</v>
      </c>
      <c r="L17" s="3054"/>
      <c r="M17" s="3055"/>
      <c r="N17" s="3053" t="s">
        <v>1949</v>
      </c>
      <c r="O17" s="3054"/>
      <c r="P17" s="3055"/>
      <c r="R17" s="2225" t="s">
        <v>1950</v>
      </c>
      <c r="S17" s="64"/>
    </row>
    <row r="18" spans="1:19" ht="15">
      <c r="A18" s="2235"/>
      <c r="B18" s="2248"/>
      <c r="C18" s="2249"/>
      <c r="D18" s="2250"/>
      <c r="E18" s="2251" t="s">
        <v>1951</v>
      </c>
      <c r="F18" s="2252" t="s">
        <v>1952</v>
      </c>
      <c r="G18" s="2253" t="s">
        <v>1953</v>
      </c>
      <c r="H18" s="1261" t="s">
        <v>1954</v>
      </c>
      <c r="I18" s="2254" t="s">
        <v>1955</v>
      </c>
      <c r="J18" s="1391"/>
      <c r="K18" s="1261" t="s">
        <v>1956</v>
      </c>
      <c r="L18" s="2255" t="s">
        <v>1957</v>
      </c>
      <c r="M18" s="1046" t="s">
        <v>1958</v>
      </c>
      <c r="N18" s="1261" t="s">
        <v>1956</v>
      </c>
      <c r="O18" s="2255" t="s">
        <v>1957</v>
      </c>
      <c r="P18" s="1046" t="s">
        <v>1958</v>
      </c>
      <c r="R18" s="1247" t="s">
        <v>1959</v>
      </c>
      <c r="S18" s="1247" t="s">
        <v>1960</v>
      </c>
    </row>
    <row r="19" spans="1:19">
      <c r="A19" s="2256"/>
      <c r="B19" s="50" t="s">
        <v>1933</v>
      </c>
      <c r="C19" s="2951" t="s">
        <v>3153</v>
      </c>
      <c r="D19" s="48">
        <f>ROUND($D$3*E19/$E$3,2)</f>
        <v>4727.43</v>
      </c>
      <c r="E19" s="56">
        <f t="shared" ref="E19:E26" si="1">SUM(F19:G19)</f>
        <v>28977.16</v>
      </c>
      <c r="F19" s="57">
        <f>'数据-基础表'!I13</f>
        <v>28977.16</v>
      </c>
      <c r="G19" s="58"/>
      <c r="H19" s="721">
        <f>ROUND($D$3*I19/$E$3,2)</f>
        <v>517.73</v>
      </c>
      <c r="I19" s="51">
        <f t="shared" ref="I19:I26" si="2">IF($I$17="自定义",P19,M19)</f>
        <v>3173.45</v>
      </c>
      <c r="J19" s="1391"/>
      <c r="K19" s="1390">
        <f t="shared" ref="K19:K26" si="3">ROUND(E$28*E19/E$27,2)</f>
        <v>3173.45</v>
      </c>
      <c r="L19" s="1247">
        <f t="shared" ref="L19:L26" si="4">ROUND(IF(COUNTIF(C19,"*住宅*")&gt;0,E$29*E19/E$32,0),2)</f>
        <v>0</v>
      </c>
      <c r="M19" s="1402">
        <f>K19+L19</f>
        <v>3173.45</v>
      </c>
      <c r="N19" s="2257"/>
      <c r="O19" s="2258"/>
      <c r="P19" s="1402">
        <f>N19+O19</f>
        <v>0</v>
      </c>
      <c r="R19" s="1247">
        <f t="shared" ref="R19:S26" si="5">D19+H19</f>
        <v>5245.16</v>
      </c>
      <c r="S19" s="1248">
        <f t="shared" si="5"/>
        <v>32150.61</v>
      </c>
    </row>
    <row r="20" spans="1:19">
      <c r="A20" s="2259"/>
      <c r="B20" s="50" t="s">
        <v>1961</v>
      </c>
      <c r="C20" s="2951" t="s">
        <v>3059</v>
      </c>
      <c r="D20" s="48">
        <f t="shared" ref="D20:D26" si="6">ROUND($D$3*E20/$E$3,2)</f>
        <v>6333.53</v>
      </c>
      <c r="E20" s="56">
        <f t="shared" si="1"/>
        <v>38821.839999999997</v>
      </c>
      <c r="F20" s="57">
        <f>'数据-基础表'!K13</f>
        <v>25665.52</v>
      </c>
      <c r="G20" s="58">
        <f>'数据-基础表'!M13</f>
        <v>13156.32</v>
      </c>
      <c r="H20" s="721">
        <f t="shared" ref="H20:H26" si="7">ROUND($D$3*I20/$E$3,2)</f>
        <v>693.62</v>
      </c>
      <c r="I20" s="51">
        <f t="shared" si="2"/>
        <v>4251.6000000000004</v>
      </c>
      <c r="J20" s="1391"/>
      <c r="K20" s="1390">
        <f t="shared" si="3"/>
        <v>4251.6000000000004</v>
      </c>
      <c r="L20" s="1247">
        <f t="shared" si="4"/>
        <v>0</v>
      </c>
      <c r="M20" s="1402">
        <f t="shared" ref="M20:M26" si="8">K20+L20</f>
        <v>4251.6000000000004</v>
      </c>
      <c r="N20" s="2257"/>
      <c r="O20" s="2258"/>
      <c r="P20" s="1402">
        <f t="shared" ref="P20:P26" si="9">N20+O20</f>
        <v>0</v>
      </c>
      <c r="R20" s="1247">
        <f t="shared" si="5"/>
        <v>7027.15</v>
      </c>
      <c r="S20" s="1248">
        <f t="shared" si="5"/>
        <v>43073.439999999995</v>
      </c>
    </row>
    <row r="21" spans="1:19">
      <c r="A21" s="2259"/>
      <c r="B21" s="50" t="s">
        <v>1961</v>
      </c>
      <c r="C21" s="2951" t="s">
        <v>3060</v>
      </c>
      <c r="D21" s="48">
        <f t="shared" si="6"/>
        <v>3039.62</v>
      </c>
      <c r="E21" s="56">
        <f t="shared" si="1"/>
        <v>18631.560000000001</v>
      </c>
      <c r="F21" s="57"/>
      <c r="G21" s="58">
        <f>'数据-基础表'!O13</f>
        <v>18631.560000000001</v>
      </c>
      <c r="H21" s="721">
        <f t="shared" si="7"/>
        <v>332.89</v>
      </c>
      <c r="I21" s="51">
        <f t="shared" si="2"/>
        <v>2040.45</v>
      </c>
      <c r="J21" s="1391"/>
      <c r="K21" s="1390">
        <f t="shared" si="3"/>
        <v>2040.45</v>
      </c>
      <c r="L21" s="1247">
        <f t="shared" si="4"/>
        <v>0</v>
      </c>
      <c r="M21" s="1402">
        <f t="shared" si="8"/>
        <v>2040.45</v>
      </c>
      <c r="N21" s="2257"/>
      <c r="O21" s="2258"/>
      <c r="P21" s="1402">
        <f t="shared" si="9"/>
        <v>0</v>
      </c>
      <c r="R21" s="1247">
        <f t="shared" si="5"/>
        <v>3372.5099999999998</v>
      </c>
      <c r="S21" s="1248">
        <f t="shared" si="5"/>
        <v>20672.010000000002</v>
      </c>
    </row>
    <row r="22" spans="1:19">
      <c r="A22" s="2259"/>
      <c r="B22" s="50" t="s">
        <v>1961</v>
      </c>
      <c r="C22" s="60"/>
      <c r="D22" s="48">
        <f t="shared" si="6"/>
        <v>0</v>
      </c>
      <c r="E22" s="56">
        <f t="shared" si="1"/>
        <v>0</v>
      </c>
      <c r="F22" s="61"/>
      <c r="G22" s="62"/>
      <c r="H22" s="721">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50" t="s">
        <v>1961</v>
      </c>
      <c r="C23" s="60"/>
      <c r="D23" s="48">
        <f>ROUND($D$3*E23/$E$3,2)</f>
        <v>0</v>
      </c>
      <c r="E23" s="56">
        <f>SUM(F23:G23)</f>
        <v>0</v>
      </c>
      <c r="F23" s="61"/>
      <c r="G23" s="62"/>
      <c r="H23" s="721">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50" t="s">
        <v>1961</v>
      </c>
      <c r="C24" s="60"/>
      <c r="D24" s="48">
        <f>ROUND($D$3*E24/$E$3,2)</f>
        <v>0</v>
      </c>
      <c r="E24" s="56">
        <f>SUM(F24:G24)</f>
        <v>0</v>
      </c>
      <c r="F24" s="61"/>
      <c r="G24" s="62"/>
      <c r="H24" s="721">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50" t="s">
        <v>1961</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29.25" thickBot="1">
      <c r="A27" s="2259"/>
      <c r="B27" s="48"/>
      <c r="C27" s="2262" t="s">
        <v>1962</v>
      </c>
      <c r="D27" s="1392">
        <f>SUM(D19:D26)</f>
        <v>14100.579999999998</v>
      </c>
      <c r="E27" s="1393">
        <f>IF(SUM(E19:E26)='数据-基础表'!BA5,SUM(E19:E26),IF(F27="地上面积有误","面积有误","地下面积有误"))</f>
        <v>86430.56</v>
      </c>
      <c r="F27" s="1392">
        <f>IF(SUM(F19:F26)=E8,SUM(F19:F26),"地上面积有误")</f>
        <v>54642.68</v>
      </c>
      <c r="G27" s="1394">
        <f>SUM(G19:G26)</f>
        <v>31787.88</v>
      </c>
      <c r="H27" s="1395">
        <f>SUM(H19:H26)</f>
        <v>1544.2399999999998</v>
      </c>
      <c r="I27" s="1396">
        <f>SUM(I19:I26)</f>
        <v>9465.5</v>
      </c>
      <c r="J27" s="1391"/>
      <c r="K27" s="1399">
        <f>SUM(K19:K26)</f>
        <v>9465.5</v>
      </c>
      <c r="L27" s="1400">
        <f>SUM(L19:L26)</f>
        <v>0</v>
      </c>
      <c r="M27" s="1403">
        <f>SUM(M19:M26)</f>
        <v>9465.5</v>
      </c>
      <c r="N27" s="1399">
        <f t="shared" ref="N27:O27" si="10">SUM(N19:N26)</f>
        <v>0</v>
      </c>
      <c r="O27" s="1400">
        <f t="shared" si="10"/>
        <v>0</v>
      </c>
      <c r="P27" s="1401">
        <f>SUM(P19:P26)</f>
        <v>0</v>
      </c>
      <c r="R27" s="1249" t="str">
        <f>IF(SUM(R19:R26)=$D$3,SUM(R19:R26),SUM(R19:R26)&amp;"误差"&amp;ROUND(SUM(R19:R26)-$D$3,2))</f>
        <v>15644.82误差0.01</v>
      </c>
      <c r="S27" s="1247">
        <f>IF(SUM(S19:S26)=$E$3,SUM(S19:S26),SUM(S19:S26)&amp;"误差"&amp;ROUND(SUM(S19:S26)-E3,2))</f>
        <v>95896.06</v>
      </c>
    </row>
    <row r="28" spans="1:19">
      <c r="A28" s="2259"/>
      <c r="B28" s="50" t="s">
        <v>1963</v>
      </c>
      <c r="C28" s="1258" t="s">
        <v>1964</v>
      </c>
      <c r="D28" s="48">
        <f>ROUND($D$3*E28/$E$3,2)</f>
        <v>1544.23</v>
      </c>
      <c r="E28" s="56">
        <f>SUM(F28:G28)</f>
        <v>9465.5</v>
      </c>
      <c r="F28" s="64">
        <f>'数据-基础表'!BQ5+'数据-基础表'!BS5</f>
        <v>1966.19</v>
      </c>
      <c r="G28" s="65">
        <f>'数据-基础表'!BR5+'数据-基础表'!BT5</f>
        <v>7499.31</v>
      </c>
      <c r="H28" s="1391"/>
      <c r="I28" s="1391"/>
      <c r="J28" s="1391"/>
      <c r="K28" s="1391"/>
      <c r="L28" s="1391"/>
      <c r="M28" s="1391"/>
      <c r="N28" s="1391"/>
      <c r="O28" s="1391"/>
      <c r="P28" s="1391"/>
    </row>
    <row r="29" spans="1:19">
      <c r="A29" s="2259"/>
      <c r="B29" s="50" t="s">
        <v>1963</v>
      </c>
      <c r="C29" s="2263"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1962</v>
      </c>
      <c r="D30" s="1392">
        <f>SUM(D28:D29)</f>
        <v>1544.23</v>
      </c>
      <c r="E30" s="1392">
        <f>SUM(E28:E29)</f>
        <v>9465.5</v>
      </c>
      <c r="F30" s="1392">
        <f>SUM(F28:F29)</f>
        <v>1966.19</v>
      </c>
      <c r="G30" s="1394">
        <f>SUM(G28:G29)</f>
        <v>7499.31</v>
      </c>
      <c r="H30" s="1391"/>
      <c r="I30" s="1391"/>
      <c r="J30" s="1391"/>
      <c r="K30" s="1391"/>
      <c r="L30" s="1391"/>
      <c r="M30" s="1391"/>
      <c r="N30" s="1391"/>
      <c r="O30" s="1391"/>
      <c r="P30" s="1391"/>
    </row>
    <row r="31" spans="1:19" ht="15.75" thickBot="1">
      <c r="A31" s="2265"/>
      <c r="B31" s="2266"/>
      <c r="C31" s="1007" t="s">
        <v>1966</v>
      </c>
      <c r="D31" s="727">
        <f>D27+D30</f>
        <v>15644.809999999998</v>
      </c>
      <c r="E31" s="727">
        <f>E27+E30</f>
        <v>95896.06</v>
      </c>
      <c r="F31" s="728">
        <f>F27+F30</f>
        <v>56608.87</v>
      </c>
      <c r="G31" s="729">
        <f>G27+G30</f>
        <v>39287.19</v>
      </c>
      <c r="H31" s="1391"/>
      <c r="I31" s="1391"/>
      <c r="J31" s="1391"/>
      <c r="K31" s="1391"/>
      <c r="L31" s="1391"/>
      <c r="M31" s="1391"/>
      <c r="N31" s="1391"/>
      <c r="O31" s="1391"/>
      <c r="P31" s="1391"/>
    </row>
    <row r="32" spans="1:19">
      <c r="A32" s="2230"/>
      <c r="B32" s="2230" t="s">
        <v>1967</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Q19" sqref="Q1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1968</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1969</v>
      </c>
      <c r="B2" s="1265">
        <f>项目基本情况!D3</f>
        <v>43294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1976</v>
      </c>
      <c r="B5" s="2286" t="s">
        <v>1977</v>
      </c>
      <c r="C5" s="2287" t="s">
        <v>1978</v>
      </c>
      <c r="D5" s="2288" t="s">
        <v>1979</v>
      </c>
      <c r="E5" s="1267" t="s">
        <v>1980</v>
      </c>
      <c r="F5" s="2289" t="s">
        <v>1981</v>
      </c>
      <c r="G5" s="1267" t="s">
        <v>1982</v>
      </c>
      <c r="H5" s="1267" t="s">
        <v>1983</v>
      </c>
      <c r="I5" s="1267" t="s">
        <v>1984</v>
      </c>
      <c r="J5" s="2290" t="s">
        <v>1985</v>
      </c>
      <c r="K5" s="2291" t="s">
        <v>1986</v>
      </c>
      <c r="L5" s="2292" t="s">
        <v>1987</v>
      </c>
      <c r="M5" s="2293" t="s">
        <v>1988</v>
      </c>
      <c r="N5" s="2971" t="s">
        <v>1989</v>
      </c>
      <c r="O5" s="2292" t="s">
        <v>1990</v>
      </c>
      <c r="P5" s="2294" t="s">
        <v>1991</v>
      </c>
      <c r="Q5" s="69" t="s">
        <v>1992</v>
      </c>
      <c r="R5" s="2295" t="s">
        <v>1993</v>
      </c>
      <c r="S5" s="2296" t="s">
        <v>1994</v>
      </c>
      <c r="T5" s="2297" t="s">
        <v>1995</v>
      </c>
      <c r="U5" s="1266" t="s">
        <v>1996</v>
      </c>
      <c r="V5" s="1267" t="s">
        <v>1997</v>
      </c>
      <c r="W5" s="1267" t="s">
        <v>1998</v>
      </c>
      <c r="X5" s="71"/>
      <c r="Y5" s="70" t="s">
        <v>1999</v>
      </c>
      <c r="Z5" s="2298" t="s">
        <v>1996</v>
      </c>
      <c r="AA5" s="1267" t="s">
        <v>1997</v>
      </c>
      <c r="AB5" s="1267" t="s">
        <v>1998</v>
      </c>
      <c r="AC5" s="71"/>
      <c r="AD5" s="71" t="s">
        <v>1999</v>
      </c>
      <c r="AE5" s="1266" t="s">
        <v>2000</v>
      </c>
      <c r="AF5" s="1267" t="s">
        <v>2001</v>
      </c>
      <c r="AG5" s="70" t="s">
        <v>2002</v>
      </c>
      <c r="AH5" s="1266" t="s">
        <v>2003</v>
      </c>
      <c r="AI5" s="2298" t="s">
        <v>2004</v>
      </c>
      <c r="AJ5" s="2298" t="s">
        <v>2005</v>
      </c>
      <c r="AK5" s="1267" t="s">
        <v>2006</v>
      </c>
      <c r="AL5" s="1267" t="s">
        <v>2007</v>
      </c>
      <c r="AM5" s="70" t="s">
        <v>2008</v>
      </c>
      <c r="AN5" s="2299" t="s">
        <v>2009</v>
      </c>
      <c r="AO5" s="2071" t="s">
        <v>2010</v>
      </c>
      <c r="AP5" s="1249" t="s">
        <v>2011</v>
      </c>
      <c r="AQ5" s="2300" t="s">
        <v>2012</v>
      </c>
      <c r="AR5" s="2300"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1" t="str">
        <f>'数据-汇总表'!C19</f>
        <v>公寓</v>
      </c>
      <c r="B6" s="2302" t="str">
        <f>IF(A6=0,"","经营性")</f>
        <v>经营性</v>
      </c>
      <c r="C6" s="2303" t="s">
        <v>27</v>
      </c>
      <c r="D6" s="1051">
        <f>SUMIF(项目基本情况!D$12:I$12,C6,项目基本情况!D$14:I$14)</f>
        <v>50</v>
      </c>
      <c r="E6" s="1048">
        <f>IF(B6="","",SUMIF(项目基本情况!D$12:I$12,C6,项目基本情况!D$13:I$13))</f>
        <v>59665</v>
      </c>
      <c r="F6" s="72">
        <f>SUMIF(项目基本情况!D$12:I$12,C6,项目基本情况!D$15:I$15)</f>
        <v>44.85</v>
      </c>
      <c r="G6" s="73">
        <f>IF(ISERROR(ROUND(POWER(1+H6,D6-F6)*(POWER(1+H6,F6)-1)/(POWER(1+H6,D6)-1),3)),0,ROUND(POWER(1+H6,D6-F6)*(POWER(1+H6,F6)-1)/(POWER(1+H6,D6)-1),3))</f>
        <v>0.97299999999999998</v>
      </c>
      <c r="H6" s="799">
        <v>0.05</v>
      </c>
      <c r="I6" s="799">
        <v>0.06</v>
      </c>
      <c r="J6" s="74">
        <v>8.5000000000000006E-2</v>
      </c>
      <c r="K6" s="1251">
        <f>SUMIF('数据-汇总表'!C$19:C$33,A6,'数据-汇总表'!E$19:E$33)</f>
        <v>28977.16</v>
      </c>
      <c r="L6" s="800">
        <v>4500</v>
      </c>
      <c r="M6" s="75">
        <f t="shared" ref="M6:M14" si="0">ROUND(K6*L6/10000,0)</f>
        <v>13040</v>
      </c>
      <c r="N6" s="2972">
        <v>0.25</v>
      </c>
      <c r="O6" s="75">
        <f>IF($N$5="成新度","——",ROUND(M6*N6,0))</f>
        <v>3260</v>
      </c>
      <c r="P6" s="76">
        <f>IF($N$5="成新度","——",M6-O6)</f>
        <v>9780</v>
      </c>
      <c r="Q6" s="801">
        <v>0.2</v>
      </c>
      <c r="R6" s="77">
        <f ca="1">SUMIF('数据-汇总表'!C$19:C$33,A6,'数据-汇总表'!R$19:R$27)</f>
        <v>5245.16</v>
      </c>
      <c r="S6" s="54">
        <f>IF('数据-汇总表'!$I$17="按面积比例",SUMIF('数据-汇总表'!C$19:C$33,A6,'数据-汇总表'!K$19:K$33),SUMIF('数据-汇总表'!C$19:C$33,A6,'数据-汇总表'!N$19:N$33))</f>
        <v>3173.45</v>
      </c>
      <c r="T6" s="1442">
        <f>ROUND($L$14*S6/10000,0)</f>
        <v>793</v>
      </c>
      <c r="U6" s="78">
        <v>4.2</v>
      </c>
      <c r="V6" s="79">
        <v>2.5000000000000001E-2</v>
      </c>
      <c r="W6" s="79">
        <v>0.1</v>
      </c>
      <c r="X6" s="1260"/>
      <c r="Y6" s="80">
        <v>1</v>
      </c>
      <c r="Z6" s="81"/>
      <c r="AA6" s="74"/>
      <c r="AB6" s="74"/>
      <c r="AC6" s="1260"/>
      <c r="AD6" s="82"/>
      <c r="AE6" s="1261">
        <f ca="1">IF(AN6="",0,SUMIF(INDIRECT("'"&amp;AN6&amp;"'"&amp;"!E:E"),$AE$5,INDIRECT("'"&amp;AN6&amp;"'"&amp;"!F:F")))</f>
        <v>42.85</v>
      </c>
      <c r="AF6" s="1802"/>
      <c r="AG6" s="145">
        <f>IF(AF6="",0,AE6-AF6)</f>
        <v>0</v>
      </c>
      <c r="AH6" s="83"/>
      <c r="AI6" s="85">
        <v>365</v>
      </c>
      <c r="AJ6" s="86"/>
      <c r="AK6" s="87">
        <v>1.4999999999999999E-2</v>
      </c>
      <c r="AL6" s="88">
        <v>2E-3</v>
      </c>
      <c r="AM6" s="89">
        <v>0.02</v>
      </c>
      <c r="AN6" s="2304" t="s">
        <v>3066</v>
      </c>
      <c r="AO6" s="55">
        <f ca="1">SUMIF(INDIRECT("'"&amp;AN6&amp;"'"&amp;"!A:A"),"总价",INDIRECT("'"&amp;AN6&amp;"'"&amp;"!B:B"))</f>
        <v>62569</v>
      </c>
      <c r="AP6" s="2305">
        <f>IF(C6="住宅",K6*L6,0)</f>
        <v>0</v>
      </c>
      <c r="AQ6" s="55">
        <f>ROUND($L$14*$N$14*S6/10000,0)</f>
        <v>198</v>
      </c>
      <c r="AR6" s="55">
        <f>ROUND($L$14*(1-$N$14)*S6/10000,0)</f>
        <v>595</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1" t="str">
        <f>'数据-汇总表'!C20</f>
        <v>商业</v>
      </c>
      <c r="B7" s="2302" t="str">
        <f t="shared" ref="B7:B13" si="1">IF(A7=0,"","经营性")</f>
        <v>经营性</v>
      </c>
      <c r="C7" s="2303" t="s">
        <v>1377</v>
      </c>
      <c r="D7" s="1051">
        <f>SUMIF(项目基本情况!D$12:I$12,C7,项目基本情况!D$14:I$14)</f>
        <v>40</v>
      </c>
      <c r="E7" s="1048">
        <f>IF(B7="","",SUMIF(项目基本情况!D$12:I$12,C7,项目基本情况!D$13:I$13))</f>
        <v>56013</v>
      </c>
      <c r="F7" s="72">
        <f>SUMIF(项目基本情况!D$12:I$12,C7,项目基本情况!D$15:I$15)</f>
        <v>34.840000000000003</v>
      </c>
      <c r="G7" s="73">
        <f t="shared" ref="G7:G11" si="2">IF(ISERROR(ROUND(POWER(1+H7,D7-F7)*(POWER(1+H7,F7)-1)/(POWER(1+H7,D7)-1),3)),0,ROUND(POWER(1+H7,D7-F7)*(POWER(1+H7,F7)-1)/(POWER(1+H7,D7)-1),3))</f>
        <v>0.95799999999999996</v>
      </c>
      <c r="H7" s="799">
        <v>5.5E-2</v>
      </c>
      <c r="I7" s="799">
        <v>6.5000000000000002E-2</v>
      </c>
      <c r="J7" s="74">
        <v>8.5000000000000006E-2</v>
      </c>
      <c r="K7" s="1251">
        <f>SUMIF('数据-汇总表'!C$19:C$33,A7,'数据-汇总表'!E$19:E$33)</f>
        <v>38821.839999999997</v>
      </c>
      <c r="L7" s="800">
        <v>4000</v>
      </c>
      <c r="M7" s="75">
        <f t="shared" si="0"/>
        <v>15529</v>
      </c>
      <c r="N7" s="2972">
        <v>0.25</v>
      </c>
      <c r="O7" s="75">
        <f t="shared" ref="O7:O14" si="3">IF($N$5="成新度","——",ROUND(M7*N7,0))</f>
        <v>3882</v>
      </c>
      <c r="P7" s="76">
        <f t="shared" ref="P7:P14" si="4">IF($N$5="成新度","——",M7-O7)</f>
        <v>11647</v>
      </c>
      <c r="Q7" s="801">
        <v>0.25</v>
      </c>
      <c r="R7" s="77">
        <f ca="1">SUMIF('数据-汇总表'!C$19:C$33,A7,'数据-汇总表'!R$19:R$27)</f>
        <v>7027.15</v>
      </c>
      <c r="S7" s="54">
        <f>IF('数据-汇总表'!$I$17="按面积比例",SUMIF('数据-汇总表'!C$19:C$33,A7,'数据-汇总表'!K$19:K$33),SUMIF('数据-汇总表'!C$19:C$33,A7,'数据-汇总表'!N$19:N$33))</f>
        <v>4251.6000000000004</v>
      </c>
      <c r="T7" s="1442">
        <f t="shared" ref="T7:T13" si="5">ROUND($L$14*S7/10000,0)</f>
        <v>1063</v>
      </c>
      <c r="U7" s="78">
        <f>T25</f>
        <v>5.8</v>
      </c>
      <c r="V7" s="79">
        <v>2.5000000000000001E-2</v>
      </c>
      <c r="W7" s="79">
        <v>0.1</v>
      </c>
      <c r="X7" s="1260"/>
      <c r="Y7" s="80">
        <v>1</v>
      </c>
      <c r="Z7" s="81"/>
      <c r="AA7" s="74"/>
      <c r="AB7" s="74"/>
      <c r="AC7" s="1260"/>
      <c r="AD7" s="82"/>
      <c r="AE7" s="1261">
        <f t="shared" ref="AE7:AE13" ca="1" si="6">IF(AN7="",0,SUMIF(INDIRECT("'"&amp;AN7&amp;"'"&amp;"!E:E"),$AE$5,INDIRECT("'"&amp;AN7&amp;"'"&amp;"!F:F")))</f>
        <v>32.840000000000003</v>
      </c>
      <c r="AF7" s="1802"/>
      <c r="AG7" s="145">
        <f t="shared" ref="AG7:AG13" si="7">IF(AF7="",0,AE7-AF7)</f>
        <v>0</v>
      </c>
      <c r="AH7" s="83"/>
      <c r="AI7" s="85">
        <v>365</v>
      </c>
      <c r="AJ7" s="86"/>
      <c r="AK7" s="87">
        <v>1.4999999999999999E-2</v>
      </c>
      <c r="AL7" s="88">
        <v>2E-3</v>
      </c>
      <c r="AM7" s="89">
        <v>0.02</v>
      </c>
      <c r="AN7" s="2304" t="s">
        <v>3068</v>
      </c>
      <c r="AO7" s="55">
        <f t="shared" ref="AO7:AO13" ca="1" si="8">SUMIF(INDIRECT("'"&amp;AN7&amp;"'"&amp;"!A:A"),"总价",INDIRECT("'"&amp;AN7&amp;"'"&amp;"!B:B"))</f>
        <v>98871</v>
      </c>
      <c r="AP7" s="2305">
        <f t="shared" ref="AP7:AP13" si="9">IF(C7="住宅",K7*L7,0)</f>
        <v>0</v>
      </c>
      <c r="AQ7" s="55">
        <f t="shared" ref="AQ7:AQ13" si="10">ROUND($L$14*$N$14*S7/10000,0)</f>
        <v>266</v>
      </c>
      <c r="AR7" s="55">
        <f t="shared" ref="AR7:AR13" si="11">ROUND($L$14*(1-$N$14)*S7/10000,0)</f>
        <v>797</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1" t="str">
        <f>'数据-汇总表'!C21</f>
        <v>地下车库</v>
      </c>
      <c r="B8" s="2302" t="str">
        <f t="shared" si="1"/>
        <v>经营性</v>
      </c>
      <c r="C8" s="2303" t="s">
        <v>3058</v>
      </c>
      <c r="D8" s="1051">
        <f>SUMIF(项目基本情况!D$12:I$12,C8,项目基本情况!D$14:I$14)</f>
        <v>50</v>
      </c>
      <c r="E8" s="1048">
        <f>IF(B8="","",SUMIF(项目基本情况!D$12:I$12,C8,项目基本情况!D$13:I$13))</f>
        <v>59665</v>
      </c>
      <c r="F8" s="72">
        <f>SUMIF(项目基本情况!D$12:I$12,C8,项目基本情况!D$15:I$15)</f>
        <v>44.85</v>
      </c>
      <c r="G8" s="73">
        <f t="shared" si="2"/>
        <v>0.96799999999999997</v>
      </c>
      <c r="H8" s="799">
        <v>4.4999999999999998E-2</v>
      </c>
      <c r="I8" s="799">
        <v>0.05</v>
      </c>
      <c r="J8" s="74">
        <v>8.5000000000000006E-2</v>
      </c>
      <c r="K8" s="1251">
        <f>SUMIF('数据-汇总表'!C$19:C$33,A8,'数据-汇总表'!E$19:E$33)</f>
        <v>18631.560000000001</v>
      </c>
      <c r="L8" s="800">
        <v>3000</v>
      </c>
      <c r="M8" s="75">
        <f>ROUND(K8*L8/10000,0)</f>
        <v>5589</v>
      </c>
      <c r="N8" s="2972">
        <v>0.25</v>
      </c>
      <c r="O8" s="75">
        <f t="shared" si="3"/>
        <v>1397</v>
      </c>
      <c r="P8" s="76">
        <f t="shared" si="4"/>
        <v>4192</v>
      </c>
      <c r="Q8" s="801">
        <v>0.1</v>
      </c>
      <c r="R8" s="77">
        <f ca="1">SUMIF('数据-汇总表'!C$19:C$33,A8,'数据-汇总表'!R$19:R$27)</f>
        <v>3372.5099999999998</v>
      </c>
      <c r="S8" s="54">
        <f>IF('数据-汇总表'!$I$17="按面积比例",SUMIF('数据-汇总表'!C$19:C$33,A8,'数据-汇总表'!K$19:K$33),SUMIF('数据-汇总表'!C$19:C$33,A8,'数据-汇总表'!N$19:N$33))</f>
        <v>2040.45</v>
      </c>
      <c r="T8" s="1442">
        <f t="shared" si="5"/>
        <v>510</v>
      </c>
      <c r="U8" s="802">
        <v>800</v>
      </c>
      <c r="V8" s="803">
        <v>0</v>
      </c>
      <c r="W8" s="803">
        <v>0.05</v>
      </c>
      <c r="X8" s="1260"/>
      <c r="Y8" s="804">
        <v>1</v>
      </c>
      <c r="Z8" s="81"/>
      <c r="AA8" s="74"/>
      <c r="AB8" s="74"/>
      <c r="AC8" s="1260"/>
      <c r="AD8" s="82"/>
      <c r="AE8" s="1261">
        <f t="shared" ca="1" si="6"/>
        <v>42.85</v>
      </c>
      <c r="AF8" s="1802"/>
      <c r="AG8" s="145">
        <f t="shared" si="7"/>
        <v>0</v>
      </c>
      <c r="AH8" s="805">
        <v>532</v>
      </c>
      <c r="AI8" s="85">
        <v>12</v>
      </c>
      <c r="AJ8" s="86"/>
      <c r="AK8" s="806">
        <v>1.4999999999999999E-2</v>
      </c>
      <c r="AL8" s="807">
        <v>1.5E-3</v>
      </c>
      <c r="AM8" s="808">
        <v>1.4999999999999999E-2</v>
      </c>
      <c r="AN8" s="2304" t="s">
        <v>3070</v>
      </c>
      <c r="AO8" s="55">
        <f t="shared" ca="1" si="8"/>
        <v>4364</v>
      </c>
      <c r="AP8" s="2305">
        <f t="shared" si="9"/>
        <v>0</v>
      </c>
      <c r="AQ8" s="55">
        <f t="shared" si="10"/>
        <v>128</v>
      </c>
      <c r="AR8" s="55">
        <f t="shared" si="11"/>
        <v>383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297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5">
        <f t="shared" si="7"/>
        <v>0</v>
      </c>
      <c r="AH9" s="83"/>
      <c r="AI9" s="85"/>
      <c r="AJ9" s="86"/>
      <c r="AK9" s="87"/>
      <c r="AL9" s="88"/>
      <c r="AM9" s="89"/>
      <c r="AN9" s="2304"/>
      <c r="AO9" s="55" t="e">
        <f t="shared" ca="1" si="8"/>
        <v>#REF!</v>
      </c>
      <c r="AP9" s="2305">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297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5">
        <f t="shared" si="7"/>
        <v>0</v>
      </c>
      <c r="AH10" s="83"/>
      <c r="AI10" s="85"/>
      <c r="AJ10" s="86"/>
      <c r="AK10" s="87"/>
      <c r="AL10" s="88"/>
      <c r="AM10" s="89"/>
      <c r="AN10" s="2304"/>
      <c r="AO10" s="55" t="e">
        <f t="shared" ca="1" si="8"/>
        <v>#REF!</v>
      </c>
      <c r="AP10" s="2305">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297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2"/>
      <c r="AA11" s="74"/>
      <c r="AB11" s="74"/>
      <c r="AC11" s="1260"/>
      <c r="AD11" s="82"/>
      <c r="AE11" s="1261">
        <f t="shared" ca="1" si="6"/>
        <v>0</v>
      </c>
      <c r="AF11" s="1802"/>
      <c r="AG11" s="145">
        <f t="shared" si="7"/>
        <v>0</v>
      </c>
      <c r="AH11" s="83"/>
      <c r="AI11" s="85"/>
      <c r="AJ11" s="86"/>
      <c r="AK11" s="93"/>
      <c r="AL11" s="94"/>
      <c r="AM11" s="95"/>
      <c r="AN11" s="2304"/>
      <c r="AO11" s="55" t="e">
        <f t="shared" ca="1" si="8"/>
        <v>#REF!</v>
      </c>
      <c r="AP11" s="2305">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297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2"/>
      <c r="AA12" s="74"/>
      <c r="AB12" s="74"/>
      <c r="AC12" s="1260"/>
      <c r="AD12" s="82"/>
      <c r="AE12" s="1261">
        <f t="shared" ca="1" si="6"/>
        <v>0</v>
      </c>
      <c r="AF12" s="1802"/>
      <c r="AG12" s="145">
        <f t="shared" si="7"/>
        <v>0</v>
      </c>
      <c r="AH12" s="83"/>
      <c r="AI12" s="85"/>
      <c r="AJ12" s="86"/>
      <c r="AK12" s="93"/>
      <c r="AL12" s="94"/>
      <c r="AM12" s="95"/>
      <c r="AN12" s="2304"/>
      <c r="AO12" s="55" t="e">
        <f t="shared" ca="1" si="8"/>
        <v>#REF!</v>
      </c>
      <c r="AP12" s="2305">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297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4"/>
      <c r="AO13" s="55" t="e">
        <f t="shared" ca="1" si="8"/>
        <v>#REF!</v>
      </c>
      <c r="AP13" s="2305">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6" t="s">
        <v>2014</v>
      </c>
      <c r="B14" s="2302" t="s">
        <v>2015</v>
      </c>
      <c r="C14" s="2307" t="s">
        <v>2014</v>
      </c>
      <c r="D14" s="1051"/>
      <c r="E14" s="1048"/>
      <c r="F14" s="72"/>
      <c r="G14" s="73"/>
      <c r="H14" s="1250"/>
      <c r="I14" s="1250"/>
      <c r="J14" s="1250"/>
      <c r="K14" s="1251">
        <f>SUMIF('数据-汇总表'!C$19:C$33,A14,'数据-汇总表'!E$19:E$33)</f>
        <v>9465.5</v>
      </c>
      <c r="L14" s="91">
        <v>2500</v>
      </c>
      <c r="M14" s="75">
        <f t="shared" si="0"/>
        <v>2366</v>
      </c>
      <c r="N14" s="2973">
        <v>0.25</v>
      </c>
      <c r="O14" s="75">
        <f t="shared" si="3"/>
        <v>592</v>
      </c>
      <c r="P14" s="76">
        <f t="shared" si="4"/>
        <v>1774</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6" t="s">
        <v>2016</v>
      </c>
      <c r="B15" s="2302" t="s">
        <v>2015</v>
      </c>
      <c r="C15" s="2307" t="s">
        <v>2017</v>
      </c>
      <c r="D15" s="1051"/>
      <c r="E15" s="1048"/>
      <c r="F15" s="72"/>
      <c r="G15" s="73"/>
      <c r="H15" s="1250"/>
      <c r="I15" s="1250"/>
      <c r="J15" s="1250"/>
      <c r="K15" s="1251">
        <f>SUMIF('数据-汇总表'!C$19:C$33,A15,'数据-汇总表'!E$19:E$33)</f>
        <v>0</v>
      </c>
      <c r="L15" s="1252"/>
      <c r="M15" s="75"/>
      <c r="N15" s="2974"/>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8" t="s">
        <v>2018</v>
      </c>
      <c r="B16" s="96"/>
      <c r="C16" s="1005"/>
      <c r="D16" s="2309"/>
      <c r="E16" s="96"/>
      <c r="F16" s="96"/>
      <c r="G16" s="97">
        <f>ROUND(SUMPRODUCT(G6:G13,K6:K13)/SUMPRODUCT((G6:G13&gt;0)*(K6:K13)),3)</f>
        <v>0.96499999999999997</v>
      </c>
      <c r="H16" s="98">
        <f>ROUND(SUMPRODUCT(H6:H13,K6:K13)/SUMPRODUCT((H6:H13&gt;0)*(K6:K13)),3)</f>
        <v>5.0999999999999997E-2</v>
      </c>
      <c r="I16" s="99"/>
      <c r="J16" s="99"/>
      <c r="K16" s="100">
        <f>SUM(K6:K15)</f>
        <v>95896.06</v>
      </c>
      <c r="L16" s="101">
        <f>ROUND(M16*10000/SUM(K6:K14),0)</f>
        <v>3809</v>
      </c>
      <c r="M16" s="101">
        <f>SUM(M6:M14)</f>
        <v>36524</v>
      </c>
      <c r="N16" s="2975">
        <f>ROUND(SUMPRODUCT(M6:M14,N6:N14)/M16,3)</f>
        <v>0.25</v>
      </c>
      <c r="O16" s="101">
        <f>SUM(O6:O14)</f>
        <v>9131</v>
      </c>
      <c r="P16" s="101">
        <f>SUM(P6:P14)</f>
        <v>27393</v>
      </c>
      <c r="Q16" s="102">
        <f>ROUND(SUMPRODUCT(Q6:Q13,K6:K13)/SUMPRODUCT((Q6:Q13&gt;0)*(K6:K13)),2)</f>
        <v>0.2</v>
      </c>
      <c r="R16" s="1254">
        <f ca="1">SUM(R6:R13)</f>
        <v>15644.82</v>
      </c>
      <c r="S16" s="103">
        <f>SUM(S6:S13)</f>
        <v>9465.5</v>
      </c>
      <c r="T16" s="104">
        <f>IF(SUMIF(T6:T13,"&lt;9E307")=M14,SUMIF(T6:T13,"&lt;9E307"),"有误，请检查")</f>
        <v>2366</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0"/>
      <c r="B17" s="730"/>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2020</v>
      </c>
      <c r="B19" s="110">
        <v>0</v>
      </c>
      <c r="C19" s="2273" t="s">
        <v>2021</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2022</v>
      </c>
      <c r="B20" s="111">
        <v>3</v>
      </c>
      <c r="C20" s="2273" t="s">
        <v>2023</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2024</v>
      </c>
      <c r="B21" s="111">
        <v>1</v>
      </c>
      <c r="C21" s="2273"/>
      <c r="D21" s="2274"/>
      <c r="E21" s="2273"/>
      <c r="F21" s="2273"/>
      <c r="G21" s="2273"/>
      <c r="H21" s="2273"/>
      <c r="I21" s="2273"/>
      <c r="J21" s="2273"/>
      <c r="K21" s="166"/>
      <c r="L21" s="166"/>
      <c r="M21" s="1579"/>
      <c r="N21" s="1579"/>
      <c r="O21" s="1579"/>
      <c r="P21" s="1579"/>
      <c r="Q21" s="1579"/>
      <c r="R21" s="2269">
        <f>'数据-汇总表'!F20-R22-R23</f>
        <v>8555.1799999999985</v>
      </c>
      <c r="S21" s="1579">
        <v>0.55000000000000004</v>
      </c>
      <c r="T21" s="1579">
        <f>T23*S21</f>
        <v>4.95</v>
      </c>
      <c r="U21" s="1579">
        <f>U23</f>
        <v>0.22</v>
      </c>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2025</v>
      </c>
      <c r="B22" s="112">
        <f>B19+B20</f>
        <v>3</v>
      </c>
      <c r="C22" s="2273"/>
      <c r="D22" s="2274"/>
      <c r="E22" s="2273"/>
      <c r="F22" s="2273"/>
      <c r="G22" s="2273"/>
      <c r="H22" s="2273"/>
      <c r="I22" s="2273"/>
      <c r="J22" s="2273"/>
      <c r="K22" s="166"/>
      <c r="L22" s="166"/>
      <c r="M22" s="1579"/>
      <c r="N22" s="1579"/>
      <c r="O22" s="1579"/>
      <c r="P22" s="1579"/>
      <c r="Q22" s="1579"/>
      <c r="R22" s="2269">
        <f>R23</f>
        <v>8555.17</v>
      </c>
      <c r="S22" s="1579">
        <v>0.6</v>
      </c>
      <c r="T22" s="1579">
        <f>T23*S22</f>
        <v>5.3999999999999995</v>
      </c>
      <c r="U22" s="1579">
        <f>U23</f>
        <v>0.22</v>
      </c>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2026</v>
      </c>
      <c r="B23" s="112">
        <f>B19+B21</f>
        <v>1</v>
      </c>
      <c r="C23" s="2273"/>
      <c r="D23" s="2274"/>
      <c r="E23" s="2273"/>
      <c r="F23" s="2273"/>
      <c r="G23" s="2273"/>
      <c r="H23" s="2273"/>
      <c r="I23" s="2273"/>
      <c r="J23" s="2273"/>
      <c r="K23" s="166"/>
      <c r="L23" s="166"/>
      <c r="M23" s="1579"/>
      <c r="N23" s="1579"/>
      <c r="O23" s="1579"/>
      <c r="P23" s="1579"/>
      <c r="Q23" s="1579"/>
      <c r="R23" s="2269">
        <f>ROUND('数据-汇总表'!F20/3,2)</f>
        <v>8555.17</v>
      </c>
      <c r="S23" s="1579">
        <v>1</v>
      </c>
      <c r="T23" s="1579">
        <v>9</v>
      </c>
      <c r="U23" s="1579">
        <f>ROUND(R23/R25,2)</f>
        <v>0.22</v>
      </c>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2027</v>
      </c>
      <c r="B24" s="113">
        <f>B20-B21</f>
        <v>2</v>
      </c>
      <c r="C24" s="2273"/>
      <c r="D24" s="2274"/>
      <c r="E24" s="2273"/>
      <c r="F24" s="2273"/>
      <c r="G24" s="2273"/>
      <c r="H24" s="2273"/>
      <c r="I24" s="2273"/>
      <c r="J24" s="2273"/>
      <c r="K24" s="166"/>
      <c r="L24" s="166"/>
      <c r="M24" s="1579"/>
      <c r="N24" s="1579"/>
      <c r="O24" s="1579"/>
      <c r="P24" s="1579"/>
      <c r="Q24" s="1579"/>
      <c r="R24" s="1579">
        <f>'数据-汇总表'!G20</f>
        <v>13156.32</v>
      </c>
      <c r="S24" s="1579">
        <v>0.5</v>
      </c>
      <c r="T24" s="1579">
        <f>T23*S24</f>
        <v>4.5</v>
      </c>
      <c r="U24" s="1579">
        <f>ROUND(R24/R25,2)</f>
        <v>0.34</v>
      </c>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2269">
        <f>R21+R22+R23+R24</f>
        <v>38821.839999999997</v>
      </c>
      <c r="S25" s="1579"/>
      <c r="T25" s="1579">
        <f>ROUND(T21*U21+T22*U22+T23*U23+T24*U24,1)</f>
        <v>5.8</v>
      </c>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2028</v>
      </c>
      <c r="B26" s="2315" t="s">
        <v>2029</v>
      </c>
      <c r="C26" s="2316" t="s">
        <v>2030</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2031</v>
      </c>
      <c r="B27" s="114"/>
      <c r="C27" s="1762" t="s">
        <v>2032</v>
      </c>
      <c r="D27" s="2318"/>
      <c r="E27" s="1426"/>
      <c r="F27" s="1426"/>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2033</v>
      </c>
      <c r="B28" s="117">
        <v>200</v>
      </c>
      <c r="C28" s="2321"/>
      <c r="D28" s="2318"/>
      <c r="E28" s="1426"/>
      <c r="F28" s="1426"/>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2034</v>
      </c>
      <c r="B29" s="119">
        <f ca="1">成本法!C10</f>
        <v>1918</v>
      </c>
      <c r="C29" s="1762" t="s">
        <v>2035</v>
      </c>
      <c r="D29" s="2318"/>
      <c r="E29" s="1426"/>
      <c r="F29" s="1426"/>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2036</v>
      </c>
      <c r="B30" s="722">
        <v>200</v>
      </c>
      <c r="C30" s="2321"/>
      <c r="D30" s="2318"/>
      <c r="E30" s="1426"/>
      <c r="F30" s="1426"/>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2037</v>
      </c>
      <c r="B31" s="118">
        <f>B30-B32</f>
        <v>200</v>
      </c>
      <c r="C31" s="1762"/>
      <c r="D31" s="2318"/>
      <c r="E31" s="1426"/>
      <c r="F31" s="1426"/>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2038</v>
      </c>
      <c r="B32" s="723">
        <v>0</v>
      </c>
      <c r="C32" s="2321"/>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2039</v>
      </c>
      <c r="B33" s="724">
        <v>0.03</v>
      </c>
      <c r="C33" s="1761" t="s">
        <v>2040</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2041</v>
      </c>
      <c r="B34" s="120">
        <v>0</v>
      </c>
      <c r="C34" s="1761" t="s">
        <v>2042</v>
      </c>
      <c r="D34" s="2274" t="s">
        <v>2043</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2044</v>
      </c>
      <c r="B35" s="117">
        <v>200</v>
      </c>
      <c r="C35" s="1761" t="s">
        <v>2045</v>
      </c>
      <c r="D35" s="2318"/>
      <c r="E35" s="1426"/>
      <c r="F35" s="1426"/>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2046</v>
      </c>
      <c r="B36" s="121">
        <v>1.4999999999999999E-2</v>
      </c>
      <c r="C36" s="1761" t="s">
        <v>2047</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2048</v>
      </c>
      <c r="B37" s="122">
        <v>0.02</v>
      </c>
      <c r="C37" s="1761" t="s">
        <v>2049</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2050</v>
      </c>
      <c r="B38" s="120">
        <v>0.02</v>
      </c>
      <c r="C38" s="1761" t="s">
        <v>2049</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2051</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2052</v>
      </c>
      <c r="B40" s="1299">
        <f ca="1">存贷款利率!G1</f>
        <v>4.7500000000000001E-2</v>
      </c>
      <c r="C40" s="1761" t="s">
        <v>2053</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2054</v>
      </c>
      <c r="B41" s="123">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2055</v>
      </c>
      <c r="B42" s="124">
        <v>0.05</v>
      </c>
      <c r="C42" s="2326">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2056</v>
      </c>
      <c r="B43" s="125">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2057</v>
      </c>
      <c r="B44" s="126">
        <v>0.05</v>
      </c>
      <c r="C44" s="1761" t="s">
        <v>2058</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2059</v>
      </c>
      <c r="B45" s="124">
        <v>0.03</v>
      </c>
      <c r="C45" s="1762" t="s">
        <v>2060</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2061</v>
      </c>
      <c r="B46" s="124">
        <v>0.02</v>
      </c>
      <c r="C46" s="1762" t="s">
        <v>2062</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2063</v>
      </c>
      <c r="B47" s="127"/>
      <c r="C47" s="1762" t="s">
        <v>2064</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2065</v>
      </c>
      <c r="B48" s="128">
        <v>0.03</v>
      </c>
      <c r="C48" s="1769" t="s">
        <v>2066</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2067</v>
      </c>
      <c r="B49" s="124">
        <v>5.0000000000000001E-4</v>
      </c>
      <c r="C49" s="1769" t="s">
        <v>2068</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2069</v>
      </c>
      <c r="B50" s="129">
        <v>1.2E-2</v>
      </c>
      <c r="C50" s="1426"/>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2070</v>
      </c>
      <c r="B51" s="130">
        <v>0.12</v>
      </c>
      <c r="C51" s="1426"/>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2071</v>
      </c>
      <c r="B52" s="131">
        <f>SUMIF(A54:A63,B53,B54:B63)</f>
        <v>1.5</v>
      </c>
      <c r="C52" s="1426"/>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2072</v>
      </c>
      <c r="B53" s="2331" t="s">
        <v>56</v>
      </c>
      <c r="C53" s="1426" t="s">
        <v>2073</v>
      </c>
      <c r="D53" s="2332" t="s">
        <v>2074</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2075</v>
      </c>
      <c r="B54" s="84"/>
      <c r="C54" s="1426">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2076</v>
      </c>
      <c r="B55" s="84"/>
      <c r="C55" s="1426">
        <v>24</v>
      </c>
      <c r="D55" s="2274"/>
      <c r="E55" s="2273"/>
      <c r="F55" s="2273"/>
      <c r="G55" s="2273"/>
      <c r="H55" s="2273"/>
      <c r="I55" s="2334"/>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2077</v>
      </c>
      <c r="B56" s="84"/>
      <c r="C56" s="1426">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2078</v>
      </c>
      <c r="B57" s="84"/>
      <c r="C57" s="1426">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2079</v>
      </c>
      <c r="B58" s="84"/>
      <c r="C58" s="1426">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2080</v>
      </c>
      <c r="B59" s="84">
        <v>1.5</v>
      </c>
      <c r="C59" s="1426">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2081</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2082</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2083</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2084</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35" sqref="C35"/>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8" t="s">
        <v>2085</v>
      </c>
      <c r="B1" s="3069"/>
      <c r="C1" s="3069"/>
      <c r="D1" s="3069"/>
      <c r="E1" s="3069"/>
      <c r="F1" s="3069"/>
      <c r="G1" s="306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2086</v>
      </c>
      <c r="D2" s="2361"/>
      <c r="E2" s="2362"/>
      <c r="F2" s="2282"/>
      <c r="G2" s="2360" t="s">
        <v>2087</v>
      </c>
      <c r="H2" s="2363"/>
      <c r="I2" s="2363"/>
      <c r="J2" s="2363"/>
      <c r="K2" s="2363"/>
      <c r="L2" s="2363"/>
      <c r="M2" s="2363"/>
      <c r="N2" s="2363"/>
      <c r="O2" s="2363"/>
      <c r="P2" s="2363"/>
      <c r="Q2" s="2363"/>
      <c r="R2" s="2363"/>
    </row>
    <row r="3" spans="1:29" ht="54">
      <c r="A3" s="413" t="s">
        <v>2088</v>
      </c>
      <c r="B3" s="1267" t="s">
        <v>2089</v>
      </c>
      <c r="C3" s="2365" t="s">
        <v>2090</v>
      </c>
      <c r="D3" s="2366"/>
      <c r="E3" s="429" t="s">
        <v>2088</v>
      </c>
      <c r="F3" s="2367" t="s">
        <v>2091</v>
      </c>
      <c r="G3" s="2368" t="s">
        <v>2092</v>
      </c>
      <c r="H3" s="2363"/>
      <c r="I3" s="2363"/>
      <c r="J3" s="2363"/>
      <c r="K3" s="2363"/>
      <c r="L3" s="2363"/>
      <c r="M3" s="2363"/>
      <c r="N3" s="2363"/>
      <c r="O3" s="2363"/>
      <c r="P3" s="2363"/>
      <c r="Q3" s="2363"/>
      <c r="R3" s="2363"/>
    </row>
    <row r="4" spans="1:29" ht="41.25">
      <c r="A4" s="429"/>
      <c r="B4" s="1793" t="s">
        <v>2093</v>
      </c>
      <c r="C4" s="2369" t="s">
        <v>2094</v>
      </c>
      <c r="D4" s="2366"/>
      <c r="E4" s="2370"/>
      <c r="F4" s="42" t="s">
        <v>2095</v>
      </c>
      <c r="G4" s="2371" t="s">
        <v>2096</v>
      </c>
      <c r="H4" s="2363"/>
      <c r="I4" s="2363"/>
      <c r="J4" s="2363"/>
      <c r="K4" s="2363"/>
      <c r="L4" s="2363"/>
      <c r="M4" s="2363"/>
      <c r="N4" s="2363"/>
      <c r="O4" s="2363"/>
      <c r="P4" s="2363"/>
      <c r="Q4" s="2363"/>
      <c r="R4" s="2363"/>
    </row>
    <row r="5" spans="1:29" ht="41.25">
      <c r="A5" s="429"/>
      <c r="B5" s="1793" t="s">
        <v>2097</v>
      </c>
      <c r="C5" s="2369" t="s">
        <v>2098</v>
      </c>
      <c r="D5" s="2366"/>
      <c r="E5" s="2370"/>
      <c r="F5" s="1793" t="s">
        <v>2099</v>
      </c>
      <c r="G5" s="2371" t="s">
        <v>2100</v>
      </c>
      <c r="H5" s="2363"/>
      <c r="I5" s="2363"/>
      <c r="J5" s="2363"/>
      <c r="K5" s="2363"/>
      <c r="L5" s="2363"/>
      <c r="M5" s="2363"/>
      <c r="N5" s="2363"/>
      <c r="O5" s="2363"/>
      <c r="P5" s="2363"/>
      <c r="Q5" s="2363"/>
      <c r="R5" s="2363"/>
    </row>
    <row r="6" spans="1:29" ht="54">
      <c r="A6" s="429"/>
      <c r="B6" s="1793" t="s">
        <v>2101</v>
      </c>
      <c r="C6" s="2371" t="s">
        <v>2096</v>
      </c>
      <c r="D6" s="2366"/>
      <c r="E6" s="2370"/>
      <c r="F6" s="1793" t="s">
        <v>2102</v>
      </c>
      <c r="G6" s="2371" t="s">
        <v>2103</v>
      </c>
      <c r="H6" s="2363"/>
      <c r="I6" s="2363"/>
      <c r="J6" s="2363"/>
      <c r="K6" s="2363"/>
      <c r="L6" s="2363"/>
      <c r="M6" s="2363"/>
      <c r="N6" s="2363"/>
      <c r="O6" s="2363"/>
      <c r="P6" s="2363"/>
      <c r="Q6" s="2363"/>
      <c r="R6" s="2363"/>
    </row>
    <row r="7" spans="1:29" ht="41.25" thickBot="1">
      <c r="A7" s="429"/>
      <c r="B7" s="1793" t="s">
        <v>2099</v>
      </c>
      <c r="C7" s="2371" t="s">
        <v>2100</v>
      </c>
      <c r="D7" s="2372"/>
      <c r="E7" s="2373"/>
      <c r="F7" s="2374" t="s">
        <v>2104</v>
      </c>
      <c r="G7" s="2375" t="s">
        <v>2105</v>
      </c>
      <c r="H7" s="2363"/>
      <c r="I7" s="2363"/>
      <c r="J7" s="2363"/>
      <c r="K7" s="2363"/>
      <c r="L7" s="2363"/>
      <c r="M7" s="2363"/>
      <c r="N7" s="2363"/>
      <c r="O7" s="2363"/>
      <c r="P7" s="2363"/>
      <c r="Q7" s="2363"/>
      <c r="R7" s="2363"/>
    </row>
    <row r="8" spans="1:29" ht="27">
      <c r="A8" s="429"/>
      <c r="B8" s="1793" t="s">
        <v>2102</v>
      </c>
      <c r="C8" s="2371" t="s">
        <v>2103</v>
      </c>
      <c r="D8" s="2372"/>
      <c r="E8" s="2372"/>
      <c r="F8" s="1133"/>
      <c r="G8" s="1133"/>
      <c r="H8" s="2363"/>
      <c r="I8" s="2363"/>
      <c r="J8" s="2363"/>
      <c r="K8" s="2363"/>
      <c r="L8" s="2363"/>
      <c r="M8" s="2363"/>
      <c r="N8" s="2363"/>
      <c r="O8" s="2363"/>
      <c r="P8" s="2363"/>
      <c r="Q8" s="2363"/>
      <c r="R8" s="2363"/>
    </row>
    <row r="9" spans="1:29" ht="27">
      <c r="A9" s="429"/>
      <c r="B9" s="1793" t="s">
        <v>2106</v>
      </c>
      <c r="C9" s="2369" t="s">
        <v>2107</v>
      </c>
      <c r="D9" s="2366"/>
      <c r="E9" s="2372"/>
      <c r="F9" s="1133"/>
      <c r="G9" s="1133"/>
      <c r="H9" s="2363"/>
      <c r="I9" s="2363"/>
      <c r="J9" s="2363"/>
      <c r="K9" s="2363"/>
      <c r="L9" s="2363"/>
      <c r="M9" s="2363"/>
      <c r="N9" s="2363"/>
      <c r="O9" s="2363"/>
      <c r="P9" s="2363"/>
      <c r="Q9" s="2363"/>
      <c r="R9" s="2363"/>
    </row>
    <row r="10" spans="1:29" s="115" customFormat="1" ht="15.75" thickBot="1">
      <c r="A10" s="2376"/>
      <c r="B10" s="2377" t="s">
        <v>2108</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2109</v>
      </c>
      <c r="B13" s="2383"/>
      <c r="C13" s="2383"/>
      <c r="D13" s="2390"/>
      <c r="E13" s="2383"/>
      <c r="F13" s="2383"/>
      <c r="G13" s="2383"/>
    </row>
    <row r="14" spans="1:29" ht="15.75" thickBot="1">
      <c r="A14" s="2394"/>
      <c r="B14" s="2395"/>
      <c r="C14" s="2396" t="s">
        <v>2110</v>
      </c>
      <c r="D14" s="2366"/>
      <c r="E14" s="2397"/>
      <c r="F14" s="2397"/>
      <c r="G14" s="2360" t="s">
        <v>2111</v>
      </c>
    </row>
    <row r="15" spans="1:29" ht="57">
      <c r="A15" s="68" t="s">
        <v>2112</v>
      </c>
      <c r="B15" s="1266" t="s">
        <v>2089</v>
      </c>
      <c r="C15" s="2398" t="str">
        <f>C3</f>
        <v>估价对象周边居住用地比例、居住小区规模和社区发展完善程度，综合评价居住社区成熟度一般</v>
      </c>
      <c r="D15" s="2366"/>
      <c r="E15" s="2399" t="s">
        <v>2113</v>
      </c>
      <c r="F15" s="1266" t="s">
        <v>2114</v>
      </c>
      <c r="G15" s="133" t="str">
        <f>G3</f>
        <v>估价对象位于XX开发区，园区建设成熟度XX，产业集聚程度XX</v>
      </c>
    </row>
    <row r="16" spans="1:29" ht="42.75">
      <c r="A16" s="643"/>
      <c r="B16" s="2400" t="s">
        <v>2093</v>
      </c>
      <c r="C16" s="2401" t="str">
        <f>C4</f>
        <v>估价对象位于XX商圈，周边商业氛围成熟，人流量大，商业繁华度好</v>
      </c>
      <c r="D16" s="2366"/>
      <c r="E16" s="2402"/>
      <c r="F16" s="2403" t="s">
        <v>2095</v>
      </c>
      <c r="G16" s="134" t="str">
        <f>G4</f>
        <v>估价对象周边道路状况、公共交通通达情况、停车便捷程度，综合评价交通便捷度较好</v>
      </c>
    </row>
    <row r="17" spans="1:18" ht="42.75">
      <c r="A17" s="643"/>
      <c r="B17" s="2400" t="s">
        <v>2097</v>
      </c>
      <c r="C17" s="2401" t="str">
        <f>C5</f>
        <v>估价对象位于XX商圈，周边办公楼项目较多，入驻率高，办公集聚程度较好</v>
      </c>
      <c r="D17" s="2372"/>
      <c r="E17" s="2402"/>
      <c r="F17" s="2403" t="s">
        <v>2115</v>
      </c>
      <c r="G17" s="1567"/>
    </row>
    <row r="18" spans="1:18" ht="57">
      <c r="A18" s="643"/>
      <c r="B18" s="2403" t="s">
        <v>2101</v>
      </c>
      <c r="C18" s="134" t="str">
        <f>C6</f>
        <v>估价对象周边道路状况、公共交通通达情况、停车便捷程度，综合评价交通便捷度较好</v>
      </c>
      <c r="D18" s="2372"/>
      <c r="E18" s="2402"/>
      <c r="F18" s="2403" t="s">
        <v>2104</v>
      </c>
      <c r="G18" s="134" t="str">
        <f>G7</f>
        <v>该园区内是否有污染型企业，绿化情况，卫生条件，整体环境状况判断</v>
      </c>
    </row>
    <row r="19" spans="1:18" ht="28.5">
      <c r="A19" s="643"/>
      <c r="B19" s="2403" t="s">
        <v>2116</v>
      </c>
      <c r="C19" s="1567"/>
      <c r="D19" s="2366"/>
      <c r="E19" s="2402"/>
      <c r="F19" s="1793" t="s">
        <v>2099</v>
      </c>
      <c r="G19" s="134" t="str">
        <f>G5</f>
        <v>估价对象所在区域公共配套设施齐备情况</v>
      </c>
    </row>
    <row r="20" spans="1:18" ht="28.5">
      <c r="A20" s="643"/>
      <c r="B20" s="2403" t="s">
        <v>2117</v>
      </c>
      <c r="C20" s="2401" t="str">
        <f>C9</f>
        <v>区域自然环境：；人文环境；综合评价环境状况一般</v>
      </c>
      <c r="D20" s="2372"/>
      <c r="E20" s="2402"/>
      <c r="F20" s="1793" t="s">
        <v>2118</v>
      </c>
      <c r="G20" s="134" t="str">
        <f>G6</f>
        <v>估价对象所在区域基础设施水平</v>
      </c>
    </row>
    <row r="21" spans="1:18" ht="28.5">
      <c r="A21" s="643"/>
      <c r="B21" s="1793" t="s">
        <v>2099</v>
      </c>
      <c r="C21" s="134" t="str">
        <f>C7</f>
        <v>估价对象所在区域公共配套设施齐备情况</v>
      </c>
      <c r="D21" s="2366"/>
      <c r="E21" s="2402"/>
      <c r="F21" s="2403" t="s">
        <v>2119</v>
      </c>
      <c r="G21" s="2404"/>
    </row>
    <row r="22" spans="1:18" ht="13.5" customHeight="1">
      <c r="A22" s="643"/>
      <c r="B22" s="1793" t="s">
        <v>2102</v>
      </c>
      <c r="C22" s="134" t="str">
        <f>C8</f>
        <v>估价对象所在区域基础设施水平</v>
      </c>
      <c r="D22" s="2366"/>
      <c r="E22" s="2402"/>
      <c r="F22" s="2403" t="s">
        <v>2108</v>
      </c>
      <c r="G22" s="1567"/>
    </row>
    <row r="23" spans="1:18" s="2363" customFormat="1" ht="15.75" thickBot="1">
      <c r="A23" s="643"/>
      <c r="B23" s="2403" t="s">
        <v>2119</v>
      </c>
      <c r="C23" s="2404"/>
      <c r="D23" s="2391"/>
      <c r="E23" s="2405"/>
      <c r="F23" s="2406" t="s">
        <v>2120</v>
      </c>
      <c r="G23" s="2407"/>
      <c r="H23" s="2391"/>
      <c r="I23" s="2392"/>
      <c r="J23" s="2391"/>
      <c r="K23" s="2391"/>
      <c r="L23" s="2392"/>
      <c r="M23" s="2391"/>
      <c r="N23" s="2391"/>
      <c r="O23" s="2392"/>
      <c r="P23" s="2391"/>
      <c r="Q23" s="2391"/>
      <c r="R23" s="2393"/>
    </row>
    <row r="24" spans="1:18" s="2363" customFormat="1" ht="15.75" thickBot="1">
      <c r="A24" s="2408"/>
      <c r="B24" s="2406" t="s">
        <v>2121</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36" customWidth="1"/>
    <col min="2" max="9" width="15.75" style="1736" customWidth="1"/>
    <col min="10" max="16384" width="9" style="1736"/>
  </cols>
  <sheetData>
    <row r="1" spans="1:10" ht="16.5">
      <c r="A1" s="1741" t="s">
        <v>1365</v>
      </c>
      <c r="B1" s="1741">
        <f>SUM(B14:B23)</f>
        <v>95896.06</v>
      </c>
      <c r="C1" s="1740"/>
      <c r="D1" s="1740"/>
      <c r="E1" s="1740"/>
      <c r="F1" s="1740"/>
      <c r="G1" s="1738"/>
    </row>
    <row r="2" spans="1:10" ht="16.5">
      <c r="A2" s="1741" t="s">
        <v>1353</v>
      </c>
      <c r="B2" s="1741">
        <f>SUM(C14:C23)</f>
        <v>15644.81</v>
      </c>
      <c r="C2" s="1740"/>
      <c r="D2" s="1740"/>
      <c r="E2" s="1740"/>
      <c r="F2" s="1740"/>
      <c r="G2" s="1738"/>
    </row>
    <row r="3" spans="1:10" ht="16.5">
      <c r="A3" s="1741" t="s">
        <v>1362</v>
      </c>
      <c r="B3" s="1742">
        <f>项目基本情况!D3</f>
        <v>43294</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114782</v>
      </c>
      <c r="C5" s="1741">
        <f ca="1">ROUND(B5*10000/$B$1,0)</f>
        <v>11969</v>
      </c>
      <c r="D5" s="1741">
        <f ca="1">ROUND(B5*10000/$B$2,0)</f>
        <v>73367</v>
      </c>
      <c r="E5" s="1740"/>
      <c r="F5" s="1738"/>
      <c r="G5" s="1738"/>
    </row>
    <row r="6" spans="1:10" ht="16.5">
      <c r="A6" s="1741" t="s">
        <v>1356</v>
      </c>
      <c r="B6" s="1741">
        <f ca="1">SUM(G14:G23)</f>
        <v>114782</v>
      </c>
      <c r="C6" s="1741">
        <f ca="1">ROUND(B6*10000/$B$1,0)</f>
        <v>11969</v>
      </c>
      <c r="D6" s="1741">
        <f ca="1">ROUND(B6*10000/$B$2,0)</f>
        <v>73367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95896.06</v>
      </c>
      <c r="C14" s="1739">
        <f>结果表!C118</f>
        <v>15644.81</v>
      </c>
      <c r="D14" s="1739">
        <f ca="1">结果表!H118</f>
        <v>114782</v>
      </c>
      <c r="E14" s="1739">
        <f ca="1">ROUND(D14*10000/B14,0)</f>
        <v>11969</v>
      </c>
      <c r="F14" s="1739">
        <f ca="1">ROUND(D14*10000/C14,0)</f>
        <v>73367</v>
      </c>
      <c r="G14" s="1739">
        <f ca="1">结果表!D122</f>
        <v>114782</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D50" sqref="D50"/>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2122</v>
      </c>
      <c r="B1" s="2414"/>
      <c r="C1" s="2415"/>
      <c r="D1" s="2414"/>
      <c r="E1" s="2414"/>
      <c r="F1" s="2416" t="s">
        <v>2123</v>
      </c>
      <c r="G1" s="2068" t="s">
        <v>2124</v>
      </c>
      <c r="H1" s="2417" t="str">
        <f>IF(G1="现房","——","估价对象范围")</f>
        <v>估价对象范围</v>
      </c>
      <c r="I1" s="2418"/>
    </row>
    <row r="2" spans="1:12" ht="21.75" customHeight="1" thickBot="1">
      <c r="A2" s="3142" t="str">
        <f>项目基本情况!S2</f>
        <v>北京市通州区运河西岸Ⅷ-11地块出让国有建设用地使用权及在建建筑物房地产</v>
      </c>
      <c r="B2" s="3143"/>
      <c r="C2" s="3143"/>
      <c r="D2" s="3143"/>
      <c r="E2" s="3143"/>
      <c r="F2" s="3143"/>
      <c r="G2" s="3143"/>
      <c r="H2" s="3143"/>
      <c r="I2" s="3144"/>
    </row>
    <row r="3" spans="1:12" ht="12.75">
      <c r="A3" s="3145" t="s">
        <v>2125</v>
      </c>
      <c r="B3" s="3146"/>
      <c r="C3" s="3146"/>
      <c r="D3" s="3146"/>
      <c r="E3" s="3146"/>
      <c r="F3" s="3146"/>
      <c r="G3" s="3146"/>
      <c r="H3" s="3146"/>
      <c r="I3" s="3146"/>
    </row>
    <row r="4" spans="1:12" ht="14.25">
      <c r="A4" s="2421" t="s">
        <v>2126</v>
      </c>
      <c r="B4" s="2422" t="s">
        <v>2127</v>
      </c>
      <c r="C4" s="2423" t="s">
        <v>3147</v>
      </c>
      <c r="D4" s="2423" t="s">
        <v>3148</v>
      </c>
      <c r="E4" s="3126" t="s">
        <v>2128</v>
      </c>
      <c r="F4" s="3139"/>
      <c r="G4" s="3139"/>
      <c r="H4" s="3139"/>
      <c r="I4" s="312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2129</v>
      </c>
      <c r="B5" s="3043">
        <v>25</v>
      </c>
      <c r="C5" s="3147"/>
      <c r="D5" s="3135"/>
      <c r="E5" s="138" t="s">
        <v>2130</v>
      </c>
      <c r="F5" s="2425"/>
      <c r="G5" s="2425"/>
      <c r="H5" s="2425"/>
      <c r="I5" s="1829"/>
    </row>
    <row r="6" spans="1:12" ht="12.75">
      <c r="A6" s="3117"/>
      <c r="B6" s="3043"/>
      <c r="C6" s="3149"/>
      <c r="D6" s="3135"/>
      <c r="E6" s="138" t="s">
        <v>2131</v>
      </c>
      <c r="F6" s="2425"/>
      <c r="G6" s="2425"/>
      <c r="H6" s="2425"/>
      <c r="I6" s="1829"/>
    </row>
    <row r="7" spans="1:12" ht="12.75">
      <c r="A7" s="3117"/>
      <c r="B7" s="3043"/>
      <c r="C7" s="3148"/>
      <c r="D7" s="3135"/>
      <c r="E7" s="138" t="s">
        <v>2132</v>
      </c>
      <c r="F7" s="2425"/>
      <c r="G7" s="2425"/>
      <c r="H7" s="2425"/>
      <c r="I7" s="1829"/>
    </row>
    <row r="8" spans="1:12" ht="12.75">
      <c r="A8" s="3117" t="s">
        <v>2133</v>
      </c>
      <c r="B8" s="3043">
        <v>15</v>
      </c>
      <c r="C8" s="3147"/>
      <c r="D8" s="3135"/>
      <c r="E8" s="138" t="s">
        <v>2134</v>
      </c>
      <c r="F8" s="2425"/>
      <c r="G8" s="2425"/>
      <c r="H8" s="2425"/>
      <c r="I8" s="1829"/>
    </row>
    <row r="9" spans="1:12" ht="12.75">
      <c r="A9" s="3117"/>
      <c r="B9" s="3043"/>
      <c r="C9" s="3148"/>
      <c r="D9" s="3135"/>
      <c r="E9" s="138" t="s">
        <v>2135</v>
      </c>
      <c r="F9" s="2425"/>
      <c r="G9" s="2425"/>
      <c r="H9" s="2425"/>
      <c r="I9" s="1829"/>
    </row>
    <row r="10" spans="1:12" ht="12.75">
      <c r="A10" s="3117" t="s">
        <v>2136</v>
      </c>
      <c r="B10" s="3043">
        <v>15</v>
      </c>
      <c r="C10" s="3147"/>
      <c r="D10" s="3135"/>
      <c r="E10" s="138" t="s">
        <v>2137</v>
      </c>
      <c r="F10" s="2425"/>
      <c r="G10" s="2425"/>
      <c r="H10" s="2425"/>
      <c r="I10" s="1829"/>
    </row>
    <row r="11" spans="1:12" ht="12.75">
      <c r="A11" s="3117"/>
      <c r="B11" s="3043"/>
      <c r="C11" s="3148"/>
      <c r="D11" s="3135"/>
      <c r="E11" s="138" t="s">
        <v>2138</v>
      </c>
      <c r="F11" s="2425"/>
      <c r="G11" s="2425"/>
      <c r="H11" s="2425"/>
      <c r="I11" s="1829"/>
    </row>
    <row r="12" spans="1:12" ht="12.75">
      <c r="A12" s="3117" t="s">
        <v>2139</v>
      </c>
      <c r="B12" s="3043">
        <v>15</v>
      </c>
      <c r="C12" s="3147"/>
      <c r="D12" s="3135"/>
      <c r="E12" s="138" t="s">
        <v>2140</v>
      </c>
      <c r="F12" s="2425"/>
      <c r="G12" s="2425"/>
      <c r="H12" s="2425"/>
      <c r="I12" s="1829"/>
    </row>
    <row r="13" spans="1:12" ht="12.75">
      <c r="A13" s="3117"/>
      <c r="B13" s="3043"/>
      <c r="C13" s="3148"/>
      <c r="D13" s="3135"/>
      <c r="E13" s="138" t="s">
        <v>2141</v>
      </c>
      <c r="F13" s="2425"/>
      <c r="G13" s="2425"/>
      <c r="H13" s="2425"/>
      <c r="I13" s="1829"/>
    </row>
    <row r="14" spans="1:12" ht="12.75">
      <c r="A14" s="3117" t="s">
        <v>2142</v>
      </c>
      <c r="B14" s="3043">
        <v>30</v>
      </c>
      <c r="C14" s="3147">
        <v>7</v>
      </c>
      <c r="D14" s="3135">
        <v>3</v>
      </c>
      <c r="E14" s="138" t="s">
        <v>2143</v>
      </c>
      <c r="F14" s="2425"/>
      <c r="G14" s="2425"/>
      <c r="H14" s="2425"/>
      <c r="I14" s="1829"/>
    </row>
    <row r="15" spans="1:12" ht="12.75">
      <c r="A15" s="3117"/>
      <c r="B15" s="3043"/>
      <c r="C15" s="3149"/>
      <c r="D15" s="3135"/>
      <c r="E15" s="138" t="s">
        <v>2144</v>
      </c>
      <c r="F15" s="2425"/>
      <c r="G15" s="2425"/>
      <c r="H15" s="2425"/>
      <c r="I15" s="1829"/>
    </row>
    <row r="16" spans="1:12" ht="12.75">
      <c r="A16" s="3117"/>
      <c r="B16" s="3043"/>
      <c r="C16" s="3148"/>
      <c r="D16" s="3135"/>
      <c r="E16" s="138" t="s">
        <v>2145</v>
      </c>
      <c r="F16" s="2425"/>
      <c r="G16" s="2425"/>
      <c r="H16" s="2425"/>
      <c r="I16" s="1829"/>
    </row>
    <row r="17" spans="1:35" ht="15">
      <c r="A17" s="2426" t="s">
        <v>2146</v>
      </c>
      <c r="B17" s="64"/>
      <c r="C17" s="139">
        <f>SUM(C5:C16)</f>
        <v>7</v>
      </c>
      <c r="D17" s="139">
        <f>SUM(D5:D16)</f>
        <v>3</v>
      </c>
      <c r="E17" s="136"/>
      <c r="F17" s="136"/>
      <c r="G17" s="136"/>
      <c r="H17" s="136"/>
      <c r="I17" s="136"/>
      <c r="K17" s="2424"/>
      <c r="L17" s="2427" t="s">
        <v>2147</v>
      </c>
      <c r="M17" s="2427" t="s">
        <v>2148</v>
      </c>
    </row>
    <row r="18" spans="1:35" ht="15.75" thickBot="1">
      <c r="A18" s="2428" t="s">
        <v>2149</v>
      </c>
      <c r="B18" s="2429"/>
      <c r="C18" s="140">
        <f>ROUND(C17/SUM(C17:D17),2)</f>
        <v>0.7</v>
      </c>
      <c r="D18" s="140">
        <f>1-C18</f>
        <v>0.30000000000000004</v>
      </c>
      <c r="E18" s="136"/>
      <c r="F18" s="136"/>
      <c r="G18" s="136"/>
      <c r="H18" s="136"/>
      <c r="I18" s="136"/>
      <c r="K18" s="2424" t="s">
        <v>2150</v>
      </c>
      <c r="L18" s="2424">
        <f>IF(C1="",'数据-汇总表'!E3,SUMIF(项目类型,C1,'数据-汇总表'!E17:E26)+SUMIF(项目类型,C1,'数据-汇总表'!I17:I26))</f>
        <v>95896.06</v>
      </c>
      <c r="M18" s="2424">
        <f>IF(C1="",'数据-汇总表'!E3,SUMIF(项目类型,C1,'数据-汇总表'!E17:E26))</f>
        <v>95896.06</v>
      </c>
    </row>
    <row r="19" spans="1:35" ht="15">
      <c r="A19" s="2430" t="s">
        <v>2151</v>
      </c>
      <c r="B19" s="2431" t="s">
        <v>2152</v>
      </c>
      <c r="C19" s="141">
        <f ca="1">SUMIF(INDIRECT("'"&amp;C4&amp;"'"&amp;"!A:A"),结果表!B19,INDIRECT("'"&amp;C4&amp;"'"&amp;"!B:B"))</f>
        <v>124795</v>
      </c>
      <c r="D19" s="142">
        <f ca="1">SUMIF(INDIRECT("'"&amp;D4&amp;"'"&amp;"!A:A"),结果表!B19,INDIRECT("'"&amp;D4&amp;"'"&amp;"!B:B"))</f>
        <v>91418</v>
      </c>
      <c r="E19" s="2430" t="s">
        <v>2153</v>
      </c>
      <c r="F19" s="2431" t="s">
        <v>2152</v>
      </c>
      <c r="G19" s="143">
        <f ca="1">ROUND(C19*$C$18+D19*$D$18,0)</f>
        <v>114782</v>
      </c>
      <c r="H19" s="2432" t="s">
        <v>2154</v>
      </c>
      <c r="I19" s="136"/>
      <c r="K19" s="2424" t="s">
        <v>2155</v>
      </c>
      <c r="L19" s="2424">
        <f>IF(C1="",'数据-汇总表'!D3,SUMIF(项目类型,C1,'数据-汇总表'!D17:D26)+SUMIF(项目类型,C1,'数据-汇总表'!H17:H27))</f>
        <v>15644.81</v>
      </c>
      <c r="M19" s="2424">
        <f>IF(C1="",'数据-汇总表'!D3,SUMIF(项目类型,C1,'数据-汇总表'!D17:D26))</f>
        <v>15644.81</v>
      </c>
    </row>
    <row r="20" spans="1:35" ht="15">
      <c r="A20" s="2433"/>
      <c r="B20" s="1247" t="s">
        <v>2156</v>
      </c>
      <c r="C20" s="144">
        <f ca="1">SUMIF(INDIRECT("'"&amp;C4&amp;"'"&amp;"!A:A"),结果表!B20,INDIRECT("'"&amp;C4&amp;"'"&amp;"!B:B"))</f>
        <v>13014</v>
      </c>
      <c r="D20" s="145">
        <f ca="1">SUMIF(INDIRECT("'"&amp;D4&amp;"'"&amp;"!A:A"),结果表!B20,INDIRECT("'"&amp;D4&amp;"'"&amp;"!B:B"))</f>
        <v>9533</v>
      </c>
      <c r="E20" s="2433"/>
      <c r="F20" s="1247" t="s">
        <v>2156</v>
      </c>
      <c r="G20" s="146">
        <f ca="1">ROUND(C20*$C$18+D20*$D$18,0)</f>
        <v>11970</v>
      </c>
      <c r="H20" s="980" t="s">
        <v>2157</v>
      </c>
      <c r="I20" s="136"/>
    </row>
    <row r="21" spans="1:35" ht="15" customHeight="1" thickBot="1">
      <c r="A21" s="1000"/>
      <c r="B21" s="2434" t="s">
        <v>2158</v>
      </c>
      <c r="C21" s="787">
        <f ca="1">ROUND(C19*10000/L19,0)</f>
        <v>79768</v>
      </c>
      <c r="D21" s="788">
        <f ca="1">ROUND(D19*10000/L19,0)</f>
        <v>58433</v>
      </c>
      <c r="E21" s="1000"/>
      <c r="F21" s="2434" t="s">
        <v>2158</v>
      </c>
      <c r="G21" s="147">
        <f ca="1">ROUND(G19*10000/L19,0)</f>
        <v>73367</v>
      </c>
      <c r="H21" s="2435" t="s">
        <v>2157</v>
      </c>
      <c r="I21" s="136"/>
    </row>
    <row r="22" spans="1:35" ht="15" thickBot="1">
      <c r="A22" s="2277" t="s">
        <v>2159</v>
      </c>
      <c r="B22" s="2436"/>
      <c r="C22" s="2437"/>
      <c r="D22" s="789">
        <f ca="1">IF(C19&lt;D19,D19/C19-1,C19/D19-1)</f>
        <v>0.36510315255201387</v>
      </c>
      <c r="E22" s="136"/>
      <c r="F22" s="136"/>
      <c r="G22" s="136"/>
      <c r="H22" s="136"/>
      <c r="I22" s="136"/>
    </row>
    <row r="23" spans="1:35" ht="13.5" thickBot="1">
      <c r="A23" s="2414"/>
      <c r="B23" s="2414"/>
      <c r="C23" s="2414"/>
      <c r="D23" s="2414"/>
      <c r="E23" s="136"/>
      <c r="F23" s="136"/>
      <c r="G23" s="136"/>
      <c r="H23" s="136"/>
      <c r="I23" s="136"/>
    </row>
    <row r="24" spans="1:35" ht="14.25">
      <c r="A24" s="3156" t="s">
        <v>2160</v>
      </c>
      <c r="B24" s="2431" t="s">
        <v>2152</v>
      </c>
      <c r="C24" s="143">
        <f>IF(B30=0,0,D30)</f>
        <v>0</v>
      </c>
      <c r="D24" s="2438"/>
      <c r="E24" s="136"/>
      <c r="F24" s="136"/>
      <c r="G24" s="136"/>
      <c r="H24" s="136"/>
      <c r="I24" s="136"/>
    </row>
    <row r="25" spans="1:35" ht="14.25">
      <c r="A25" s="3157"/>
      <c r="B25" s="1247" t="s">
        <v>2156</v>
      </c>
      <c r="C25" s="148">
        <f>IF(B30=0,0,C30)</f>
        <v>0</v>
      </c>
      <c r="D25" s="2439"/>
      <c r="E25" s="136"/>
      <c r="F25" s="136"/>
      <c r="G25" s="136"/>
      <c r="H25" s="136"/>
      <c r="I25" s="136"/>
    </row>
    <row r="26" spans="1:35" ht="13.5" customHeight="1">
      <c r="A26" s="2440" t="s">
        <v>2161</v>
      </c>
      <c r="B26" s="149" t="s">
        <v>2162</v>
      </c>
      <c r="C26" s="149" t="s">
        <v>2163</v>
      </c>
      <c r="D26" s="150" t="s">
        <v>2164</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2165</v>
      </c>
      <c r="B30" s="149"/>
      <c r="C30" s="149"/>
      <c r="D30" s="149"/>
      <c r="E30" s="2923" t="s">
        <v>3037</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2166</v>
      </c>
      <c r="B32" s="2444"/>
      <c r="C32" s="151">
        <f ca="1">IF(D32="总价",G19-C24,G20-C25)</f>
        <v>114782</v>
      </c>
      <c r="D32" s="2445" t="s">
        <v>2167</v>
      </c>
      <c r="E32" s="136"/>
      <c r="F32" s="136"/>
      <c r="G32" s="136"/>
      <c r="H32" s="136"/>
      <c r="I32" s="136"/>
    </row>
    <row r="33" spans="1:15" ht="15">
      <c r="A33" s="957" t="s">
        <v>2168</v>
      </c>
      <c r="B33" s="2446"/>
      <c r="C33" s="2447" t="s">
        <v>3169</v>
      </c>
      <c r="D33" s="2448" t="s">
        <v>3147</v>
      </c>
      <c r="E33" s="2449" t="s">
        <v>2169</v>
      </c>
      <c r="F33" s="2450" t="str">
        <f>IF(D32="楼面单价","取值（单价）","取值（总价）")</f>
        <v>取值（总价）</v>
      </c>
      <c r="G33" s="136"/>
      <c r="H33" s="136"/>
      <c r="I33" s="136"/>
    </row>
    <row r="34" spans="1:15" ht="15">
      <c r="A34" s="2451"/>
      <c r="B34" s="2452" t="s">
        <v>2170</v>
      </c>
      <c r="C34" s="155">
        <f ca="1">IF(C33="自定义",F34,C32-C35)</f>
        <v>102271</v>
      </c>
      <c r="D34" s="1055">
        <f ca="1">IF(C33="自定义",ROUND(C34/C32,3),IF(C33="收益比率",SUMIF(INDIRECT("'"&amp;D33&amp;"'"&amp;"!b:b"),"土地收益比率",INDIRECT("'"&amp;D33&amp;"'"&amp;"!c:c")),SUMIF(INDIRECT("'"&amp;D33&amp;"'"&amp;"!b:b"),"土地成本比率",INDIRECT("'"&amp;D33&amp;"'"&amp;"!c:c"))))</f>
        <v>0.89100000000000001</v>
      </c>
      <c r="E34" s="2453" t="s">
        <v>2171</v>
      </c>
      <c r="F34" s="1734"/>
      <c r="G34" s="136"/>
      <c r="H34" s="136"/>
      <c r="I34" s="136"/>
    </row>
    <row r="35" spans="1:15" ht="15.75" thickBot="1">
      <c r="A35" s="2454"/>
      <c r="B35" s="2455" t="s">
        <v>2172</v>
      </c>
      <c r="C35" s="1440">
        <f ca="1">IF(C33="自定义",F35,ROUND(C32*D35,0))</f>
        <v>12511</v>
      </c>
      <c r="D35" s="1441">
        <f ca="1">IF(C33="自定义",ROUND(C35/C32,3),IF(C33="收益比率",SUMIF(INDIRECT("'"&amp;D33&amp;"'"&amp;"!b:b"),"建筑物收益比率",INDIRECT("'"&amp;D33&amp;"'"&amp;"!c:c")),SUMIF(INDIRECT("'"&amp;D33&amp;"'"&amp;"!b:b"),"建筑物成本比率",INDIRECT("'"&amp;D33&amp;"'"&amp;"!c:c"))))</f>
        <v>0.109</v>
      </c>
      <c r="E35" s="2456" t="s">
        <v>2173</v>
      </c>
      <c r="F35" s="161"/>
      <c r="G35" s="136"/>
      <c r="H35" s="136"/>
      <c r="I35" s="136"/>
    </row>
    <row r="36" spans="1:15" ht="15.75" thickBot="1">
      <c r="A36" s="3136" t="s">
        <v>2174</v>
      </c>
      <c r="B36" s="2457" t="s">
        <v>2175</v>
      </c>
      <c r="C36" s="152"/>
      <c r="D36" s="2458"/>
      <c r="E36" s="2459"/>
      <c r="F36" s="2460"/>
      <c r="G36" s="136"/>
      <c r="H36" s="136"/>
      <c r="I36" s="136"/>
    </row>
    <row r="37" spans="1:15" ht="15.75" thickBot="1">
      <c r="A37" s="3137"/>
      <c r="B37" s="2263" t="s">
        <v>2176</v>
      </c>
      <c r="C37" s="154"/>
      <c r="D37" s="1391"/>
      <c r="E37" s="1391"/>
      <c r="F37" s="2460"/>
      <c r="G37" s="136"/>
      <c r="H37" s="136"/>
      <c r="I37" s="136"/>
    </row>
    <row r="38" spans="1:15" ht="15.75" thickBot="1">
      <c r="A38" s="3138"/>
      <c r="B38" s="2461" t="s">
        <v>2177</v>
      </c>
      <c r="C38" s="725"/>
      <c r="D38" s="2462" t="s">
        <v>2178</v>
      </c>
      <c r="E38" s="1391"/>
      <c r="F38" s="2460"/>
      <c r="G38" s="136"/>
      <c r="H38" s="136"/>
      <c r="I38" s="136"/>
    </row>
    <row r="39" spans="1:15" ht="15">
      <c r="A39" s="2433" t="s">
        <v>2179</v>
      </c>
      <c r="B39" s="2463" t="s">
        <v>2180</v>
      </c>
      <c r="C39" s="2464" t="s">
        <v>2181</v>
      </c>
      <c r="D39" s="2464" t="s">
        <v>2182</v>
      </c>
      <c r="E39" s="2465" t="s">
        <v>2183</v>
      </c>
      <c r="F39" s="2460"/>
      <c r="G39" s="136"/>
      <c r="H39" s="136"/>
      <c r="I39" s="136"/>
    </row>
    <row r="40" spans="1:15" ht="14.25">
      <c r="A40" s="2466" t="s">
        <v>2184</v>
      </c>
      <c r="B40" s="156"/>
      <c r="C40" s="157"/>
      <c r="D40" s="157"/>
      <c r="E40" s="158"/>
      <c r="F40" s="2460"/>
      <c r="G40" s="136"/>
      <c r="H40" s="136"/>
      <c r="I40" s="136"/>
    </row>
    <row r="41" spans="1:15" ht="14.25">
      <c r="A41" s="2466" t="s">
        <v>2185</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2"/>
      <c r="B43" s="2162"/>
      <c r="C43" s="2162"/>
      <c r="D43" s="2162"/>
      <c r="E43" s="2162"/>
      <c r="F43" s="2468"/>
      <c r="G43" s="2468"/>
      <c r="H43" s="2468"/>
      <c r="I43" s="2469"/>
    </row>
    <row r="44" spans="1:15" ht="18.75">
      <c r="A44" s="2470" t="s">
        <v>2186</v>
      </c>
      <c r="B44" s="2471"/>
      <c r="C44" s="2471"/>
      <c r="D44" s="2472"/>
      <c r="E44" s="2472"/>
      <c r="F44" s="2473"/>
      <c r="G44" s="2473"/>
      <c r="H44" s="2473"/>
      <c r="I44" s="2473"/>
      <c r="J44" s="2474" t="s">
        <v>2187</v>
      </c>
      <c r="K44" s="2475"/>
      <c r="L44" s="2475"/>
      <c r="M44" s="2475"/>
      <c r="N44" s="2475"/>
      <c r="O44" s="2475"/>
    </row>
    <row r="45" spans="1:15" ht="14.25" customHeight="1" thickBot="1">
      <c r="A45" s="3153" t="s">
        <v>2188</v>
      </c>
      <c r="B45" s="3154"/>
      <c r="C45" s="3155"/>
      <c r="D45" s="162">
        <f ca="1">ROUND(H101*F45,0)</f>
        <v>114782</v>
      </c>
      <c r="E45" s="163" t="s">
        <v>2189</v>
      </c>
      <c r="F45" s="164">
        <v>1</v>
      </c>
      <c r="G45" s="165" t="s">
        <v>2190</v>
      </c>
      <c r="H45" s="136"/>
      <c r="I45" s="136"/>
      <c r="J45" s="3072" t="s">
        <v>2191</v>
      </c>
      <c r="K45" s="3072"/>
      <c r="L45" s="3072"/>
      <c r="M45" s="3072"/>
      <c r="N45" s="3072"/>
      <c r="O45" s="3072"/>
    </row>
    <row r="46" spans="1:15" ht="14.25" customHeight="1">
      <c r="A46" s="3150" t="s">
        <v>2192</v>
      </c>
      <c r="B46" s="3151"/>
      <c r="C46" s="3151"/>
      <c r="D46" s="3151"/>
      <c r="E46" s="3151"/>
      <c r="F46" s="3151"/>
      <c r="G46" s="3152"/>
      <c r="H46" s="2476"/>
      <c r="I46" s="166"/>
      <c r="J46" s="1807">
        <v>1</v>
      </c>
      <c r="K46" s="3072" t="s">
        <v>2193</v>
      </c>
      <c r="L46" s="3072"/>
      <c r="M46" s="3073"/>
      <c r="N46" s="3073"/>
      <c r="O46" s="3073"/>
    </row>
    <row r="47" spans="1:15" ht="12" customHeight="1">
      <c r="A47" s="167" t="s">
        <v>2194</v>
      </c>
      <c r="B47" s="168"/>
      <c r="C47" s="169"/>
      <c r="D47" s="170" t="s">
        <v>2195</v>
      </c>
      <c r="E47" s="24" t="s">
        <v>2196</v>
      </c>
      <c r="F47" s="171" t="s">
        <v>2197</v>
      </c>
      <c r="G47" s="172" t="s">
        <v>2198</v>
      </c>
      <c r="H47" s="2476"/>
      <c r="I47" s="166"/>
      <c r="J47" s="1807">
        <v>2</v>
      </c>
      <c r="K47" s="3072" t="s">
        <v>2199</v>
      </c>
      <c r="L47" s="3072"/>
      <c r="M47" s="3074">
        <f>'数据-取费表'!B2</f>
        <v>43294</v>
      </c>
      <c r="N47" s="3074"/>
      <c r="O47" s="3074"/>
    </row>
    <row r="48" spans="1:15" ht="25.5">
      <c r="A48" s="3140" t="s">
        <v>2200</v>
      </c>
      <c r="B48" s="3141"/>
      <c r="C48" s="3141"/>
      <c r="D48" s="138">
        <f>IF(H48="情况1",0,IF(H48="情况2",D52,IF(H48="情况3",D53,IF(H48="情况4",D54))))</f>
        <v>0</v>
      </c>
      <c r="E48" s="1796" t="str">
        <f>IF(H48="情况4","(销售额-原购置价)×税（费）率","销售额×税（费）率")</f>
        <v>销售额×税（费）率</v>
      </c>
      <c r="F48" s="173" t="str">
        <f>IF(H48="情况1","免征",'数据-取费表'!B41)</f>
        <v>免征</v>
      </c>
      <c r="G48" s="2477" t="s">
        <v>2201</v>
      </c>
      <c r="H48" s="2478" t="s">
        <v>2202</v>
      </c>
      <c r="I48" s="2476"/>
      <c r="J48" s="1807">
        <v>3</v>
      </c>
      <c r="K48" s="3072" t="s">
        <v>2203</v>
      </c>
      <c r="L48" s="3072"/>
      <c r="M48" s="3075">
        <f ca="1">H101</f>
        <v>114782</v>
      </c>
      <c r="N48" s="3075"/>
      <c r="O48" s="3075"/>
    </row>
    <row r="49" spans="1:35" ht="25.5" customHeight="1">
      <c r="A49" s="174" t="s">
        <v>2204</v>
      </c>
      <c r="B49" s="3120" t="s">
        <v>2205</v>
      </c>
      <c r="C49" s="3120"/>
      <c r="D49" s="175">
        <v>0</v>
      </c>
      <c r="E49" s="23" t="s">
        <v>2206</v>
      </c>
      <c r="F49" s="28" t="s">
        <v>34</v>
      </c>
      <c r="G49" s="3101"/>
      <c r="H49" s="136"/>
      <c r="I49" s="2479"/>
      <c r="J49" s="1807">
        <v>4</v>
      </c>
      <c r="K49" s="3072" t="str">
        <f>IF(项目基本情况!E8="房地产抵押价值","房地产抵押价值","抵押担保权已注销时的房地产抵押价值")</f>
        <v>房地产抵押价值</v>
      </c>
      <c r="L49" s="3072"/>
      <c r="M49" s="3075">
        <f ca="1">IF(项目基本情况!E8="房地产抵押价值",H107,H109)</f>
        <v>114782</v>
      </c>
      <c r="N49" s="3075"/>
      <c r="O49" s="3075"/>
    </row>
    <row r="50" spans="1:35" ht="25.5" customHeight="1">
      <c r="A50" s="176"/>
      <c r="B50" s="3120" t="s">
        <v>2207</v>
      </c>
      <c r="C50" s="3120"/>
      <c r="D50" s="177"/>
      <c r="E50" s="31"/>
      <c r="F50" s="178"/>
      <c r="G50" s="3102"/>
      <c r="H50" s="136"/>
      <c r="I50" s="2479"/>
      <c r="J50" s="3072" t="s">
        <v>2208</v>
      </c>
      <c r="K50" s="3072"/>
      <c r="L50" s="3072"/>
      <c r="M50" s="3072"/>
      <c r="N50" s="3072"/>
      <c r="O50" s="3072"/>
    </row>
    <row r="51" spans="1:35" ht="12" customHeight="1">
      <c r="A51" s="179"/>
      <c r="B51" s="3120" t="s">
        <v>2209</v>
      </c>
      <c r="C51" s="3120"/>
      <c r="D51" s="180"/>
      <c r="E51" s="30"/>
      <c r="F51" s="178"/>
      <c r="G51" s="3103"/>
      <c r="H51" s="136"/>
      <c r="I51" s="2479"/>
      <c r="J51" s="2480" t="s">
        <v>2210</v>
      </c>
      <c r="K51" s="3072" t="s">
        <v>2211</v>
      </c>
      <c r="L51" s="3072"/>
      <c r="M51" s="2480" t="s">
        <v>2212</v>
      </c>
      <c r="N51" s="2480" t="s">
        <v>2213</v>
      </c>
      <c r="O51" s="2480" t="s">
        <v>2214</v>
      </c>
    </row>
    <row r="52" spans="1:35" ht="24" customHeight="1">
      <c r="A52" s="181" t="s">
        <v>2215</v>
      </c>
      <c r="B52" s="3120" t="s">
        <v>2216</v>
      </c>
      <c r="C52" s="3120"/>
      <c r="D52" s="180">
        <f ca="1">ROUND(D45*'数据-取费表'!B41/(1+'数据-取费表'!C42),0)</f>
        <v>6012</v>
      </c>
      <c r="E52" s="11" t="s">
        <v>2217</v>
      </c>
      <c r="F52" s="182">
        <f>'数据-取费表'!B41</f>
        <v>5.5000000000000007E-2</v>
      </c>
      <c r="G52" s="2481"/>
      <c r="H52" s="136"/>
      <c r="I52" s="2479"/>
      <c r="J52" s="1807">
        <v>1</v>
      </c>
      <c r="K52" s="3095" t="s">
        <v>2218</v>
      </c>
      <c r="L52" s="3095"/>
      <c r="M52" s="1749">
        <f>D48</f>
        <v>0</v>
      </c>
      <c r="N52" s="1807" t="str">
        <f>E48</f>
        <v>销售额×税（费）率</v>
      </c>
      <c r="O52" s="1750" t="str">
        <f>F48</f>
        <v>免征</v>
      </c>
    </row>
    <row r="53" spans="1:35" ht="12" customHeight="1">
      <c r="A53" s="181" t="s">
        <v>2219</v>
      </c>
      <c r="B53" s="3121" t="s">
        <v>2220</v>
      </c>
      <c r="C53" s="3122"/>
      <c r="D53" s="180">
        <f ca="1">ROUND(D45*'数据-取费表'!B41/(1+'数据-取费表'!C42),0)</f>
        <v>6012</v>
      </c>
      <c r="E53" s="11" t="s">
        <v>2217</v>
      </c>
      <c r="F53" s="182">
        <f>'数据-取费表'!B41</f>
        <v>5.5000000000000007E-2</v>
      </c>
      <c r="G53" s="2481"/>
      <c r="H53" s="136"/>
      <c r="I53" s="2479"/>
      <c r="J53" s="1807">
        <v>2</v>
      </c>
      <c r="K53" s="3095" t="s">
        <v>2221</v>
      </c>
      <c r="L53" s="3095"/>
      <c r="M53" s="1749">
        <f t="shared" ref="M53:O54" ca="1" si="0">D55</f>
        <v>57</v>
      </c>
      <c r="N53" s="1807" t="str">
        <f t="shared" si="0"/>
        <v>销售额×税（费）率</v>
      </c>
      <c r="O53" s="1750">
        <f t="shared" si="0"/>
        <v>5.0000000000000001E-4</v>
      </c>
    </row>
    <row r="54" spans="1:35" ht="12" customHeight="1">
      <c r="A54" s="181" t="s">
        <v>2222</v>
      </c>
      <c r="B54" s="3121" t="s">
        <v>2223</v>
      </c>
      <c r="C54" s="3122"/>
      <c r="D54" s="180">
        <f ca="1">C68</f>
        <v>6012</v>
      </c>
      <c r="E54" s="30" t="s">
        <v>2224</v>
      </c>
      <c r="F54" s="182">
        <f>'数据-取费表'!B41</f>
        <v>5.5000000000000007E-2</v>
      </c>
      <c r="G54" s="2481"/>
      <c r="H54" s="2482"/>
      <c r="I54" s="2479"/>
      <c r="J54" s="1807">
        <v>3</v>
      </c>
      <c r="K54" s="3095" t="s">
        <v>2225</v>
      </c>
      <c r="L54" s="3095"/>
      <c r="M54" s="1749">
        <f t="shared" ca="1" si="0"/>
        <v>65070</v>
      </c>
      <c r="N54" s="1807" t="str">
        <f t="shared" si="0"/>
        <v>增值额×税（费）率</v>
      </c>
      <c r="O54" s="1751" t="str">
        <f t="shared" si="0"/>
        <v>——</v>
      </c>
    </row>
    <row r="55" spans="1:35" ht="24" customHeight="1">
      <c r="A55" s="3159" t="s">
        <v>2226</v>
      </c>
      <c r="B55" s="3141"/>
      <c r="C55" s="3141"/>
      <c r="D55" s="183">
        <f ca="1">IF(H55="个人住宅",0,ROUND(D45*I55,0))</f>
        <v>57</v>
      </c>
      <c r="E55" s="11" t="s">
        <v>2227</v>
      </c>
      <c r="F55" s="182">
        <f>IF(H55="正常",I55,"免征")</f>
        <v>5.0000000000000001E-4</v>
      </c>
      <c r="G55" s="2481"/>
      <c r="H55" s="2478" t="s">
        <v>2228</v>
      </c>
      <c r="I55" s="184">
        <f>'数据-取费表'!B49</f>
        <v>5.0000000000000001E-4</v>
      </c>
      <c r="J55" s="1807" t="str">
        <f>IF(H59="非个人房产","",4)</f>
        <v/>
      </c>
      <c r="K55" s="3095" t="str">
        <f>IF(H59="非个人房产","——","个人所得税")</f>
        <v>——</v>
      </c>
      <c r="L55" s="3095"/>
      <c r="M55" s="1752" t="str">
        <f>D59</f>
        <v>——</v>
      </c>
      <c r="N55" s="1805" t="str">
        <f>E59</f>
        <v>——</v>
      </c>
      <c r="O55" s="1753" t="str">
        <f>F59</f>
        <v>——</v>
      </c>
    </row>
    <row r="56" spans="1:35" ht="24.75">
      <c r="A56" s="3159" t="s">
        <v>2229</v>
      </c>
      <c r="B56" s="3141"/>
      <c r="C56" s="3141"/>
      <c r="D56" s="183">
        <f ca="1">IF(H56="个人住宅",D57,D58)</f>
        <v>65070</v>
      </c>
      <c r="E56" s="11" t="s">
        <v>2230</v>
      </c>
      <c r="F56" s="182" t="str">
        <f>IF(H56="正常",F58,"免征")</f>
        <v>——</v>
      </c>
      <c r="G56" s="2483" t="s">
        <v>2231</v>
      </c>
      <c r="H56" s="2484" t="s">
        <v>2228</v>
      </c>
      <c r="I56" s="2485"/>
      <c r="J56" s="1807" t="str">
        <f>IF(项目基本情况!K6="上海银行",IF(J55="",4,J55+1),"")</f>
        <v/>
      </c>
      <c r="K56" s="3078" t="str">
        <f>IF(项目基本情况!K6="上海银行","其他处置费用","")</f>
        <v/>
      </c>
      <c r="L56" s="3079"/>
      <c r="M56" s="1749" t="str">
        <f>IF(项目基本情况!K6="上海银行",M69,"")</f>
        <v/>
      </c>
      <c r="N56" s="3081" t="str">
        <f>IF(项目基本情况!K6="上海银行","包含处置中涉及的律师、诉讼、拍卖、评估等费用","")</f>
        <v/>
      </c>
      <c r="O56" s="3082"/>
    </row>
    <row r="57" spans="1:35" ht="12.75">
      <c r="A57" s="181" t="s">
        <v>2204</v>
      </c>
      <c r="B57" s="3126" t="s">
        <v>2232</v>
      </c>
      <c r="C57" s="3127"/>
      <c r="D57" s="185">
        <v>0</v>
      </c>
      <c r="E57" s="23" t="s">
        <v>2206</v>
      </c>
      <c r="F57" s="153"/>
      <c r="G57" s="2481"/>
      <c r="H57" s="2485"/>
      <c r="I57" s="2485"/>
      <c r="J57" s="3095">
        <f>IF(AND(J55="",J56=""),4,IF(项目基本情况!K6="上海银行",结果表!J56+1,结果表!J55+1))</f>
        <v>4</v>
      </c>
      <c r="K57" s="3095" t="s">
        <v>2233</v>
      </c>
      <c r="L57" s="2486" t="s">
        <v>2234</v>
      </c>
      <c r="M57" s="1754"/>
      <c r="N57" s="1755">
        <f ca="1">SUMIF(M52:M56,"&lt;9e307")</f>
        <v>65127</v>
      </c>
      <c r="O57" s="2487"/>
      <c r="P57" s="1748">
        <f ca="1">N57/M49</f>
        <v>0.56739732710703772</v>
      </c>
    </row>
    <row r="58" spans="1:35" ht="24.75">
      <c r="A58" s="181" t="s">
        <v>2215</v>
      </c>
      <c r="B58" s="3126" t="s">
        <v>2235</v>
      </c>
      <c r="C58" s="3139"/>
      <c r="D58" s="183">
        <f ca="1">IF(H58="转让取得",C81,C97)</f>
        <v>65070</v>
      </c>
      <c r="E58" s="11" t="s">
        <v>2230</v>
      </c>
      <c r="F58" s="24" t="s">
        <v>34</v>
      </c>
      <c r="G58" s="2481"/>
      <c r="H58" s="2484" t="s">
        <v>2236</v>
      </c>
      <c r="I58" s="2485"/>
      <c r="J58" s="3095"/>
      <c r="K58" s="3095"/>
      <c r="L58" s="2486" t="s">
        <v>2237</v>
      </c>
      <c r="M58" s="1756"/>
      <c r="N58" s="2488" t="str">
        <f ca="1">NUMBERSTRING(INT(N57*10000),2)&amp;"元整"</f>
        <v>陆亿伍仟壹佰贰拾柒万元整</v>
      </c>
      <c r="O58" s="2489"/>
    </row>
    <row r="59" spans="1:35" ht="24.75" thickBot="1">
      <c r="A59" s="3099" t="s">
        <v>2238</v>
      </c>
      <c r="B59" s="3100"/>
      <c r="C59" s="3100"/>
      <c r="D59" s="186" t="str">
        <f>IF(H59="非个人房产","——",IF(H59="个人住宅",0,ROUND(D45*I59,0)))</f>
        <v>——</v>
      </c>
      <c r="E59" s="187" t="str">
        <f>IF(H59="非个人房产","——","销售额×税（费）率")</f>
        <v>——</v>
      </c>
      <c r="F59" s="188" t="str">
        <f>IF(H59="非个人房产","——",IF(H59="个人住宅","免征",I59))</f>
        <v>——</v>
      </c>
      <c r="G59" s="2490" t="s">
        <v>2231</v>
      </c>
      <c r="H59" s="2484" t="s">
        <v>2239</v>
      </c>
      <c r="I59" s="189">
        <v>0.01</v>
      </c>
      <c r="J59" s="3097">
        <f>J57+1</f>
        <v>5</v>
      </c>
      <c r="K59" s="3095" t="s">
        <v>2240</v>
      </c>
      <c r="L59" s="1807" t="s">
        <v>2234</v>
      </c>
      <c r="M59" s="1757"/>
      <c r="N59" s="1758">
        <f ca="1">M49-N57</f>
        <v>49655</v>
      </c>
      <c r="O59" s="2491"/>
    </row>
    <row r="60" spans="1:35" ht="12" customHeight="1">
      <c r="A60" s="2492"/>
      <c r="B60" s="2414"/>
      <c r="C60" s="2414"/>
      <c r="D60" s="2414"/>
      <c r="E60" s="2163"/>
      <c r="F60" s="2485"/>
      <c r="G60" s="2485"/>
      <c r="H60" s="2493"/>
      <c r="I60" s="136"/>
      <c r="J60" s="3098"/>
      <c r="K60" s="3095"/>
      <c r="L60" s="2486" t="s">
        <v>2237</v>
      </c>
      <c r="M60" s="1756"/>
      <c r="N60" s="2488" t="str">
        <f ca="1">NUMBERSTRING(INT(N59*10000),2)&amp;"元整"</f>
        <v>肆亿玖仟陆佰伍拾伍万元整</v>
      </c>
      <c r="O60" s="2489"/>
    </row>
    <row r="61" spans="1:35" ht="13.5" thickBot="1">
      <c r="A61" s="3158" t="s">
        <v>2241</v>
      </c>
      <c r="B61" s="3158"/>
      <c r="C61" s="3158"/>
      <c r="D61" s="3158"/>
      <c r="E61" s="3158"/>
      <c r="F61" s="2485"/>
      <c r="G61" s="2485"/>
      <c r="H61" s="2493"/>
      <c r="I61" s="136"/>
      <c r="J61" s="1807">
        <f>J59+1</f>
        <v>6</v>
      </c>
      <c r="K61" s="3095" t="s">
        <v>2242</v>
      </c>
      <c r="L61" s="3095"/>
      <c r="M61" s="1759"/>
      <c r="N61" s="1760">
        <f ca="1">ROUND(N59*10000/'数据-汇总表'!E3,0)</f>
        <v>5178</v>
      </c>
      <c r="O61" s="2494"/>
    </row>
    <row r="62" spans="1:35" ht="12.75">
      <c r="A62" s="3115" t="s">
        <v>2243</v>
      </c>
      <c r="B62" s="3116"/>
      <c r="C62" s="1799"/>
      <c r="D62" s="1799" t="s">
        <v>2244</v>
      </c>
      <c r="E62" s="190" t="s">
        <v>2245</v>
      </c>
      <c r="F62" s="2485"/>
      <c r="G62" s="2485"/>
      <c r="H62" s="2493"/>
      <c r="I62" s="136"/>
    </row>
    <row r="63" spans="1:35" ht="12.75">
      <c r="A63" s="201" t="s">
        <v>775</v>
      </c>
      <c r="B63" s="191" t="s">
        <v>2246</v>
      </c>
      <c r="C63" s="192">
        <f ca="1">ROUND((C64+C65)/(1+'数据-取费表'!C42),0)</f>
        <v>109316</v>
      </c>
      <c r="D63" s="193"/>
      <c r="E63" s="194"/>
      <c r="F63" s="2485"/>
      <c r="G63" s="2485"/>
      <c r="H63" s="2493"/>
      <c r="I63" s="136"/>
      <c r="J63" s="3080" t="s">
        <v>2247</v>
      </c>
      <c r="K63" s="2495" t="s">
        <v>2248</v>
      </c>
      <c r="L63" s="1747">
        <f ca="1">IF(M49&gt;10000,M49*0.5%,IF(AND(M49&gt;1000,M49&lt;=10000),M49*1%,IF(AND(M49&gt;100,M49&lt;=1000),M49*3%,IF(AND(M49&gt;10,M49&lt;=100),M49*5%,M49*8%))))</f>
        <v>573.91</v>
      </c>
      <c r="M63" s="24">
        <f ca="1">ROUND(L63,1)</f>
        <v>573.9</v>
      </c>
      <c r="Z63" s="2419"/>
      <c r="AI63" s="2420"/>
    </row>
    <row r="64" spans="1:35" ht="14.25" customHeight="1">
      <c r="A64" s="195" t="s">
        <v>770</v>
      </c>
      <c r="B64" s="196" t="s">
        <v>2249</v>
      </c>
      <c r="C64" s="197">
        <f ca="1">D45</f>
        <v>114782</v>
      </c>
      <c r="D64" s="198" t="s">
        <v>32</v>
      </c>
      <c r="E64" s="199"/>
      <c r="F64" s="2485"/>
      <c r="G64" s="2485"/>
      <c r="H64" s="2493"/>
      <c r="I64" s="136"/>
      <c r="J64" s="3080"/>
      <c r="K64" s="2495" t="s">
        <v>2250</v>
      </c>
      <c r="L64" s="1747">
        <f ca="1">IF(M49&gt;2000,M49*0.5%,IF(AND(M49&gt;1000,M49&lt;=2000),M49*0.6%,IF(AND(M49&gt;500,M49&lt;=1000),M49*0.7%,IF(AND(M49&gt;200,M49&lt;=500),M49*0.8%,IF(AND(M49&gt;100,M49&lt;=200),M49*0.9%,IF(AND(M49&gt;50,M49&lt;=100),M49*1%,IF(AND(M49&gt;20,M49&lt;=50),M49*1.5%,IF(AND(M49&gt;10,M49&lt;=20),M49*2%,IF(AND(M49&gt;1,M49&lt;=10),M49*2.5%)))))))))</f>
        <v>573.91</v>
      </c>
      <c r="M64" s="24">
        <f t="shared" ref="M64:M65" ca="1" si="1">ROUND(L64,1)</f>
        <v>573.9</v>
      </c>
      <c r="N64" s="136" t="s">
        <v>2251</v>
      </c>
      <c r="Z64" s="2419"/>
      <c r="AI64" s="2420"/>
    </row>
    <row r="65" spans="1:35" ht="14.25" customHeight="1">
      <c r="A65" s="195" t="s">
        <v>771</v>
      </c>
      <c r="B65" s="196" t="s">
        <v>2252</v>
      </c>
      <c r="C65" s="200"/>
      <c r="D65" s="198"/>
      <c r="E65" s="199"/>
      <c r="F65" s="2485"/>
      <c r="G65" s="2485"/>
      <c r="H65" s="2493"/>
      <c r="I65" s="136"/>
      <c r="J65" s="3080"/>
      <c r="K65" s="2495" t="s">
        <v>2253</v>
      </c>
      <c r="L65" s="1747">
        <f ca="1">IF(M49&gt;1000,M49*0.1%,IF(AND(M49&gt;500,M49&lt;=1000),M49*0.5%,IF(AND(M49&gt;50,M49&lt;=500),M49*1%,IF(AND(M49&gt;1,M49&lt;=50),M49*1.5%))))</f>
        <v>114.782</v>
      </c>
      <c r="M65" s="24">
        <f t="shared" ca="1" si="1"/>
        <v>114.8</v>
      </c>
      <c r="N65" s="136" t="s">
        <v>2251</v>
      </c>
      <c r="Z65" s="2419"/>
      <c r="AI65" s="2420"/>
    </row>
    <row r="66" spans="1:35" ht="14.25" customHeight="1">
      <c r="A66" s="201" t="s">
        <v>772</v>
      </c>
      <c r="B66" s="202" t="s">
        <v>2254</v>
      </c>
      <c r="C66" s="203"/>
      <c r="D66" s="204" t="s">
        <v>32</v>
      </c>
      <c r="E66" s="1771" t="s">
        <v>1371</v>
      </c>
      <c r="F66" s="2485"/>
      <c r="G66" s="2485"/>
      <c r="H66" s="2493"/>
      <c r="I66" s="136"/>
      <c r="J66" s="3080"/>
      <c r="K66" s="2495" t="s">
        <v>2255</v>
      </c>
      <c r="L66" s="1747">
        <f ca="1">M49*0.5%</f>
        <v>573.91</v>
      </c>
      <c r="M66" s="24">
        <f ca="1">IF(L66&gt;0.5,0.5,ROUND(L66,0))</f>
        <v>0.5</v>
      </c>
      <c r="N66" s="136" t="s">
        <v>2256</v>
      </c>
      <c r="Z66" s="2419"/>
      <c r="AI66" s="2420"/>
    </row>
    <row r="67" spans="1:35" ht="14.25" customHeight="1">
      <c r="A67" s="201" t="s">
        <v>773</v>
      </c>
      <c r="B67" s="202" t="s">
        <v>2257</v>
      </c>
      <c r="C67" s="205">
        <f ca="1">C63-C66</f>
        <v>109316</v>
      </c>
      <c r="D67" s="198" t="s">
        <v>32</v>
      </c>
      <c r="E67" s="199"/>
      <c r="F67" s="2485"/>
      <c r="G67" s="2485"/>
      <c r="H67" s="2493"/>
      <c r="I67" s="136"/>
      <c r="J67" s="3080"/>
      <c r="K67" s="2495" t="s">
        <v>2258</v>
      </c>
      <c r="L67" s="1747">
        <f ca="1">IF(M49&gt;=10000,(8.25+(M49-10000)*0.01%),IF(AND(M49&gt;=8000,M49&lt;10000),(7.85+(M49-8000)*0.02%),IF(AND(M49&gt;=5000,M49&lt;8000),(6.65+(M49-5000)*0.04%),IF(AND(M49&gt;=2000,M49&lt;5000),(4.25+(PM49-2000)*0.08%),IF(AND(M49&gt;=1000,M49&lt;2000),(2.75+(M49-1000)*0.15%),IF(AND(M49&gt;=100,M49&lt;1000),(0.5+(M49-100)*0.25%),IF(AND(M49&gt;0,M49&lt;100),M49*0.5%)))))))</f>
        <v>18.728200000000001</v>
      </c>
      <c r="M67" s="24">
        <f ca="1">ROUND(L67*0.9,1)</f>
        <v>16.899999999999999</v>
      </c>
      <c r="Z67" s="2419"/>
      <c r="AI67" s="2420"/>
    </row>
    <row r="68" spans="1:35" ht="14.25" customHeight="1" thickBot="1">
      <c r="A68" s="206" t="s">
        <v>774</v>
      </c>
      <c r="B68" s="207" t="s">
        <v>2259</v>
      </c>
      <c r="C68" s="208">
        <f ca="1">IF(C67&lt;=0,0,ROUND(C67*D68,0))</f>
        <v>6012</v>
      </c>
      <c r="D68" s="209">
        <f>'数据-取费表'!B41</f>
        <v>5.5000000000000007E-2</v>
      </c>
      <c r="E68" s="210"/>
      <c r="F68" s="2485"/>
      <c r="G68" s="2485"/>
      <c r="H68" s="2493"/>
      <c r="I68" s="136"/>
      <c r="J68" s="3080"/>
      <c r="K68" s="2495" t="s">
        <v>2260</v>
      </c>
      <c r="L68" s="1747">
        <f ca="1">IF(M49&gt;10000,M49*0.5%,IF(AND(M49&gt;5000,M49&lt;=10000),M49*1%,IF(AND(M49&gt;1000,M49&lt;=5000),M49*2%,IF(AND(M49&gt;200,M49&lt;=1000),M49*3%,M49*5%))))</f>
        <v>573.91</v>
      </c>
      <c r="M68" s="24">
        <f ca="1">ROUND(L68,1)</f>
        <v>573.9</v>
      </c>
      <c r="Z68" s="2419"/>
      <c r="AI68" s="2420"/>
    </row>
    <row r="69" spans="1:35" s="2442" customFormat="1" ht="16.5" customHeight="1">
      <c r="A69" s="2496"/>
      <c r="B69" s="2497"/>
      <c r="C69" s="2498"/>
      <c r="D69" s="2499"/>
      <c r="E69" s="2500"/>
      <c r="F69" s="2163"/>
      <c r="G69" s="2163"/>
      <c r="H69" s="2162"/>
      <c r="I69" s="2414"/>
      <c r="J69" s="3080"/>
      <c r="K69" s="2495" t="s">
        <v>2261</v>
      </c>
      <c r="L69" s="2501"/>
      <c r="M69" s="24">
        <f ca="1">ROUND(SUM(M63:M68),0)</f>
        <v>1854</v>
      </c>
      <c r="N69" s="1748">
        <f ca="1">M69/M49</f>
        <v>1.6152358383718701E-2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24" t="s">
        <v>2262</v>
      </c>
      <c r="B70" s="3125"/>
      <c r="C70" s="3125"/>
      <c r="D70" s="3125"/>
      <c r="E70" s="3125"/>
      <c r="F70" s="3125"/>
      <c r="G70" s="3125"/>
      <c r="H70" s="312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5" t="s">
        <v>2243</v>
      </c>
      <c r="B71" s="3116"/>
      <c r="C71" s="1799"/>
      <c r="D71" s="1799" t="s">
        <v>2244</v>
      </c>
      <c r="E71" s="211" t="s">
        <v>2245</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2263</v>
      </c>
      <c r="C72" s="205">
        <f ca="1">ROUND(D45/(1+'数据-取费表'!C42),0)</f>
        <v>109316</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2264</v>
      </c>
      <c r="C73" s="205">
        <f ca="1">C74+C78</f>
        <v>547</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2265</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2266</v>
      </c>
      <c r="C75" s="216"/>
      <c r="D75" s="198" t="s">
        <v>32</v>
      </c>
      <c r="E75" s="217" t="s">
        <v>2267</v>
      </c>
      <c r="F75" s="2507" t="s">
        <v>2268</v>
      </c>
      <c r="G75" s="217" t="s">
        <v>2269</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2270</v>
      </c>
      <c r="C76" s="198">
        <f>IF(F75="购房发票",ROUND(C75*H75*D76,0),0)</f>
        <v>0</v>
      </c>
      <c r="D76" s="220">
        <v>0.05</v>
      </c>
      <c r="E76" s="3121" t="s">
        <v>2271</v>
      </c>
      <c r="F76" s="3120"/>
      <c r="G76" s="3120"/>
      <c r="H76" s="312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2272</v>
      </c>
      <c r="C77" s="198">
        <f>ROUND(IF(G77="个人住宅",0,IF(G77="2016年5月1日前购买",C75*D77,C75*D77/(1+'数据-取费表'!C42))),0)</f>
        <v>0</v>
      </c>
      <c r="D77" s="221">
        <f>'数据-取费表'!B48+'数据-取费表'!B49</f>
        <v>3.0499999999999999E-2</v>
      </c>
      <c r="E77" s="15" t="s">
        <v>2273</v>
      </c>
      <c r="F77" s="222"/>
      <c r="G77" s="2509" t="s">
        <v>2274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2275</v>
      </c>
      <c r="C78" s="223">
        <f ca="1">ROUND(D45*D78/(1+'数据-取费表'!C42),0)</f>
        <v>547</v>
      </c>
      <c r="D78" s="224">
        <f>'数据-取费表'!B43</f>
        <v>5.000000000000001E-3</v>
      </c>
      <c r="E78" s="3112" t="s">
        <v>2276</v>
      </c>
      <c r="F78" s="3113"/>
      <c r="G78" s="3113"/>
      <c r="H78" s="311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2277</v>
      </c>
      <c r="C79" s="205">
        <f ca="1">C72-C73</f>
        <v>108769</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2278</v>
      </c>
      <c r="C80" s="225">
        <f ca="1">IF(C79&lt;=0,0,C79/C73)</f>
        <v>198.84643510054843</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2279</v>
      </c>
      <c r="C81" s="226">
        <f ca="1">ROUND(IF(C79&lt;=0,0,IF(C80&gt;=200%,C79*60%-C73*35%,IF(C80&gt;=100%,C79*50%-C73*15%,IF(C80&gt;=50%,C79*40%-C73*5%,IF(C80&lt;50%,C79*30%,0))))),0)</f>
        <v>65070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4" t="s">
        <v>2280</v>
      </c>
      <c r="B83" s="3125"/>
      <c r="C83" s="3125"/>
      <c r="D83" s="3125"/>
      <c r="E83" s="3125"/>
      <c r="F83" s="3125"/>
      <c r="G83" s="3125"/>
      <c r="H83" s="312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5" t="s">
        <v>2243</v>
      </c>
      <c r="B84" s="3116"/>
      <c r="C84" s="1799"/>
      <c r="D84" s="1799" t="s">
        <v>2244</v>
      </c>
      <c r="E84" s="211" t="s">
        <v>2245</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2263</v>
      </c>
      <c r="C85" s="205">
        <f ca="1">ROUND(D45/(1+'数据-取费表'!C42),0)</f>
        <v>109316</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2264</v>
      </c>
      <c r="C86" s="205">
        <f ca="1">IF(H88="仅含出让金",C87+C90+C91+C92+C93+C94,C87+C91+C92+C93+C94)</f>
        <v>547</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2281</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2282</v>
      </c>
      <c r="C88" s="234"/>
      <c r="D88" s="224"/>
      <c r="E88" s="235" t="s">
        <v>2283</v>
      </c>
      <c r="F88" s="1795"/>
      <c r="G88" s="236" t="s">
        <v>2284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2272</v>
      </c>
      <c r="C89" s="223">
        <f>ROUND(C88*D89,0)</f>
        <v>0</v>
      </c>
      <c r="D89" s="224">
        <f>'数据-取费表'!B48+'数据-取费表'!B49</f>
        <v>3.0499999999999999E-2</v>
      </c>
      <c r="E89" s="235" t="s">
        <v>2285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2286</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2287</v>
      </c>
      <c r="B91" s="196" t="s">
        <v>2288</v>
      </c>
      <c r="C91" s="223">
        <f>IF(H91="——",成本法!C33,I91)</f>
        <v>0</v>
      </c>
      <c r="D91" s="224"/>
      <c r="E91" s="3112" t="s">
        <v>2289</v>
      </c>
      <c r="F91" s="3113"/>
      <c r="G91" s="3113"/>
      <c r="H91" s="2514" t="s">
        <v>2290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2291</v>
      </c>
      <c r="B92" s="196" t="s">
        <v>2292</v>
      </c>
      <c r="C92" s="223">
        <f>ROUND((C87+C90+C91)*D92,0)</f>
        <v>0</v>
      </c>
      <c r="D92" s="224">
        <v>0.1</v>
      </c>
      <c r="E92" s="3112" t="s">
        <v>2293</v>
      </c>
      <c r="F92" s="3113"/>
      <c r="G92" s="3113"/>
      <c r="H92" s="311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2294</v>
      </c>
      <c r="B93" s="196" t="s">
        <v>2275</v>
      </c>
      <c r="C93" s="223">
        <f ca="1">ROUND(D45*D93/(1+'数据-取费表'!C42),0)</f>
        <v>547</v>
      </c>
      <c r="D93" s="224">
        <f>'数据-取费表'!B43</f>
        <v>5.000000000000001E-3</v>
      </c>
      <c r="E93" s="3112" t="s">
        <v>2276</v>
      </c>
      <c r="F93" s="3113"/>
      <c r="G93" s="3113"/>
      <c r="H93" s="311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2295</v>
      </c>
      <c r="B94" s="196" t="s">
        <v>2296</v>
      </c>
      <c r="C94" s="234">
        <f>ROUND((C87+C90+C91)*D94,0)</f>
        <v>0</v>
      </c>
      <c r="D94" s="224">
        <v>0.2</v>
      </c>
      <c r="E94" s="3160" t="s">
        <v>2297</v>
      </c>
      <c r="F94" s="3161"/>
      <c r="G94" s="3161"/>
      <c r="H94" s="316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2277</v>
      </c>
      <c r="C95" s="205">
        <f ca="1">ROUND(C85-C86,0)</f>
        <v>108769</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2278</v>
      </c>
      <c r="C96" s="225">
        <f ca="1">IF(C95&lt;=0,0,C95/C86)</f>
        <v>198.84643510054843</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2279</v>
      </c>
      <c r="C97" s="226">
        <f ca="1">ROUND(IF(C95&lt;=0,0,IF(C96&gt;=200%,C95*60%-C86*35%,IF(C96&gt;=100%,C95*50%-C86*15%,IF(C96&gt;=50%,C95*40%-C86*5%,IF(C96&lt;50%,C95*30%,0))))),0)</f>
        <v>65070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6"/>
    </row>
    <row r="99" spans="1:35" ht="21.75" customHeight="1" thickBot="1">
      <c r="A99" s="2470" t="s">
        <v>2298</v>
      </c>
      <c r="B99" s="2414"/>
      <c r="C99" s="2414"/>
      <c r="D99" s="2414"/>
      <c r="E99" s="2163"/>
      <c r="F99" s="2163"/>
      <c r="G99" s="2163"/>
      <c r="H99" s="2162"/>
      <c r="I99" s="136"/>
    </row>
    <row r="100" spans="1:35" ht="18.75" customHeight="1">
      <c r="A100" s="3064" t="s">
        <v>2299</v>
      </c>
      <c r="B100" s="3065"/>
      <c r="C100" s="3065"/>
      <c r="D100" s="3096"/>
      <c r="E100" s="3065" t="s">
        <v>2300</v>
      </c>
      <c r="F100" s="3065"/>
      <c r="G100" s="3065"/>
      <c r="H100" s="3096"/>
      <c r="I100" s="136"/>
    </row>
    <row r="101" spans="1:35" ht="18.75" customHeight="1">
      <c r="A101" s="3104" t="s">
        <v>2301</v>
      </c>
      <c r="B101" s="3105"/>
      <c r="C101" s="734" t="str">
        <f>C4</f>
        <v>成本法</v>
      </c>
      <c r="D101" s="735" t="str">
        <f>D4</f>
        <v>假设开发法</v>
      </c>
      <c r="E101" s="3076" t="s">
        <v>2302</v>
      </c>
      <c r="F101" s="3077"/>
      <c r="G101" s="2516" t="s">
        <v>2303</v>
      </c>
      <c r="H101" s="1045">
        <f ca="1">H118</f>
        <v>114782</v>
      </c>
      <c r="I101" s="136"/>
    </row>
    <row r="102" spans="1:35" ht="18.75" customHeight="1">
      <c r="A102" s="3106" t="s">
        <v>2304</v>
      </c>
      <c r="B102" s="2516" t="s">
        <v>2303</v>
      </c>
      <c r="C102" s="734">
        <f ca="1">C19</f>
        <v>124795</v>
      </c>
      <c r="D102" s="735">
        <f ca="1">D19</f>
        <v>91418</v>
      </c>
      <c r="E102" s="3076"/>
      <c r="F102" s="3077"/>
      <c r="G102" s="2516" t="s">
        <v>2305</v>
      </c>
      <c r="H102" s="369">
        <f ca="1">I118</f>
        <v>11969</v>
      </c>
      <c r="I102" s="136"/>
    </row>
    <row r="103" spans="1:35" ht="42.75" customHeight="1">
      <c r="A103" s="3106"/>
      <c r="B103" s="2516" t="s">
        <v>2305</v>
      </c>
      <c r="C103" s="736">
        <f ca="1">C20</f>
        <v>13014</v>
      </c>
      <c r="D103" s="737">
        <f ca="1">D20</f>
        <v>9533</v>
      </c>
      <c r="E103" s="3070" t="s">
        <v>2306</v>
      </c>
      <c r="F103" s="3071"/>
      <c r="G103" s="2517" t="s">
        <v>2307</v>
      </c>
      <c r="H103" s="1045">
        <f>IF(D36="正常操作",H104+H105+H106,H105+H106)</f>
        <v>0</v>
      </c>
      <c r="I103" s="136"/>
    </row>
    <row r="104" spans="1:35" ht="18.75" customHeight="1">
      <c r="A104" s="3106" t="s">
        <v>2308</v>
      </c>
      <c r="B104" s="2518" t="s">
        <v>2303</v>
      </c>
      <c r="C104" s="738">
        <f ca="1">H118</f>
        <v>114782</v>
      </c>
      <c r="D104" s="739"/>
      <c r="E104" s="2263" t="s">
        <v>2309</v>
      </c>
      <c r="F104" s="2255"/>
      <c r="G104" s="2517" t="s">
        <v>2307</v>
      </c>
      <c r="H104" s="1046">
        <f>IF(D36="同一抵押权人同一抵押物续贷",C36&amp;"（未扣减，详见特别提示）",C36)</f>
        <v>0</v>
      </c>
      <c r="I104" s="136"/>
    </row>
    <row r="105" spans="1:35" ht="18.75" customHeight="1" thickBot="1">
      <c r="A105" s="3118"/>
      <c r="B105" s="2519" t="s">
        <v>2305</v>
      </c>
      <c r="C105" s="740">
        <f ca="1">I118</f>
        <v>11969</v>
      </c>
      <c r="D105" s="741"/>
      <c r="E105" s="2263" t="s">
        <v>2310</v>
      </c>
      <c r="F105" s="2255"/>
      <c r="G105" s="2517" t="s">
        <v>2307</v>
      </c>
      <c r="H105" s="1046">
        <f>C37</f>
        <v>0</v>
      </c>
      <c r="I105" s="136"/>
    </row>
    <row r="106" spans="1:35" ht="18.75" customHeight="1">
      <c r="A106" s="2414" t="s">
        <v>2311</v>
      </c>
      <c r="B106" s="2414"/>
      <c r="C106" s="2414"/>
      <c r="D106" s="2414"/>
      <c r="E106" s="2520" t="s">
        <v>2312</v>
      </c>
      <c r="F106" s="2255"/>
      <c r="G106" s="2517" t="s">
        <v>2307</v>
      </c>
      <c r="H106" s="1046">
        <f>C38</f>
        <v>0</v>
      </c>
      <c r="I106" s="136"/>
    </row>
    <row r="107" spans="1:35" ht="18.75" customHeight="1">
      <c r="A107" s="136"/>
      <c r="B107" s="136"/>
      <c r="C107" s="136"/>
      <c r="D107" s="136"/>
      <c r="E107" s="3107" t="str">
        <f>IF(项目基本情况!E8="已注销","——","3.房地产抵押价值")</f>
        <v>3.房地产抵押价值</v>
      </c>
      <c r="F107" s="3077"/>
      <c r="G107" s="2516" t="s">
        <v>2303</v>
      </c>
      <c r="H107" s="1045">
        <f ca="1">IF(E107="——","——",H101-H103)</f>
        <v>114782</v>
      </c>
      <c r="I107" s="136"/>
    </row>
    <row r="108" spans="1:35" ht="18.75" customHeight="1">
      <c r="A108" s="136"/>
      <c r="B108" s="136"/>
      <c r="C108" s="136"/>
      <c r="D108" s="136"/>
      <c r="E108" s="3107"/>
      <c r="F108" s="3077"/>
      <c r="G108" s="2516" t="s">
        <v>2305</v>
      </c>
      <c r="H108" s="369">
        <f ca="1">ROUND(H107*10000/'数据-汇总表'!E3,0)</f>
        <v>11969</v>
      </c>
      <c r="I108" s="136"/>
    </row>
    <row r="109" spans="1:35" ht="18.75"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7"/>
      <c r="G109" s="2516" t="s">
        <v>2303</v>
      </c>
      <c r="H109" s="346" t="str">
        <f>IF(E109="——","——",H101-H105-H106)</f>
        <v>——</v>
      </c>
      <c r="I109" s="136"/>
    </row>
    <row r="110" spans="1:35" ht="18.75" customHeight="1">
      <c r="A110" s="136"/>
      <c r="B110" s="136"/>
      <c r="C110" s="136"/>
      <c r="D110" s="136"/>
      <c r="E110" s="3107"/>
      <c r="F110" s="3077"/>
      <c r="G110" s="2516" t="s">
        <v>2305</v>
      </c>
      <c r="H110" s="369" t="str">
        <f>IF(H109="——","——",ROUND(H109*10000/'数据-汇总表'!E3,0))</f>
        <v>——</v>
      </c>
      <c r="I110" s="136"/>
    </row>
    <row r="111" spans="1:35" ht="18.75" customHeight="1">
      <c r="A111" s="136"/>
      <c r="B111" s="136"/>
      <c r="C111" s="136"/>
      <c r="D111" s="136"/>
      <c r="E111" s="3108" t="str">
        <f>IF(项目基本情况!E9="抵押净值",IF(OR(项目基本情况!E8="已注销",项目基本情况!E8="房地产抵押价值"),"4.抵押净值","5.抵押净值"),"——")</f>
        <v>——</v>
      </c>
      <c r="F111" s="3109"/>
      <c r="G111" s="2516" t="s">
        <v>2303</v>
      </c>
      <c r="H111" s="1045" t="str">
        <f>IF(E111="——","——",N59)</f>
        <v>——</v>
      </c>
      <c r="I111" s="136"/>
    </row>
    <row r="112" spans="1:35" ht="18.75" customHeight="1" thickBot="1">
      <c r="A112" s="136"/>
      <c r="B112" s="136"/>
      <c r="C112" s="136"/>
      <c r="D112" s="136"/>
      <c r="E112" s="3110"/>
      <c r="F112" s="3111"/>
      <c r="G112" s="2521" t="s">
        <v>2305</v>
      </c>
      <c r="H112" s="788" t="str">
        <f>IF(E111="——","——",N61)</f>
        <v>——</v>
      </c>
      <c r="I112" s="136"/>
    </row>
    <row r="113" spans="1:11" ht="18.75" customHeight="1">
      <c r="A113" s="136"/>
      <c r="B113" s="136"/>
      <c r="C113" s="136"/>
      <c r="D113" s="136"/>
      <c r="E113" s="3119" t="s">
        <v>2311</v>
      </c>
      <c r="F113" s="3119"/>
      <c r="G113" s="3119"/>
      <c r="H113" s="3119"/>
      <c r="I113" s="136"/>
    </row>
    <row r="114" spans="1:11" ht="3.75" customHeight="1">
      <c r="A114" s="2414"/>
      <c r="B114" s="2414"/>
      <c r="C114" s="2414"/>
      <c r="D114" s="2414"/>
      <c r="E114" s="2492"/>
      <c r="F114" s="2492"/>
      <c r="G114" s="2492"/>
      <c r="H114" s="2492"/>
      <c r="I114" s="2414"/>
    </row>
    <row r="115" spans="1:11" ht="18.75" customHeight="1">
      <c r="A115" s="3132" t="s">
        <v>2313</v>
      </c>
      <c r="B115" s="3133"/>
      <c r="C115" s="3133"/>
      <c r="D115" s="3133"/>
      <c r="E115" s="3133"/>
      <c r="F115" s="3133"/>
      <c r="G115" s="3133"/>
      <c r="H115" s="3133"/>
      <c r="I115" s="3134"/>
    </row>
    <row r="116" spans="1:11" ht="27" customHeight="1">
      <c r="A116" s="3043" t="s">
        <v>2314</v>
      </c>
      <c r="B116" s="3086" t="s">
        <v>2315</v>
      </c>
      <c r="C116" s="3086" t="s">
        <v>2316</v>
      </c>
      <c r="D116" s="3092" t="s">
        <v>2317</v>
      </c>
      <c r="E116" s="3093"/>
      <c r="F116" s="3128" t="s">
        <v>2318</v>
      </c>
      <c r="G116" s="3128"/>
      <c r="H116" s="3043" t="s">
        <v>2319</v>
      </c>
      <c r="I116" s="3043"/>
    </row>
    <row r="117" spans="1:11" ht="18.75" customHeight="1">
      <c r="A117" s="3043"/>
      <c r="B117" s="3087"/>
      <c r="C117" s="3087"/>
      <c r="D117" s="1793" t="s">
        <v>2320</v>
      </c>
      <c r="E117" s="1793" t="s">
        <v>2321</v>
      </c>
      <c r="F117" s="1793" t="s">
        <v>2320</v>
      </c>
      <c r="G117" s="1793" t="s">
        <v>2322</v>
      </c>
      <c r="H117" s="1793" t="s">
        <v>2320</v>
      </c>
      <c r="I117" s="1793" t="s">
        <v>2322</v>
      </c>
    </row>
    <row r="118" spans="1:11" ht="24.75" customHeight="1">
      <c r="A118" s="2522" t="str">
        <f>项目基本情况!S2</f>
        <v>北京市通州区运河西岸Ⅷ-11地块出让国有建设用地使用权及在建建筑物房地产</v>
      </c>
      <c r="B118" s="1793">
        <f>M18</f>
        <v>95896.06</v>
      </c>
      <c r="C118" s="1793">
        <f>M19</f>
        <v>15644.81</v>
      </c>
      <c r="D118" s="1793">
        <f ca="1">ROUND(IF(D32="总价",C34,E118*B118/10000),0)</f>
        <v>102271</v>
      </c>
      <c r="E118" s="1793">
        <f ca="1">ROUND(IF(C33="自定义",IF(D32="楼面单价",C34,D118*10000/B118),I118-G118),0)</f>
        <v>10664</v>
      </c>
      <c r="F118" s="1793">
        <f ca="1">ROUND(IF(D32="总价",C35,G118*B118/10000),0)</f>
        <v>12511</v>
      </c>
      <c r="G118" s="1793">
        <f ca="1">ROUND(IF(D32="楼面单价",C35,F118*10000/B118),0)</f>
        <v>1305</v>
      </c>
      <c r="H118" s="1793">
        <f ca="1">ROUND(IF(D32="总价",C32,I118*B118/10000),0)</f>
        <v>114782</v>
      </c>
      <c r="I118" s="1793">
        <f ca="1">ROUND(IF(D32="楼面单价",C32,H118*10000/B118),0)</f>
        <v>11969</v>
      </c>
    </row>
    <row r="119" spans="1:11" ht="18.75" customHeight="1">
      <c r="A119" s="3043" t="s">
        <v>2323</v>
      </c>
      <c r="B119" s="3043"/>
      <c r="C119" s="3043"/>
      <c r="D119" s="3088" t="str">
        <f ca="1">NUMBERSTRING(INT(D118*10000),2)&amp;"元整"</f>
        <v>壹拾亿贰仟贰佰柒拾壹万元整</v>
      </c>
      <c r="E119" s="3089"/>
      <c r="F119" s="3088" t="str">
        <f ca="1">NUMBERSTRING(INT(F118*10000),2)&amp;"元整"</f>
        <v>壹亿贰仟伍佰壹拾壹万元整</v>
      </c>
      <c r="G119" s="3089"/>
      <c r="H119" s="3088" t="str">
        <f ca="1">NUMBERSTRING(INT(H118*10000),2)&amp;"元整"</f>
        <v>壹拾壹亿肆仟柒佰捌拾贰万元整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9" t="str">
        <f>IF(D120=0,"故，本次评估不存在"&amp;A120,"故，本次评估"&amp;A120&amp;"为人民币"&amp;D120&amp;"万元整。")</f>
        <v>故，本次评估不存在估价师知悉的法定优先受偿款</v>
      </c>
    </row>
    <row r="121" spans="1:11" ht="18.75" customHeight="1">
      <c r="A121" s="3129" t="s">
        <v>2323</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114782</v>
      </c>
      <c r="E122" s="3084"/>
      <c r="F122" s="3084"/>
      <c r="G122" s="3084"/>
      <c r="H122" s="3084"/>
      <c r="I122" s="3085"/>
    </row>
    <row r="123" spans="1:11" ht="18.75" customHeight="1">
      <c r="A123" s="3043" t="s">
        <v>2323</v>
      </c>
      <c r="B123" s="3043"/>
      <c r="C123" s="3043"/>
      <c r="D123" s="3088" t="str">
        <f ca="1">NUMBERSTRING(INT(D122*10000),2)&amp;"元整"</f>
        <v>壹拾壹亿肆仟柒佰捌拾贰万元整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2323</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2323</v>
      </c>
      <c r="B127" s="3043"/>
      <c r="C127" s="3043"/>
      <c r="D127" s="3088" t="e">
        <f>NUMBERSTRING(INT(D126*10000),2)&amp;"元整"</f>
        <v>#VALUE!</v>
      </c>
      <c r="E127" s="3090"/>
      <c r="F127" s="3090"/>
      <c r="G127" s="3090"/>
      <c r="H127" s="3090"/>
      <c r="I127" s="3089"/>
    </row>
    <row r="128" spans="1:11" ht="21.75" customHeight="1">
      <c r="A128" s="3091" t="s">
        <v>2324</v>
      </c>
      <c r="B128" s="3091"/>
      <c r="C128" s="3091"/>
      <c r="D128" s="3091"/>
      <c r="E128" s="3091"/>
      <c r="F128" s="3091"/>
      <c r="G128" s="3091"/>
      <c r="H128" s="3091"/>
      <c r="I128" s="3091"/>
    </row>
    <row r="129" spans="1:35" ht="21.75" customHeight="1">
      <c r="A129" s="2523" t="s">
        <v>2325</v>
      </c>
      <c r="B129" s="2524"/>
      <c r="C129" s="2525" t="s">
        <v>2326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2327</v>
      </c>
      <c r="G135" s="2540"/>
      <c r="H135" s="2540"/>
      <c r="I135" s="2541" t="s">
        <v>2328</v>
      </c>
    </row>
    <row r="136" spans="1:35" ht="21.75" customHeight="1">
      <c r="A136" s="793"/>
      <c r="B136" s="2542"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2330</v>
      </c>
    </row>
    <row r="139" spans="1:35" ht="21.75" customHeight="1">
      <c r="A139" s="793"/>
      <c r="B139" s="2542" t="s">
        <v>2331</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2330</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64" sqref="B64"/>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2332</v>
      </c>
      <c r="B1" s="1935"/>
      <c r="C1" s="240"/>
      <c r="D1" s="240"/>
      <c r="E1" s="240"/>
      <c r="F1" s="240"/>
      <c r="G1" s="1378">
        <f>MATCH(B1,'数据-取费表'!A6:A16,0)+5</f>
        <v>9</v>
      </c>
    </row>
    <row r="2" spans="1:9" s="242" customFormat="1" ht="18" customHeight="1">
      <c r="A2" s="243" t="s">
        <v>2333</v>
      </c>
      <c r="B2" s="244">
        <f ca="1">IF(D2="——",C52,C52-E2)</f>
        <v>124795</v>
      </c>
      <c r="C2" s="241" t="s">
        <v>2334</v>
      </c>
      <c r="D2" s="2545" t="s">
        <v>70</v>
      </c>
      <c r="E2" s="1439" t="e">
        <f ca="1">SUMIF(INDIRECT("'"&amp;G2&amp;"'"&amp;"!A:A"),"承租人权益价值",INDIRECT("'"&amp;G2&amp;"'"&amp;"!c:c"))</f>
        <v>#REF!</v>
      </c>
      <c r="F2" s="2546" t="s">
        <v>2334</v>
      </c>
      <c r="G2" s="2547"/>
    </row>
    <row r="3" spans="1:9" s="242" customFormat="1" ht="18" customHeight="1" thickBot="1">
      <c r="A3" s="245" t="s">
        <v>2335</v>
      </c>
      <c r="B3" s="246">
        <f ca="1">ROUND(B2*10000/(IF(B1="",'数据-汇总表'!E3,INDIRECT("'数据-取费表'!k"&amp;$G$1))),0)</f>
        <v>13014</v>
      </c>
      <c r="C3" s="241" t="s">
        <v>2336</v>
      </c>
      <c r="D3" s="241"/>
      <c r="E3" s="241"/>
      <c r="F3" s="241"/>
      <c r="G3" s="241"/>
    </row>
    <row r="4" spans="1:9" s="250" customFormat="1" ht="15.75">
      <c r="A4" s="247" t="s">
        <v>2337</v>
      </c>
      <c r="B4" s="248"/>
      <c r="C4" s="248"/>
      <c r="D4" s="248"/>
      <c r="E4" s="248"/>
      <c r="F4" s="248"/>
      <c r="G4" s="249"/>
    </row>
    <row r="5" spans="1:9" s="256" customFormat="1" ht="13.5" customHeight="1">
      <c r="A5" s="297" t="s">
        <v>2338</v>
      </c>
      <c r="B5" s="252" t="s">
        <v>2339</v>
      </c>
      <c r="C5" s="253">
        <f ca="1">C6+C7+C8</f>
        <v>90665</v>
      </c>
      <c r="D5" s="253" t="s">
        <v>2340</v>
      </c>
      <c r="E5" s="254" t="s">
        <v>2341</v>
      </c>
      <c r="F5" s="254" t="s">
        <v>2342</v>
      </c>
      <c r="G5" s="255"/>
    </row>
    <row r="6" spans="1:9" s="256" customFormat="1" ht="13.5" customHeight="1">
      <c r="A6" s="949" t="s">
        <v>2343</v>
      </c>
      <c r="B6" s="257" t="s">
        <v>2344</v>
      </c>
      <c r="C6" s="258">
        <f>'土地比较法-住宅、综合'!B2</f>
        <v>86120</v>
      </c>
      <c r="D6" s="259"/>
      <c r="E6" s="260"/>
      <c r="F6" s="260"/>
      <c r="G6" s="261"/>
    </row>
    <row r="7" spans="1:9" s="256" customFormat="1" ht="13.5" customHeight="1">
      <c r="A7" s="949" t="s">
        <v>2345</v>
      </c>
      <c r="B7" s="257" t="s">
        <v>2346</v>
      </c>
      <c r="C7" s="262">
        <f>ROUND(C6*F7,0)</f>
        <v>2627</v>
      </c>
      <c r="D7" s="262"/>
      <c r="E7" s="260"/>
      <c r="F7" s="263">
        <f>'数据-取费表'!B48+'数据-取费表'!B49</f>
        <v>3.0499999999999999E-2</v>
      </c>
      <c r="G7" s="261"/>
    </row>
    <row r="8" spans="1:9" s="265" customFormat="1">
      <c r="A8" s="949" t="s">
        <v>2347</v>
      </c>
      <c r="B8" s="257" t="s">
        <v>2348</v>
      </c>
      <c r="C8" s="262">
        <f ca="1">IF(G8="已包含在土地购买价格中","0",IF(B1="",'数据-取费表'!B29,IF(G9="全部缴纳",C9+C10,H9)))</f>
        <v>1918</v>
      </c>
      <c r="D8" s="264"/>
      <c r="E8" s="262"/>
      <c r="F8" s="263"/>
      <c r="G8" s="2548" t="s">
        <v>3144</v>
      </c>
    </row>
    <row r="9" spans="1:9" s="256" customFormat="1" ht="13.5" customHeight="1">
      <c r="A9" s="950" t="s">
        <v>800</v>
      </c>
      <c r="B9" s="266" t="s">
        <v>2349</v>
      </c>
      <c r="C9" s="267">
        <f ca="1">ROUND(D9*E9/10000,0)</f>
        <v>0</v>
      </c>
      <c r="D9" s="1032">
        <f ca="1">IF(B1="",'数据-汇总表'!E5,IF(INDIRECT("'数据-取费表'!c"&amp;$G$1)="住宅",INDIRECT("'数据-取费表'!k"&amp;$G$1),0))</f>
        <v>0</v>
      </c>
      <c r="E9" s="267">
        <f>'数据-取费表'!B27</f>
        <v>0</v>
      </c>
      <c r="F9" s="263"/>
      <c r="G9" s="2549" t="s">
        <v>3145</v>
      </c>
      <c r="H9" s="1389"/>
      <c r="I9" s="2550" t="s">
        <v>2350</v>
      </c>
    </row>
    <row r="10" spans="1:9" s="256" customFormat="1" ht="13.5" customHeight="1">
      <c r="A10" s="950" t="s">
        <v>801</v>
      </c>
      <c r="B10" s="266" t="s">
        <v>2351</v>
      </c>
      <c r="C10" s="267">
        <f ca="1">ROUND(D10*E10/10000,0)</f>
        <v>1918</v>
      </c>
      <c r="D10" s="1032">
        <f ca="1">IF(B1="",'数据-汇总表'!E6,IF(INDIRECT("'数据-取费表'!c"&amp;$G$1)="住宅",INDIRECT("'数据-取费表'!s"&amp;$G$1),INDIRECT("'数据-取费表'!k"&amp;$G$1)+INDIRECT("'数据-取费表'!s"&amp;$G$1)))</f>
        <v>95896.06</v>
      </c>
      <c r="E10" s="267">
        <f>'数据-取费表'!B28</f>
        <v>200</v>
      </c>
      <c r="F10" s="263"/>
      <c r="G10" s="268"/>
    </row>
    <row r="11" spans="1:9" s="256" customFormat="1" ht="13.5" hidden="1" customHeight="1">
      <c r="A11" s="269" t="s">
        <v>7</v>
      </c>
      <c r="B11" s="257" t="s">
        <v>2352</v>
      </c>
      <c r="C11" s="253"/>
      <c r="D11" s="1034"/>
      <c r="E11" s="260"/>
      <c r="F11" s="260"/>
      <c r="G11" s="261"/>
    </row>
    <row r="12" spans="1:9" s="256" customFormat="1" ht="13.5" hidden="1" customHeight="1">
      <c r="A12" s="269" t="s">
        <v>8</v>
      </c>
      <c r="B12" s="257" t="s">
        <v>2353</v>
      </c>
      <c r="C12" s="253">
        <v>0</v>
      </c>
      <c r="D12" s="1034"/>
      <c r="E12" s="270"/>
      <c r="F12" s="263">
        <v>3.0499999999999999E-2</v>
      </c>
      <c r="G12" s="261"/>
    </row>
    <row r="13" spans="1:9" s="256" customFormat="1" ht="13.5" hidden="1" customHeight="1">
      <c r="A13" s="269" t="s">
        <v>9</v>
      </c>
      <c r="B13" s="257" t="s">
        <v>2354</v>
      </c>
      <c r="C13" s="253"/>
      <c r="D13" s="1034"/>
      <c r="E13" s="260"/>
      <c r="F13" s="260"/>
      <c r="G13" s="261"/>
    </row>
    <row r="14" spans="1:9" s="256" customFormat="1" ht="13.5" hidden="1" customHeight="1">
      <c r="A14" s="269" t="s">
        <v>10</v>
      </c>
      <c r="B14" s="257" t="s">
        <v>2355</v>
      </c>
      <c r="C14" s="253"/>
      <c r="D14" s="1034"/>
      <c r="E14" s="260"/>
      <c r="F14" s="260"/>
      <c r="G14" s="261" t="s">
        <v>2356</v>
      </c>
    </row>
    <row r="15" spans="1:9" s="256" customFormat="1" ht="13.5" hidden="1" customHeight="1">
      <c r="A15" s="269" t="s">
        <v>11</v>
      </c>
      <c r="B15" s="257" t="s">
        <v>2357</v>
      </c>
      <c r="C15" s="262"/>
      <c r="D15" s="1034"/>
      <c r="E15" s="260"/>
      <c r="F15" s="260"/>
      <c r="G15" s="261" t="s">
        <v>2358</v>
      </c>
    </row>
    <row r="16" spans="1:9" s="256" customFormat="1" ht="13.5" hidden="1" customHeight="1">
      <c r="A16" s="269" t="s">
        <v>12</v>
      </c>
      <c r="B16" s="257" t="s">
        <v>2355</v>
      </c>
      <c r="C16" s="262"/>
      <c r="D16" s="1034"/>
      <c r="E16" s="260"/>
      <c r="F16" s="260"/>
      <c r="G16" s="261"/>
    </row>
    <row r="17" spans="1:7" s="256" customFormat="1" ht="13.5" hidden="1" customHeight="1">
      <c r="A17" s="269" t="s">
        <v>13</v>
      </c>
      <c r="B17" s="257" t="s">
        <v>2359</v>
      </c>
      <c r="C17" s="271"/>
      <c r="D17" s="1035"/>
      <c r="E17" s="271"/>
      <c r="F17" s="271"/>
      <c r="G17" s="261" t="s">
        <v>2358</v>
      </c>
    </row>
    <row r="18" spans="1:7" s="256" customFormat="1" ht="13.5" hidden="1" customHeight="1">
      <c r="A18" s="269" t="s">
        <v>14</v>
      </c>
      <c r="B18" s="257" t="s">
        <v>2360</v>
      </c>
      <c r="C18" s="262">
        <v>0</v>
      </c>
      <c r="D18" s="1034"/>
      <c r="E18" s="260"/>
      <c r="F18" s="263">
        <v>3.0499999999999999E-2</v>
      </c>
      <c r="G18" s="261" t="s">
        <v>2361</v>
      </c>
    </row>
    <row r="19" spans="1:7" s="265" customFormat="1" ht="13.5" customHeight="1">
      <c r="A19" s="297" t="s">
        <v>2362</v>
      </c>
      <c r="B19" s="252" t="s">
        <v>2363</v>
      </c>
      <c r="C19" s="253" t="str">
        <f>IF(G19="已包含在土地取得成本中","0",ROUND(D19*E19/10000,0))</f>
        <v>0</v>
      </c>
      <c r="D19" s="1036">
        <f ca="1">D9+D10</f>
        <v>95896.06</v>
      </c>
      <c r="E19" s="253">
        <f>'数据-取费表'!B31</f>
        <v>200</v>
      </c>
      <c r="F19" s="273"/>
      <c r="G19" s="2548" t="s">
        <v>3146</v>
      </c>
    </row>
    <row r="20" spans="1:7" s="256" customFormat="1" ht="13.5" customHeight="1">
      <c r="A20" s="297" t="s">
        <v>2364</v>
      </c>
      <c r="B20" s="252" t="s">
        <v>2365</v>
      </c>
      <c r="C20" s="274">
        <f ca="1">ROUND((C5+C19)*F20,0)</f>
        <v>1813</v>
      </c>
      <c r="D20" s="274"/>
      <c r="E20" s="274"/>
      <c r="F20" s="275">
        <f>'数据-取费表'!B37</f>
        <v>0.02</v>
      </c>
      <c r="G20" s="276" t="s">
        <v>2366</v>
      </c>
    </row>
    <row r="21" spans="1:7" s="256" customFormat="1" ht="13.5" customHeight="1">
      <c r="A21" s="297" t="s">
        <v>2367</v>
      </c>
      <c r="B21" s="252" t="s">
        <v>2368</v>
      </c>
      <c r="C21" s="277">
        <f>F21</f>
        <v>0.02</v>
      </c>
      <c r="D21" s="278" t="s">
        <v>2369</v>
      </c>
      <c r="E21" s="274"/>
      <c r="F21" s="275">
        <f>'数据-取费表'!B38</f>
        <v>0.02</v>
      </c>
      <c r="G21" s="276" t="s">
        <v>2370</v>
      </c>
    </row>
    <row r="22" spans="1:7" s="256" customFormat="1" ht="13.5" customHeight="1">
      <c r="A22" s="297" t="s">
        <v>2371</v>
      </c>
      <c r="B22" s="252" t="s">
        <v>2372</v>
      </c>
      <c r="C22" s="1353">
        <f ca="1">ROUND(SUM(C23:C25),0)</f>
        <v>4350</v>
      </c>
      <c r="D22" s="277">
        <f ca="1">C26</f>
        <v>5.0000000000000001E-4</v>
      </c>
      <c r="E22" s="278" t="s">
        <v>2369</v>
      </c>
      <c r="F22" s="279">
        <f ca="1">'数据-取费表'!B40</f>
        <v>4.7500000000000001E-2</v>
      </c>
      <c r="G22" s="276" t="str">
        <f>IF('数据-取费表'!B22&lt;=1,"单利计息","复利计息")</f>
        <v>复利计息</v>
      </c>
    </row>
    <row r="23" spans="1:7" s="256" customFormat="1" ht="13.5" customHeight="1">
      <c r="A23" s="951" t="s">
        <v>2373</v>
      </c>
      <c r="B23" s="257" t="s">
        <v>2374</v>
      </c>
      <c r="C23" s="1354">
        <f ca="1">ROUND(IF('数据-取费表'!B22&lt;=1,C5*F22*'数据-取费表'!B23,C5*(POWER((1+F22),'数据-取费表'!B23)-1)),0)</f>
        <v>4307</v>
      </c>
      <c r="D23" s="280"/>
      <c r="E23" s="280"/>
      <c r="F23" s="281"/>
      <c r="G23" s="282" t="s">
        <v>2375</v>
      </c>
    </row>
    <row r="24" spans="1:7" s="256" customFormat="1" ht="13.5" customHeight="1">
      <c r="A24" s="951" t="s">
        <v>2376</v>
      </c>
      <c r="B24" s="257" t="s">
        <v>2377</v>
      </c>
      <c r="C24" s="1354">
        <f ca="1">ROUND(IF('数据-取费表'!B22&lt;=1,C19*F22*('数据-取费表'!B19/2+'数据-取费表'!B21),C19*(POWER((1+F22),('数据-取费表'!B19/2+'数据-取费表'!B21))-1)),0)</f>
        <v>0</v>
      </c>
      <c r="D24" s="280"/>
      <c r="E24" s="280"/>
      <c r="F24" s="281"/>
      <c r="G24" s="282" t="s">
        <v>2378</v>
      </c>
    </row>
    <row r="25" spans="1:7" s="256" customFormat="1" ht="24">
      <c r="A25" s="951" t="s">
        <v>2379</v>
      </c>
      <c r="B25" s="257" t="s">
        <v>2380</v>
      </c>
      <c r="C25" s="1354">
        <f ca="1">ROUND(IF('数据-取费表'!B22&lt;=1,C20*F22*'数据-取费表'!B23/2,C20*(POWER((1+F22),'数据-取费表'!B23/2)-1)),0)</f>
        <v>43</v>
      </c>
      <c r="D25" s="280"/>
      <c r="E25" s="283"/>
      <c r="F25" s="281"/>
      <c r="G25" s="284" t="s">
        <v>2381</v>
      </c>
    </row>
    <row r="26" spans="1:7" s="256" customFormat="1">
      <c r="A26" s="951" t="s">
        <v>795</v>
      </c>
      <c r="B26" s="257" t="s">
        <v>2382</v>
      </c>
      <c r="C26" s="280">
        <f ca="1">ROUND(IF('数据-取费表'!B22&lt;=1,F21*F22*'数据-取费表'!B23/2,F21*(POWER((1+F22),'数据-取费表'!B23/2)-1)),4)</f>
        <v>5.0000000000000001E-4</v>
      </c>
      <c r="D26" s="280"/>
      <c r="E26" s="283"/>
      <c r="F26" s="281"/>
      <c r="G26" s="285"/>
    </row>
    <row r="27" spans="1:7" s="256" customFormat="1" ht="24.75">
      <c r="A27" s="297" t="s">
        <v>2383</v>
      </c>
      <c r="B27" s="286" t="s">
        <v>2384</v>
      </c>
      <c r="C27" s="287">
        <f ca="1">C28</f>
        <v>6165</v>
      </c>
      <c r="D27" s="277">
        <f ca="1">C29</f>
        <v>1.2999999999999999E-3</v>
      </c>
      <c r="E27" s="278" t="s">
        <v>2385</v>
      </c>
      <c r="F27" s="288">
        <f ca="1">IF(B1="",'数据-取费表'!Q16,INDIRECT("'数据-取费表'!q"&amp;$G$1))</f>
        <v>0.2</v>
      </c>
      <c r="G27" s="289" t="s">
        <v>2386</v>
      </c>
    </row>
    <row r="28" spans="1:7" s="256" customFormat="1" ht="13.5" customHeight="1">
      <c r="A28" s="951" t="s">
        <v>791</v>
      </c>
      <c r="B28" s="290" t="s">
        <v>2387</v>
      </c>
      <c r="C28" s="291">
        <f ca="1">ROUND((C5+C19+C20)*F27*'数据-取费表'!B21/'数据-取费表'!B20,0)</f>
        <v>6165</v>
      </c>
      <c r="D28" s="277"/>
      <c r="E28" s="278"/>
      <c r="F28" s="288"/>
      <c r="G28" s="289"/>
    </row>
    <row r="29" spans="1:7" s="256" customFormat="1" ht="13.5" customHeight="1">
      <c r="A29" s="951" t="s">
        <v>792</v>
      </c>
      <c r="B29" s="290" t="s">
        <v>2388</v>
      </c>
      <c r="C29" s="280">
        <f ca="1">ROUND(C21*F27*'数据-取费表'!B21/'数据-取费表'!B20,4)</f>
        <v>1.2999999999999999E-3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111248</v>
      </c>
      <c r="D31" s="272"/>
      <c r="E31" s="253"/>
      <c r="F31" s="292"/>
      <c r="G31" s="276" t="s">
        <v>2393</v>
      </c>
    </row>
    <row r="32" spans="1:7" s="250" customFormat="1" ht="15.75">
      <c r="A32" s="294" t="s">
        <v>2394</v>
      </c>
      <c r="B32" s="295"/>
      <c r="C32" s="295"/>
      <c r="D32" s="295"/>
      <c r="E32" s="295"/>
      <c r="F32" s="295"/>
      <c r="G32" s="296"/>
    </row>
    <row r="33" spans="1:7" s="256" customFormat="1" ht="13.5" customHeight="1">
      <c r="A33" s="297" t="s">
        <v>782</v>
      </c>
      <c r="B33" s="252" t="s">
        <v>2395</v>
      </c>
      <c r="C33" s="298">
        <f ca="1">SUM(C34:C38)</f>
        <v>10021</v>
      </c>
      <c r="D33" s="274"/>
      <c r="E33" s="254"/>
      <c r="F33" s="283"/>
      <c r="G33" s="276"/>
    </row>
    <row r="34" spans="1:7" s="300" customFormat="1" ht="13.5" customHeight="1">
      <c r="A34" s="951" t="s">
        <v>791</v>
      </c>
      <c r="B34" s="257" t="s">
        <v>2396</v>
      </c>
      <c r="C34" s="262">
        <f ca="1">IF(B1="",IF(F34=100%,'数据-取费表'!M16,'数据-取费表'!O16),IF(F34=100%,INDIRECT("'数据-取费表'!m"&amp;$G$1)+INDIRECT("'数据-取费表'!t"&amp;$G$1),INDIRECT("'数据-取费表'!o"&amp;$G$1)+INDIRECT("'数据-取费表'!aq"&amp;$G$1)))</f>
        <v>9131</v>
      </c>
      <c r="D34" s="259"/>
      <c r="E34" s="262"/>
      <c r="F34" s="299">
        <f ca="1">IF('数据-取费表'!B24=0,1,IF(B1="",'数据-取费表'!N16,INDIRECT("'数据-取费表'!n"&amp;$G$1)))</f>
        <v>0.25</v>
      </c>
      <c r="G34" s="261" t="s">
        <v>2397</v>
      </c>
    </row>
    <row r="35" spans="1:7" ht="13.5" customHeight="1">
      <c r="A35" s="951" t="s">
        <v>796</v>
      </c>
      <c r="B35" s="257" t="s">
        <v>2398</v>
      </c>
      <c r="C35" s="262">
        <f ca="1">ROUND(C34*F35,0)</f>
        <v>274</v>
      </c>
      <c r="D35" s="262"/>
      <c r="E35" s="262"/>
      <c r="F35" s="301">
        <f>'数据-取费表'!B33</f>
        <v>0.03</v>
      </c>
      <c r="G35" s="261" t="s">
        <v>2399</v>
      </c>
    </row>
    <row r="36" spans="1:7" ht="24">
      <c r="A36" s="951" t="s">
        <v>797</v>
      </c>
      <c r="B36" s="257" t="s">
        <v>2400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2401</v>
      </c>
    </row>
    <row r="37" spans="1:7" s="300" customFormat="1" ht="13.5" customHeight="1">
      <c r="A37" s="951" t="s">
        <v>798</v>
      </c>
      <c r="B37" s="257" t="s">
        <v>2402</v>
      </c>
      <c r="C37" s="291">
        <f ca="1">ROUND(E37*D37*F34/10000,0)</f>
        <v>479</v>
      </c>
      <c r="D37" s="259">
        <f ca="1">D19</f>
        <v>95896.06</v>
      </c>
      <c r="E37" s="291">
        <f>'数据-取费表'!B35</f>
        <v>200</v>
      </c>
      <c r="F37" s="301"/>
      <c r="G37" s="303" t="s">
        <v>2403</v>
      </c>
    </row>
    <row r="38" spans="1:7" ht="13.5" customHeight="1">
      <c r="A38" s="951" t="s">
        <v>799</v>
      </c>
      <c r="B38" s="257" t="s">
        <v>2404</v>
      </c>
      <c r="C38" s="262">
        <f ca="1">ROUND(C34*F38,0)</f>
        <v>137</v>
      </c>
      <c r="D38" s="262"/>
      <c r="E38" s="262"/>
      <c r="F38" s="301">
        <f>'数据-取费表'!B36</f>
        <v>1.4999999999999999E-2</v>
      </c>
      <c r="G38" s="261" t="s">
        <v>2399</v>
      </c>
    </row>
    <row r="39" spans="1:7" s="256" customFormat="1" ht="13.5" customHeight="1">
      <c r="A39" s="297" t="s">
        <v>2405</v>
      </c>
      <c r="B39" s="252" t="s">
        <v>2406</v>
      </c>
      <c r="C39" s="274">
        <f ca="1">ROUND(C33*F20,0)</f>
        <v>200</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240</v>
      </c>
      <c r="D41" s="277">
        <f ca="1">C44</f>
        <v>5.0000000000000001E-4</v>
      </c>
      <c r="E41" s="278" t="s">
        <v>2410</v>
      </c>
      <c r="F41" s="279"/>
      <c r="G41" s="276" t="str">
        <f>IF('数据-取费表'!B22&lt;=1,"单利计息","复利计息")</f>
        <v>复利计息</v>
      </c>
    </row>
    <row r="42" spans="1:7" ht="13.5" customHeight="1">
      <c r="A42" s="951" t="s">
        <v>791</v>
      </c>
      <c r="B42" s="257" t="s">
        <v>2414</v>
      </c>
      <c r="C42" s="280">
        <f ca="1">ROUND(IF('数据-取费表'!B22&lt;=1,C33*F22*'数据-取费表'!B21/2,C33*(POWER((1+F22),'数据-取费表'!B21/2)-1)),0)</f>
        <v>235</v>
      </c>
      <c r="D42" s="280"/>
      <c r="E42" s="280"/>
      <c r="F42" s="281"/>
      <c r="G42" s="3163" t="s">
        <v>2415</v>
      </c>
    </row>
    <row r="43" spans="1:7" ht="13.5" customHeight="1">
      <c r="A43" s="951" t="s">
        <v>792</v>
      </c>
      <c r="B43" s="257" t="s">
        <v>2416</v>
      </c>
      <c r="C43" s="280">
        <f ca="1">ROUND(IF('数据-取费表'!B22&lt;=1,C39*F22*'数据-取费表'!B21/2,C39*(POWER((1+F22),'数据-取费表'!B21/2)-1)),0)</f>
        <v>5</v>
      </c>
      <c r="D43" s="280"/>
      <c r="E43" s="280"/>
      <c r="F43" s="281"/>
      <c r="G43" s="3164"/>
    </row>
    <row r="44" spans="1:7" ht="13.5" customHeight="1">
      <c r="A44" s="951" t="s">
        <v>793</v>
      </c>
      <c r="B44" s="257" t="s">
        <v>2417</v>
      </c>
      <c r="C44" s="280">
        <f ca="1">ROUND(IF('数据-取费表'!B22&lt;=1,C40*F22*'数据-取费表'!B21/2,C40*(POWER((1+F22),'数据-取费表'!B21/2)-1)),4)</f>
        <v>5.0000000000000001E-4</v>
      </c>
      <c r="D44" s="280"/>
      <c r="E44" s="280"/>
      <c r="F44" s="281"/>
      <c r="G44" s="3165"/>
    </row>
    <row r="45" spans="1:7" s="256" customFormat="1" ht="13.5" customHeight="1">
      <c r="A45" s="297" t="s">
        <v>2418</v>
      </c>
      <c r="B45" s="286" t="s">
        <v>2384</v>
      </c>
      <c r="C45" s="287">
        <f ca="1">C46</f>
        <v>2044</v>
      </c>
      <c r="D45" s="277">
        <f ca="1">C47</f>
        <v>4.0000000000000001E-3</v>
      </c>
      <c r="E45" s="278" t="s">
        <v>2410</v>
      </c>
      <c r="F45" s="288"/>
      <c r="G45" s="289" t="s">
        <v>2419</v>
      </c>
    </row>
    <row r="46" spans="1:7" s="256" customFormat="1" ht="13.5" customHeight="1">
      <c r="A46" s="951" t="s">
        <v>791</v>
      </c>
      <c r="B46" s="290" t="s">
        <v>2420</v>
      </c>
      <c r="C46" s="291">
        <f ca="1">ROUND((C33+C39)*F27,0)</f>
        <v>2044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1726">
        <f>ROUND(F30/(1+'数据-取费表'!C42),4)</f>
        <v>5.2400000000000002E-2</v>
      </c>
      <c r="D48" s="278" t="s">
        <v>2410</v>
      </c>
      <c r="E48" s="274"/>
      <c r="F48" s="279"/>
      <c r="G48" s="276" t="s">
        <v>2423</v>
      </c>
    </row>
    <row r="49" spans="1:7" ht="16.5" customHeight="1">
      <c r="A49" s="297" t="s">
        <v>2389</v>
      </c>
      <c r="B49" s="252" t="s">
        <v>2424</v>
      </c>
      <c r="C49" s="274">
        <f ca="1">ROUND((C33+C39+C41+C45)/(1-C40-D41-D45-C48),0)</f>
        <v>13547</v>
      </c>
      <c r="D49" s="274"/>
      <c r="E49" s="274"/>
      <c r="F49" s="306"/>
      <c r="G49" s="276" t="s">
        <v>2425</v>
      </c>
    </row>
    <row r="50" spans="1:7" s="300" customFormat="1" ht="24">
      <c r="A50" s="297" t="s">
        <v>2426</v>
      </c>
      <c r="B50" s="252" t="s">
        <v>2427</v>
      </c>
      <c r="C50" s="274"/>
      <c r="D50" s="274"/>
      <c r="E50" s="274"/>
      <c r="F50" s="306">
        <f>IF('数据-取费表'!B24=0,'数据-取费表'!N16,1)</f>
        <v>1</v>
      </c>
      <c r="G50" s="289" t="s">
        <v>2428</v>
      </c>
    </row>
    <row r="51" spans="1:7" ht="16.5" customHeight="1">
      <c r="A51" s="297" t="s">
        <v>2429</v>
      </c>
      <c r="B51" s="252" t="s">
        <v>2430</v>
      </c>
      <c r="C51" s="274">
        <f ca="1">ROUND(C49*F50,0)</f>
        <v>13547</v>
      </c>
      <c r="D51" s="274"/>
      <c r="E51" s="274"/>
      <c r="F51" s="306"/>
      <c r="G51" s="276" t="s">
        <v>2431</v>
      </c>
    </row>
    <row r="52" spans="1:7" s="250" customFormat="1" ht="16.5" thickBot="1">
      <c r="A52" s="307" t="s">
        <v>2432</v>
      </c>
      <c r="B52" s="308"/>
      <c r="C52" s="309">
        <f ca="1">C31+C51</f>
        <v>124795</v>
      </c>
      <c r="D52" s="308"/>
      <c r="E52" s="308"/>
      <c r="F52" s="308"/>
      <c r="G52" s="310"/>
    </row>
    <row r="55" spans="1:7" ht="15">
      <c r="B55" s="312" t="s">
        <v>2433</v>
      </c>
      <c r="C55" s="313"/>
    </row>
    <row r="56" spans="1:7">
      <c r="B56" s="315" t="s">
        <v>1513</v>
      </c>
      <c r="C56" s="317">
        <f ca="1">1-C57</f>
        <v>0.89100000000000001</v>
      </c>
    </row>
    <row r="57" spans="1:7">
      <c r="B57" s="315" t="s">
        <v>1514</v>
      </c>
      <c r="C57" s="316">
        <f ca="1">ROUND(C51/C52,3)</f>
        <v>0.109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7" t="str">
        <f>项目基本情况!B1</f>
        <v>北京市通州区运河西岸Ⅷ-11地块出让国有建设用地使用权及在建建筑物房地产抵押价值预评估</v>
      </c>
      <c r="C37" s="2977"/>
      <c r="D37" s="2977"/>
      <c r="E37" s="2977"/>
      <c r="F37" s="2977"/>
      <c r="G37" s="2977"/>
      <c r="H37" s="2977"/>
      <c r="I37" s="2977"/>
    </row>
    <row r="38" spans="1:9">
      <c r="A38" s="1016"/>
      <c r="B38" s="1016"/>
    </row>
    <row r="39" spans="1:9">
      <c r="A39" s="1014" t="s">
        <v>818</v>
      </c>
      <c r="B39" s="1014" t="s">
        <v>820</v>
      </c>
    </row>
    <row r="40" spans="1:9">
      <c r="A40" s="1014"/>
      <c r="B40" s="1940" t="str">
        <f>项目基本情况!B5</f>
        <v>鹏瑞利美融加五（北京）置业有限公司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2332</v>
      </c>
      <c r="B1" s="1935"/>
      <c r="C1" s="2551" t="s">
        <v>2434</v>
      </c>
      <c r="D1" s="240"/>
      <c r="E1" s="240"/>
      <c r="F1" s="240"/>
      <c r="G1" s="1378">
        <f>MATCH(B1,'数据-取费表'!A6:A16,0)+5</f>
        <v>9</v>
      </c>
      <c r="H1" s="1281" t="str">
        <f>IF(ISERROR(FIND("住宅",B1)),"非住宅","住宅")</f>
        <v>非住宅</v>
      </c>
    </row>
    <row r="2" spans="1:8" s="242" customFormat="1" ht="18" customHeight="1">
      <c r="A2" s="243" t="s">
        <v>2333</v>
      </c>
      <c r="B2" s="244">
        <f ca="1">ROUND(IF(D2="——",C52/10000,C52/10000-E2),0)</f>
        <v>62119</v>
      </c>
      <c r="C2" s="241" t="s">
        <v>2334</v>
      </c>
      <c r="D2" s="2545" t="s">
        <v>70</v>
      </c>
      <c r="E2" s="1439" t="e">
        <f ca="1">SUMIF(INDIRECT("'"&amp;G2&amp;"'"&amp;"!A:A"),"承租人权益价值",INDIRECT("'"&amp;G2&amp;"'"&amp;"!c:c"))</f>
        <v>#REF!</v>
      </c>
      <c r="F2" s="2546" t="s">
        <v>2334</v>
      </c>
      <c r="G2" s="2547"/>
    </row>
    <row r="3" spans="1:8" s="242" customFormat="1" ht="18" customHeight="1" thickBot="1">
      <c r="A3" s="245" t="s">
        <v>2335</v>
      </c>
      <c r="B3" s="246">
        <f ca="1">ROUND(B2*10000/(IF(B1="",'数据-汇总表'!E3,INDIRECT("'数据-取费表'!k"&amp;$G$1))),0)</f>
        <v>6478</v>
      </c>
      <c r="C3" s="241" t="s">
        <v>2336</v>
      </c>
      <c r="D3" s="241"/>
      <c r="E3" s="241"/>
      <c r="F3" s="241"/>
      <c r="G3" s="241"/>
    </row>
    <row r="4" spans="1:8" s="250" customFormat="1" ht="15.75">
      <c r="A4" s="247" t="s">
        <v>2337</v>
      </c>
      <c r="B4" s="248"/>
      <c r="C4" s="248"/>
      <c r="D4" s="248"/>
      <c r="E4" s="248"/>
      <c r="F4" s="248"/>
      <c r="G4" s="249"/>
    </row>
    <row r="5" spans="1:8" s="256" customFormat="1" ht="13.5" customHeight="1">
      <c r="A5" s="297" t="s">
        <v>2338</v>
      </c>
      <c r="B5" s="252" t="s">
        <v>2339</v>
      </c>
      <c r="C5" s="253">
        <f ca="1">C6+C7+C8</f>
        <v>19179212</v>
      </c>
      <c r="D5" s="253" t="s">
        <v>2340</v>
      </c>
      <c r="E5" s="254" t="s">
        <v>2341</v>
      </c>
      <c r="F5" s="254" t="s">
        <v>2342</v>
      </c>
      <c r="G5" s="255"/>
    </row>
    <row r="6" spans="1:8" s="256" customFormat="1" ht="13.5" customHeight="1">
      <c r="A6" s="949" t="s">
        <v>2343</v>
      </c>
      <c r="B6" s="257" t="s">
        <v>2344</v>
      </c>
      <c r="C6" s="258"/>
      <c r="D6" s="259"/>
      <c r="E6" s="260"/>
      <c r="F6" s="260"/>
      <c r="G6" s="261"/>
    </row>
    <row r="7" spans="1:8" s="256" customFormat="1" ht="13.5" customHeight="1">
      <c r="A7" s="949" t="s">
        <v>2345</v>
      </c>
      <c r="B7" s="257" t="s">
        <v>2346</v>
      </c>
      <c r="C7" s="262">
        <f>ROUND(C6*F7,0)</f>
        <v>0</v>
      </c>
      <c r="D7" s="262"/>
      <c r="E7" s="260"/>
      <c r="F7" s="263">
        <f>'数据-取费表'!B48+'数据-取费表'!B49</f>
        <v>3.0499999999999999E-2</v>
      </c>
      <c r="G7" s="261"/>
    </row>
    <row r="8" spans="1:8" s="265" customFormat="1">
      <c r="A8" s="949" t="s">
        <v>2347</v>
      </c>
      <c r="B8" s="257" t="s">
        <v>2348</v>
      </c>
      <c r="C8" s="262">
        <f ca="1">IF(G8="已包含在土地购买价格中",0,C9+C10)</f>
        <v>19179212</v>
      </c>
      <c r="D8" s="264"/>
      <c r="E8" s="262"/>
      <c r="F8" s="263"/>
      <c r="G8" s="2548"/>
    </row>
    <row r="9" spans="1:8" s="256" customFormat="1" ht="13.5" customHeight="1">
      <c r="A9" s="950" t="s">
        <v>800</v>
      </c>
      <c r="B9" s="266" t="s">
        <v>2349</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2351</v>
      </c>
      <c r="C10" s="267">
        <f ca="1">ROUND(D10*E10,0)</f>
        <v>19179212</v>
      </c>
      <c r="D10" s="1032">
        <f ca="1">IF(B1="",'数据-汇总表'!E6,IF(INDIRECT("'数据-取费表'!c"&amp;$G$1)="住宅",INDIRECT("'数据-取费表'!s"&amp;$G$1),INDIRECT("'数据-取费表'!k"&amp;$G$1)+INDIRECT("'数据-取费表'!s"&amp;$G$1)))</f>
        <v>95896.06</v>
      </c>
      <c r="E10" s="267">
        <f>'数据-取费表'!B28</f>
        <v>200</v>
      </c>
      <c r="F10" s="263"/>
      <c r="G10" s="268"/>
    </row>
    <row r="11" spans="1:8" s="256" customFormat="1" ht="13.5" hidden="1" customHeight="1">
      <c r="A11" s="269" t="s">
        <v>7</v>
      </c>
      <c r="B11" s="257" t="s">
        <v>2352</v>
      </c>
      <c r="C11" s="253"/>
      <c r="D11" s="1034"/>
      <c r="E11" s="260"/>
      <c r="F11" s="260"/>
      <c r="G11" s="261"/>
    </row>
    <row r="12" spans="1:8" s="256" customFormat="1" ht="13.5" hidden="1" customHeight="1">
      <c r="A12" s="269" t="s">
        <v>8</v>
      </c>
      <c r="B12" s="257" t="s">
        <v>2435</v>
      </c>
      <c r="C12" s="253">
        <v>0</v>
      </c>
      <c r="D12" s="1034"/>
      <c r="E12" s="270"/>
      <c r="F12" s="263">
        <v>3.0499999999999999E-2</v>
      </c>
      <c r="G12" s="261"/>
    </row>
    <row r="13" spans="1:8" s="256" customFormat="1" ht="13.5" hidden="1" customHeight="1">
      <c r="A13" s="269" t="s">
        <v>9</v>
      </c>
      <c r="B13" s="257" t="s">
        <v>2436</v>
      </c>
      <c r="C13" s="253"/>
      <c r="D13" s="1034"/>
      <c r="E13" s="260"/>
      <c r="F13" s="260"/>
      <c r="G13" s="261"/>
    </row>
    <row r="14" spans="1:8" s="256" customFormat="1" ht="13.5" hidden="1" customHeight="1">
      <c r="A14" s="269" t="s">
        <v>10</v>
      </c>
      <c r="B14" s="257" t="s">
        <v>2348</v>
      </c>
      <c r="C14" s="253"/>
      <c r="D14" s="1034"/>
      <c r="E14" s="260"/>
      <c r="F14" s="260"/>
      <c r="G14" s="261" t="s">
        <v>2437</v>
      </c>
    </row>
    <row r="15" spans="1:8" s="256" customFormat="1" ht="13.5" hidden="1" customHeight="1">
      <c r="A15" s="269" t="s">
        <v>11</v>
      </c>
      <c r="B15" s="257" t="s">
        <v>2438</v>
      </c>
      <c r="C15" s="262"/>
      <c r="D15" s="1034"/>
      <c r="E15" s="260"/>
      <c r="F15" s="260"/>
      <c r="G15" s="261" t="s">
        <v>2439</v>
      </c>
    </row>
    <row r="16" spans="1:8" s="256" customFormat="1" ht="13.5" hidden="1" customHeight="1">
      <c r="A16" s="269" t="s">
        <v>12</v>
      </c>
      <c r="B16" s="257" t="s">
        <v>2348</v>
      </c>
      <c r="C16" s="262"/>
      <c r="D16" s="1034"/>
      <c r="E16" s="260"/>
      <c r="F16" s="260"/>
      <c r="G16" s="261"/>
    </row>
    <row r="17" spans="1:7" s="256" customFormat="1" ht="13.5" hidden="1" customHeight="1">
      <c r="A17" s="269" t="s">
        <v>13</v>
      </c>
      <c r="B17" s="257" t="s">
        <v>2440</v>
      </c>
      <c r="C17" s="271"/>
      <c r="D17" s="1035"/>
      <c r="E17" s="271"/>
      <c r="F17" s="271"/>
      <c r="G17" s="261" t="s">
        <v>2439</v>
      </c>
    </row>
    <row r="18" spans="1:7" s="256" customFormat="1" ht="13.5" hidden="1" customHeight="1">
      <c r="A18" s="269" t="s">
        <v>14</v>
      </c>
      <c r="B18" s="257" t="s">
        <v>2441</v>
      </c>
      <c r="C18" s="262">
        <v>0</v>
      </c>
      <c r="D18" s="1034"/>
      <c r="E18" s="260"/>
      <c r="F18" s="263">
        <v>3.0499999999999999E-2</v>
      </c>
      <c r="G18" s="261" t="s">
        <v>2442</v>
      </c>
    </row>
    <row r="19" spans="1:7" s="265" customFormat="1" ht="13.5" customHeight="1">
      <c r="A19" s="297" t="s">
        <v>2443</v>
      </c>
      <c r="B19" s="252" t="s">
        <v>2444</v>
      </c>
      <c r="C19" s="253">
        <f ca="1">IF(G19="已包含在土地取得成本中","0",ROUND(D19*E19,0))</f>
        <v>19179212</v>
      </c>
      <c r="D19" s="1036">
        <f ca="1">D9+D10</f>
        <v>95896.06</v>
      </c>
      <c r="E19" s="253">
        <f>'数据-取费表'!B31</f>
        <v>200</v>
      </c>
      <c r="F19" s="273"/>
      <c r="G19" s="2548"/>
    </row>
    <row r="20" spans="1:7" s="256" customFormat="1" ht="13.5" customHeight="1">
      <c r="A20" s="297" t="s">
        <v>2445</v>
      </c>
      <c r="B20" s="252" t="s">
        <v>2446</v>
      </c>
      <c r="C20" s="274">
        <f ca="1">ROUND((C5+C19)*F20,0)</f>
        <v>767168</v>
      </c>
      <c r="D20" s="274"/>
      <c r="E20" s="274"/>
      <c r="F20" s="275">
        <f>'数据-取费表'!B37</f>
        <v>0.02</v>
      </c>
      <c r="G20" s="276" t="s">
        <v>2447</v>
      </c>
    </row>
    <row r="21" spans="1:7" s="256" customFormat="1" ht="13.5" customHeight="1">
      <c r="A21" s="297" t="s">
        <v>2448</v>
      </c>
      <c r="B21" s="252" t="s">
        <v>2449</v>
      </c>
      <c r="C21" s="277">
        <f>F21</f>
        <v>0.02</v>
      </c>
      <c r="D21" s="278" t="s">
        <v>2450</v>
      </c>
      <c r="E21" s="274"/>
      <c r="F21" s="275">
        <f>'数据-取费表'!B38</f>
        <v>0.02</v>
      </c>
      <c r="G21" s="276" t="s">
        <v>2451</v>
      </c>
    </row>
    <row r="22" spans="1:7" s="256" customFormat="1" ht="13.5" customHeight="1">
      <c r="A22" s="297" t="s">
        <v>2452</v>
      </c>
      <c r="B22" s="252" t="s">
        <v>2453</v>
      </c>
      <c r="C22" s="1379">
        <f ca="1">ROUND(SUM(C23:C25),0)</f>
        <v>5785129</v>
      </c>
      <c r="D22" s="277">
        <f ca="1">C26</f>
        <v>1.4E-3</v>
      </c>
      <c r="E22" s="278" t="s">
        <v>2450</v>
      </c>
      <c r="F22" s="279">
        <f ca="1">'数据-取费表'!B40</f>
        <v>4.7500000000000001E-2</v>
      </c>
      <c r="G22" s="276" t="str">
        <f>IF('数据-取费表'!B22&lt;=1,"单利计息","复利计息")</f>
        <v>复利计息</v>
      </c>
    </row>
    <row r="23" spans="1:7" s="256" customFormat="1" ht="13.5" customHeight="1">
      <c r="A23" s="951" t="s">
        <v>2343</v>
      </c>
      <c r="B23" s="257" t="s">
        <v>2454</v>
      </c>
      <c r="C23" s="1380">
        <f ca="1">ROUND(IF('数据-取费表'!B22&lt;=1,C5*F22*'数据-取费表'!B22,C5*(POWER((1+F22),'数据-取费表'!B22)-1)),0)</f>
        <v>2864912</v>
      </c>
      <c r="D23" s="280"/>
      <c r="E23" s="280"/>
      <c r="F23" s="281"/>
      <c r="G23" s="282" t="s">
        <v>2455</v>
      </c>
    </row>
    <row r="24" spans="1:7" s="256" customFormat="1" ht="13.5" customHeight="1">
      <c r="A24" s="951" t="s">
        <v>2345</v>
      </c>
      <c r="B24" s="257" t="s">
        <v>2456</v>
      </c>
      <c r="C24" s="1380">
        <f ca="1">ROUND(IF('数据-取费表'!B22&lt;=1,C19*F22*('数据-取费表'!B19/2+'数据-取费表'!B20),C19*(POWER((1+F22),('数据-取费表'!B19/2+'数据-取费表'!B20))-1)),0)</f>
        <v>2864912</v>
      </c>
      <c r="D24" s="280"/>
      <c r="E24" s="280"/>
      <c r="F24" s="281"/>
      <c r="G24" s="282" t="s">
        <v>2457</v>
      </c>
    </row>
    <row r="25" spans="1:7" s="256" customFormat="1" ht="24">
      <c r="A25" s="951" t="s">
        <v>2347</v>
      </c>
      <c r="B25" s="257" t="s">
        <v>2458</v>
      </c>
      <c r="C25" s="1380">
        <f ca="1">ROUND(IF('数据-取费表'!B22&lt;=1,C20*F22*'数据-取费表'!B22/2,C20*(POWER((1+F22),'数据-取费表'!B22/2)-1)),0)</f>
        <v>55305</v>
      </c>
      <c r="D25" s="280"/>
      <c r="E25" s="283"/>
      <c r="F25" s="281"/>
      <c r="G25" s="284" t="s">
        <v>2459</v>
      </c>
    </row>
    <row r="26" spans="1:7" s="256" customFormat="1">
      <c r="A26" s="951" t="s">
        <v>795</v>
      </c>
      <c r="B26" s="257" t="s">
        <v>2382</v>
      </c>
      <c r="C26" s="280">
        <f ca="1">ROUND(IF('数据-取费表'!B22&lt;=1,F21*F22*'数据-取费表'!B22/2,F21*(POWER((1+F22),'数据-取费表'!B22/2)-1)),4)</f>
        <v>1.4E-3</v>
      </c>
      <c r="D26" s="280"/>
      <c r="E26" s="283"/>
      <c r="F26" s="281"/>
      <c r="G26" s="285"/>
    </row>
    <row r="27" spans="1:7" s="256" customFormat="1" ht="24.75">
      <c r="A27" s="297" t="s">
        <v>2383</v>
      </c>
      <c r="B27" s="286" t="s">
        <v>2384</v>
      </c>
      <c r="C27" s="287">
        <f ca="1">C28</f>
        <v>7825118</v>
      </c>
      <c r="D27" s="277">
        <f ca="1">C29</f>
        <v>4.0000000000000001E-3</v>
      </c>
      <c r="E27" s="278" t="s">
        <v>2385</v>
      </c>
      <c r="F27" s="288">
        <f ca="1">IF(B1="",'数据-取费表'!Q16,INDIRECT("'数据-取费表'!q"&amp;$G$1))</f>
        <v>0.2</v>
      </c>
      <c r="G27" s="289" t="s">
        <v>2386</v>
      </c>
    </row>
    <row r="28" spans="1:7" s="256" customFormat="1" ht="13.5" customHeight="1">
      <c r="A28" s="951" t="s">
        <v>791</v>
      </c>
      <c r="B28" s="290" t="s">
        <v>2387</v>
      </c>
      <c r="C28" s="291">
        <f ca="1">ROUND((C5+C19+C20)*F27,0)</f>
        <v>7825118</v>
      </c>
      <c r="D28" s="277"/>
      <c r="E28" s="278"/>
      <c r="F28" s="288"/>
      <c r="G28" s="289"/>
    </row>
    <row r="29" spans="1:7" s="256" customFormat="1" ht="13.5" customHeight="1">
      <c r="A29" s="951" t="s">
        <v>792</v>
      </c>
      <c r="B29" s="290" t="s">
        <v>2388</v>
      </c>
      <c r="C29" s="280">
        <f ca="1">ROUND(C21*F27,4)</f>
        <v>4.0000000000000001E-3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57184818</v>
      </c>
      <c r="D31" s="272"/>
      <c r="E31" s="253"/>
      <c r="F31" s="292"/>
      <c r="G31" s="276" t="s">
        <v>2393</v>
      </c>
    </row>
    <row r="32" spans="1:7" s="250" customFormat="1" ht="15.75">
      <c r="A32" s="294" t="s">
        <v>2460</v>
      </c>
      <c r="B32" s="295"/>
      <c r="C32" s="295"/>
      <c r="D32" s="295"/>
      <c r="E32" s="295"/>
      <c r="F32" s="295"/>
      <c r="G32" s="296"/>
    </row>
    <row r="33" spans="1:7" s="256" customFormat="1" ht="13.5" customHeight="1">
      <c r="A33" s="297" t="s">
        <v>782</v>
      </c>
      <c r="B33" s="252" t="s">
        <v>2461</v>
      </c>
      <c r="C33" s="298">
        <f ca="1">SUM(C34:C38)</f>
        <v>400858157</v>
      </c>
      <c r="D33" s="274"/>
      <c r="E33" s="254"/>
      <c r="F33" s="283"/>
      <c r="G33" s="276"/>
    </row>
    <row r="34" spans="1:7" s="300" customFormat="1" ht="13.5" customHeight="1">
      <c r="A34" s="951" t="s">
        <v>791</v>
      </c>
      <c r="B34" s="257" t="s">
        <v>2396</v>
      </c>
      <c r="C34" s="262">
        <f ca="1">ROUND(IF(B1="",SUMPRODUCT('数据-取费表'!K6:K14,'数据-取费表'!L6:L14),INDIRECT("'数据-取费表'!l"&amp;$G$1)*INDIRECT("'数据-取费表'!k"&amp;$G$1)+'数据-取费表'!L14*INDIRECT("'数据-取费表'!S"&amp;$G$1)),0)</f>
        <v>365243010</v>
      </c>
      <c r="D34" s="259"/>
      <c r="E34" s="262"/>
      <c r="F34" s="299"/>
      <c r="G34" s="261"/>
    </row>
    <row r="35" spans="1:7" ht="13.5" customHeight="1">
      <c r="A35" s="951" t="s">
        <v>796</v>
      </c>
      <c r="B35" s="257" t="s">
        <v>2398</v>
      </c>
      <c r="C35" s="262">
        <f ca="1">ROUND(C34*F35,0)</f>
        <v>10957290</v>
      </c>
      <c r="D35" s="262"/>
      <c r="E35" s="262"/>
      <c r="F35" s="301">
        <f>'数据-取费表'!B33</f>
        <v>0.03</v>
      </c>
      <c r="G35" s="261" t="s">
        <v>2399</v>
      </c>
    </row>
    <row r="36" spans="1:7" ht="24">
      <c r="A36" s="951" t="s">
        <v>797</v>
      </c>
      <c r="B36" s="257" t="s">
        <v>2400</v>
      </c>
      <c r="C36" s="262">
        <f ca="1">ROUND(IF(B1="",SUM('数据-取费表'!AP6:AP13)*F36,IF(INDIRECT("'数据-取费表'!c"&amp;$G$1)="住宅",INDIRECT("'数据-取费表'!k"&amp;$G$1)*INDIRECT("'数据-取费表'!l"&amp;$G$1)*F36,0)),0)</f>
        <v>0</v>
      </c>
      <c r="D36" s="262"/>
      <c r="E36" s="262"/>
      <c r="F36" s="301">
        <f>'数据-取费表'!B34</f>
        <v>0</v>
      </c>
      <c r="G36" s="302" t="s">
        <v>2401</v>
      </c>
    </row>
    <row r="37" spans="1:7" s="300" customFormat="1" ht="13.5" customHeight="1">
      <c r="A37" s="951" t="s">
        <v>798</v>
      </c>
      <c r="B37" s="257" t="s">
        <v>2402</v>
      </c>
      <c r="C37" s="291">
        <f ca="1">ROUND(E37*D37,0)</f>
        <v>19179212</v>
      </c>
      <c r="D37" s="259">
        <f ca="1">D19</f>
        <v>95896.06</v>
      </c>
      <c r="E37" s="291">
        <f>'数据-取费表'!B35</f>
        <v>200</v>
      </c>
      <c r="F37" s="301"/>
      <c r="G37" s="303"/>
    </row>
    <row r="38" spans="1:7" ht="13.5" customHeight="1">
      <c r="A38" s="951" t="s">
        <v>799</v>
      </c>
      <c r="B38" s="257" t="s">
        <v>2404</v>
      </c>
      <c r="C38" s="262">
        <f ca="1">ROUND(C34*F38,0)</f>
        <v>5478645</v>
      </c>
      <c r="D38" s="262"/>
      <c r="E38" s="262"/>
      <c r="F38" s="301">
        <f>'数据-取费表'!B36</f>
        <v>1.4999999999999999E-2</v>
      </c>
      <c r="G38" s="261" t="s">
        <v>2399</v>
      </c>
    </row>
    <row r="39" spans="1:7" s="256" customFormat="1" ht="13.5" customHeight="1">
      <c r="A39" s="297" t="s">
        <v>2405</v>
      </c>
      <c r="B39" s="252" t="s">
        <v>2406</v>
      </c>
      <c r="C39" s="274">
        <f ca="1">ROUND(C33*F20,0)</f>
        <v>8017163</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29475622</v>
      </c>
      <c r="D41" s="277">
        <f ca="1">C44</f>
        <v>1.4E-3</v>
      </c>
      <c r="E41" s="278" t="s">
        <v>2410</v>
      </c>
      <c r="F41" s="279"/>
      <c r="G41" s="276" t="str">
        <f>IF('数据-取费表'!B22&lt;=1,"单利计息","复利计息")</f>
        <v>复利计息</v>
      </c>
    </row>
    <row r="42" spans="1:7" ht="13.5" customHeight="1">
      <c r="A42" s="951" t="s">
        <v>791</v>
      </c>
      <c r="B42" s="257" t="s">
        <v>2414</v>
      </c>
      <c r="C42" s="280">
        <f ca="1">ROUND(IF('数据-取费表'!B22&lt;=1,C33*F22*'数据-取费表'!B20/2,C33*(POWER((1+F22),'数据-取费表'!B20/2)-1)),0)</f>
        <v>28897669</v>
      </c>
      <c r="D42" s="280"/>
      <c r="E42" s="280"/>
      <c r="F42" s="281"/>
      <c r="G42" s="3163" t="s">
        <v>2462</v>
      </c>
    </row>
    <row r="43" spans="1:7" ht="13.5" customHeight="1">
      <c r="A43" s="951" t="s">
        <v>792</v>
      </c>
      <c r="B43" s="257" t="s">
        <v>2416</v>
      </c>
      <c r="C43" s="280">
        <f ca="1">ROUND(IF('数据-取费表'!B22&lt;=1,C39*F22*'数据-取费表'!B20/2,C39*(POWER((1+F22),'数据-取费表'!B20/2)-1)),0)</f>
        <v>577953</v>
      </c>
      <c r="D43" s="280"/>
      <c r="E43" s="280"/>
      <c r="F43" s="281"/>
      <c r="G43" s="3164"/>
    </row>
    <row r="44" spans="1:7" ht="13.5" customHeight="1">
      <c r="A44" s="951" t="s">
        <v>793</v>
      </c>
      <c r="B44" s="257" t="s">
        <v>2417</v>
      </c>
      <c r="C44" s="280">
        <f ca="1">ROUND(IF('数据-取费表'!B22&lt;=1,C40*F22*'数据-取费表'!B20/2,C40*(POWER((1+F22),'数据-取费表'!B20/2)-1)),4)</f>
        <v>1.4E-3</v>
      </c>
      <c r="D44" s="280"/>
      <c r="E44" s="280"/>
      <c r="F44" s="281"/>
      <c r="G44" s="3165"/>
    </row>
    <row r="45" spans="1:7" s="256" customFormat="1" ht="13.5" customHeight="1">
      <c r="A45" s="297" t="s">
        <v>2418</v>
      </c>
      <c r="B45" s="286" t="s">
        <v>2384</v>
      </c>
      <c r="C45" s="287">
        <f ca="1">C46</f>
        <v>81775064</v>
      </c>
      <c r="D45" s="277">
        <f ca="1">C47</f>
        <v>4.0000000000000001E-3</v>
      </c>
      <c r="E45" s="278" t="s">
        <v>2410</v>
      </c>
      <c r="F45" s="288"/>
      <c r="G45" s="289" t="s">
        <v>2419</v>
      </c>
    </row>
    <row r="46" spans="1:7" s="256" customFormat="1" ht="13.5" customHeight="1">
      <c r="A46" s="951" t="s">
        <v>791</v>
      </c>
      <c r="B46" s="290" t="s">
        <v>2420</v>
      </c>
      <c r="C46" s="291">
        <f ca="1">ROUND((C33+C39)*F27,0)</f>
        <v>81775064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304">
        <f>ROUND(F30/(1+'数据-取费表'!C42),4)</f>
        <v>5.2400000000000002E-2</v>
      </c>
      <c r="D48" s="278" t="s">
        <v>2410</v>
      </c>
      <c r="E48" s="274"/>
      <c r="F48" s="279"/>
      <c r="G48" s="276" t="s">
        <v>2423</v>
      </c>
    </row>
    <row r="49" spans="1:7" ht="16.5" customHeight="1">
      <c r="A49" s="297" t="s">
        <v>2389</v>
      </c>
      <c r="B49" s="252" t="s">
        <v>2463</v>
      </c>
      <c r="C49" s="274">
        <f ca="1">ROUND((C33+C39+C41+C45)/(1-C40-D41-D45-C48),0)</f>
        <v>564005645</v>
      </c>
      <c r="D49" s="274"/>
      <c r="E49" s="274"/>
      <c r="F49" s="306"/>
      <c r="G49" s="276" t="s">
        <v>2425</v>
      </c>
    </row>
    <row r="50" spans="1:7" s="300" customFormat="1">
      <c r="A50" s="297" t="s">
        <v>2426</v>
      </c>
      <c r="B50" s="252" t="s">
        <v>2427</v>
      </c>
      <c r="C50" s="274"/>
      <c r="D50" s="274"/>
      <c r="E50" s="274"/>
      <c r="F50" s="306">
        <f>IF('数据-取费表'!B24=0,'数据-取费表'!N16,1)</f>
        <v>1</v>
      </c>
      <c r="G50" s="289"/>
    </row>
    <row r="51" spans="1:7" ht="16.5" customHeight="1">
      <c r="A51" s="297" t="s">
        <v>2429</v>
      </c>
      <c r="B51" s="252" t="s">
        <v>2464</v>
      </c>
      <c r="C51" s="274">
        <f ca="1">ROUND(C49*F50,0)</f>
        <v>564005645</v>
      </c>
      <c r="D51" s="274"/>
      <c r="E51" s="274"/>
      <c r="F51" s="306"/>
      <c r="G51" s="276" t="s">
        <v>2431</v>
      </c>
    </row>
    <row r="52" spans="1:7" s="250" customFormat="1" ht="16.5" thickBot="1">
      <c r="A52" s="307" t="s">
        <v>2432</v>
      </c>
      <c r="B52" s="308"/>
      <c r="C52" s="309">
        <f ca="1">C31+C51</f>
        <v>621190463</v>
      </c>
      <c r="D52" s="308"/>
      <c r="E52" s="308"/>
      <c r="F52" s="308"/>
      <c r="G52" s="310"/>
    </row>
    <row r="55" spans="1:7" ht="15">
      <c r="B55" s="312" t="s">
        <v>2433</v>
      </c>
      <c r="C55" s="313"/>
    </row>
    <row r="56" spans="1:7">
      <c r="B56" s="315" t="s">
        <v>1513</v>
      </c>
      <c r="C56" s="317">
        <f ca="1">1-C57</f>
        <v>9.1999999999999971E-2</v>
      </c>
    </row>
    <row r="57" spans="1:7">
      <c r="B57" s="315" t="s">
        <v>1514</v>
      </c>
      <c r="C57" s="316">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47" zoomScale="80" zoomScaleNormal="80" workbookViewId="0">
      <selection activeCell="C19" sqref="C19"/>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8.62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2747</v>
      </c>
      <c r="B1" s="393"/>
      <c r="C1" s="394"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2333</v>
      </c>
      <c r="B2" s="669">
        <f>F66</f>
        <v>86120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2335</v>
      </c>
      <c r="B3" s="607">
        <f>ROUND(IF(D3="",B2*10000/'数据-汇总表'!E3,B2*10000/D3),0)</f>
        <v>8981</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2648</v>
      </c>
      <c r="B4" s="400"/>
      <c r="C4" s="3184" t="s">
        <v>2649</v>
      </c>
      <c r="D4" s="3185"/>
      <c r="E4" s="3186" t="s">
        <v>2650</v>
      </c>
      <c r="F4" s="3187"/>
      <c r="G4" s="3184" t="s">
        <v>2651</v>
      </c>
      <c r="H4" s="3185"/>
      <c r="I4" s="3184" t="s">
        <v>2652</v>
      </c>
      <c r="J4" s="3185"/>
      <c r="K4" s="608" t="s">
        <v>2653</v>
      </c>
      <c r="L4" s="1130"/>
      <c r="M4" s="1131"/>
      <c r="N4" s="1131"/>
      <c r="O4" s="1131"/>
      <c r="P4" s="3188" t="s">
        <v>2654</v>
      </c>
      <c r="Q4" s="3189"/>
      <c r="R4" s="3171" t="s">
        <v>2650</v>
      </c>
      <c r="S4" s="3172"/>
      <c r="T4" s="3171" t="s">
        <v>2651</v>
      </c>
      <c r="U4" s="3172"/>
      <c r="V4" s="3196" t="s">
        <v>2652</v>
      </c>
      <c r="W4" s="3196"/>
      <c r="X4" s="1811"/>
      <c r="Y4" s="3171" t="s">
        <v>2654</v>
      </c>
      <c r="Z4" s="3172"/>
      <c r="AA4" s="3166" t="s">
        <v>2650</v>
      </c>
      <c r="AB4" s="3167" t="s">
        <v>2651</v>
      </c>
      <c r="AC4" s="3166" t="s">
        <v>2652</v>
      </c>
    </row>
    <row r="5" spans="1:30" ht="15">
      <c r="A5" s="402"/>
      <c r="B5" s="403"/>
      <c r="C5" s="3177" t="s">
        <v>2545</v>
      </c>
      <c r="D5" s="3178"/>
      <c r="E5" s="3175" t="str">
        <f>土地案例!A12</f>
        <v>通州区运河核心区Ⅸ-06地块F3其它类多功能用地</v>
      </c>
      <c r="F5" s="3176"/>
      <c r="G5" s="3177" t="str">
        <f>土地案例!A13</f>
        <v>通州区运河核心区Ⅸ-02地块F3其它类多功能用地</v>
      </c>
      <c r="H5" s="3178"/>
      <c r="I5" s="3177" t="str">
        <f>土地案例!A15</f>
        <v>通州区运河核心区Ⅸ-07地块F3其它类多功能用地</v>
      </c>
      <c r="J5" s="3178"/>
      <c r="K5" s="608"/>
      <c r="L5" s="1130"/>
      <c r="M5" s="1131"/>
      <c r="N5" s="1131"/>
      <c r="O5" s="1131"/>
      <c r="P5" s="3190"/>
      <c r="Q5" s="3191"/>
      <c r="R5" s="3173"/>
      <c r="S5" s="3174"/>
      <c r="T5" s="3173"/>
      <c r="U5" s="3174"/>
      <c r="V5" s="3196"/>
      <c r="W5" s="3196"/>
      <c r="X5" s="1811"/>
      <c r="Y5" s="3173"/>
      <c r="Z5" s="3174"/>
      <c r="AA5" s="3167"/>
      <c r="AB5" s="3167"/>
      <c r="AC5" s="3167"/>
    </row>
    <row r="6" spans="1:30" ht="15.75" thickBot="1">
      <c r="A6" s="404"/>
      <c r="B6" s="405"/>
      <c r="C6" s="3179" t="s">
        <v>2549</v>
      </c>
      <c r="D6" s="3180"/>
      <c r="E6" s="3181" t="s">
        <v>2549</v>
      </c>
      <c r="F6" s="3182"/>
      <c r="G6" s="3179" t="s">
        <v>2549</v>
      </c>
      <c r="H6" s="3180"/>
      <c r="I6" s="3179" t="s">
        <v>2549</v>
      </c>
      <c r="J6" s="3180"/>
      <c r="K6" s="608" t="s">
        <v>2550</v>
      </c>
      <c r="L6" s="1130"/>
      <c r="M6" s="1131"/>
      <c r="N6" s="1131"/>
      <c r="O6" s="1131"/>
      <c r="P6" s="3192"/>
      <c r="Q6" s="3193"/>
      <c r="R6" s="3173"/>
      <c r="S6" s="3174"/>
      <c r="T6" s="3194"/>
      <c r="U6" s="3195"/>
      <c r="V6" s="3196"/>
      <c r="W6" s="3196"/>
      <c r="X6" s="1811"/>
      <c r="Y6" s="3194"/>
      <c r="Z6" s="3195"/>
      <c r="AA6" s="3168"/>
      <c r="AB6" s="3168"/>
      <c r="AC6" s="3168"/>
    </row>
    <row r="7" spans="1:30" s="115" customFormat="1" ht="15.75" thickBot="1">
      <c r="A7" s="406" t="s">
        <v>2551</v>
      </c>
      <c r="B7" s="407"/>
      <c r="C7" s="408">
        <f>'数据-取费表'!B2</f>
        <v>43294</v>
      </c>
      <c r="D7" s="409">
        <v>100</v>
      </c>
      <c r="E7" s="410" t="str">
        <f>土地案例!H12</f>
        <v>2014-05-06</v>
      </c>
      <c r="F7" s="411">
        <f>SUMIF(70:70,YEAR(E7)&amp;"-"&amp;INT((MONTH(E7)+2)/3),71:71)</f>
        <v>91.5</v>
      </c>
      <c r="G7" s="2694" t="str">
        <f>土地案例!H13</f>
        <v>2014-05-06</v>
      </c>
      <c r="H7" s="409">
        <f>SUMIF(70:70,YEAR(G7)&amp;"-"&amp;INT((MONTH(G7)+2)/3),71:71)</f>
        <v>91.5</v>
      </c>
      <c r="I7" s="2694" t="str">
        <f>土地案例!H15</f>
        <v>2014-04-04</v>
      </c>
      <c r="J7" s="409">
        <f>SUMIF(70:70,YEAR(I7)&amp;"-"&amp;INT((MONTH(I7)+2)/3),71:71)</f>
        <v>91.5</v>
      </c>
      <c r="K7" s="609"/>
      <c r="L7" s="1132"/>
      <c r="M7" s="1133"/>
      <c r="N7" s="1133"/>
      <c r="O7" s="1133"/>
      <c r="P7" s="3169" t="s">
        <v>2552</v>
      </c>
      <c r="Q7" s="3197"/>
      <c r="R7" s="768" t="s">
        <v>17</v>
      </c>
      <c r="S7" s="769">
        <f t="shared" ref="S7:S15" si="0">F7</f>
        <v>91.5</v>
      </c>
      <c r="T7" s="768" t="s">
        <v>17</v>
      </c>
      <c r="U7" s="769">
        <f t="shared" ref="U7:U15" si="1">H7</f>
        <v>91.5</v>
      </c>
      <c r="V7" s="768" t="s">
        <v>17</v>
      </c>
      <c r="W7" s="769">
        <f t="shared" ref="W7:W15" si="2">J7</f>
        <v>91.5</v>
      </c>
      <c r="X7" s="770"/>
      <c r="Y7" s="3169" t="s">
        <v>2552</v>
      </c>
      <c r="Z7" s="3170"/>
      <c r="AA7" s="771">
        <f>D7/F7</f>
        <v>1.0928961748633881</v>
      </c>
      <c r="AB7" s="771">
        <f>D7/H7</f>
        <v>1.0928961748633881</v>
      </c>
      <c r="AC7" s="771">
        <f>D7/J7</f>
        <v>1.0928961748633881</v>
      </c>
    </row>
    <row r="8" spans="1:30" s="115" customFormat="1" ht="15.75" thickBot="1">
      <c r="A8" s="406" t="s">
        <v>2553</v>
      </c>
      <c r="B8" s="407"/>
      <c r="C8" s="412" t="s">
        <v>2554</v>
      </c>
      <c r="D8" s="409">
        <v>100</v>
      </c>
      <c r="E8" s="2952" t="s">
        <v>3131</v>
      </c>
      <c r="F8" s="411">
        <f>SUMIF(73:73,E8,74:74)-SUMIF(73:73,C8,74:74)+100</f>
        <v>100</v>
      </c>
      <c r="G8" s="2952" t="s">
        <v>3132</v>
      </c>
      <c r="H8" s="409">
        <f>SUMIF(73:73,G8,74:74)-SUMIF(73:73,C8,74:74)+100</f>
        <v>100</v>
      </c>
      <c r="I8" s="2952" t="s">
        <v>3132</v>
      </c>
      <c r="J8" s="409">
        <f>SUMIF(73:73,I8,74:74)-SUMIF(73:73,C8,74:74)+100</f>
        <v>100</v>
      </c>
      <c r="K8" s="609"/>
      <c r="L8" s="1132"/>
      <c r="M8" s="1133"/>
      <c r="N8" s="1133"/>
      <c r="O8" s="1133"/>
      <c r="P8" s="3169" t="s">
        <v>2555</v>
      </c>
      <c r="Q8" s="3170"/>
      <c r="R8" s="768" t="s">
        <v>17</v>
      </c>
      <c r="S8" s="769">
        <f t="shared" si="0"/>
        <v>100</v>
      </c>
      <c r="T8" s="768" t="s">
        <v>17</v>
      </c>
      <c r="U8" s="769">
        <f t="shared" si="1"/>
        <v>100</v>
      </c>
      <c r="V8" s="768" t="s">
        <v>17</v>
      </c>
      <c r="W8" s="769">
        <f t="shared" si="2"/>
        <v>100</v>
      </c>
      <c r="X8" s="770"/>
      <c r="Y8" s="3169" t="s">
        <v>2555</v>
      </c>
      <c r="Z8" s="3170"/>
      <c r="AA8" s="771">
        <f t="shared" ref="AA8:AA45" si="3">D8/F8</f>
        <v>1</v>
      </c>
      <c r="AB8" s="771">
        <f t="shared" ref="AB8:AB45" si="4">D8/H8</f>
        <v>1</v>
      </c>
      <c r="AC8" s="771">
        <f t="shared" ref="AC8:AC45" si="5">D8/J8</f>
        <v>1</v>
      </c>
    </row>
    <row r="9" spans="1:30" s="115" customFormat="1">
      <c r="A9" s="413" t="s">
        <v>2556</v>
      </c>
      <c r="B9" s="71" t="s">
        <v>2557</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83" t="s">
        <v>2558</v>
      </c>
      <c r="Q9" s="1793" t="str">
        <f t="shared" ref="Q9:Q15" si="6">B9</f>
        <v>用途</v>
      </c>
      <c r="R9" s="768" t="s">
        <v>17</v>
      </c>
      <c r="S9" s="769">
        <f t="shared" si="0"/>
        <v>100</v>
      </c>
      <c r="T9" s="768" t="s">
        <v>17</v>
      </c>
      <c r="U9" s="769">
        <f t="shared" si="1"/>
        <v>100</v>
      </c>
      <c r="V9" s="768" t="s">
        <v>17</v>
      </c>
      <c r="W9" s="769">
        <f t="shared" si="2"/>
        <v>100</v>
      </c>
      <c r="X9" s="770"/>
      <c r="Y9" s="3043" t="s">
        <v>2559</v>
      </c>
      <c r="Z9" s="55" t="str">
        <f t="shared" ref="Z9:Z15" si="7">Q9</f>
        <v>用途</v>
      </c>
      <c r="AA9" s="771">
        <f t="shared" si="3"/>
        <v>1</v>
      </c>
      <c r="AB9" s="771">
        <f t="shared" si="4"/>
        <v>1</v>
      </c>
      <c r="AC9" s="771">
        <f t="shared" si="5"/>
        <v>1</v>
      </c>
    </row>
    <row r="10" spans="1:30" s="425" customFormat="1" ht="27">
      <c r="A10" s="419"/>
      <c r="B10" s="420" t="s">
        <v>2560</v>
      </c>
      <c r="C10" s="430">
        <v>44.8</v>
      </c>
      <c r="D10" s="134">
        <v>100</v>
      </c>
      <c r="E10" s="463" t="s">
        <v>3133</v>
      </c>
      <c r="F10" s="134">
        <f>ROUND(100/'数据-取费表'!G16,0)</f>
        <v>104</v>
      </c>
      <c r="G10" s="461" t="s">
        <v>3133</v>
      </c>
      <c r="H10" s="134">
        <f>ROUND(100/'数据-取费表'!G16,0)</f>
        <v>104</v>
      </c>
      <c r="I10" s="461" t="s">
        <v>3133</v>
      </c>
      <c r="J10" s="134">
        <f>ROUND(100/'数据-取费表'!G16,0)</f>
        <v>104</v>
      </c>
      <c r="K10" s="670"/>
      <c r="L10" s="1135"/>
      <c r="M10" s="1136"/>
      <c r="N10" s="1136"/>
      <c r="O10" s="1137"/>
      <c r="P10" s="3183"/>
      <c r="Q10" s="1793" t="str">
        <f t="shared" si="6"/>
        <v>土地使用年限（年）</v>
      </c>
      <c r="R10" s="768" t="s">
        <v>17</v>
      </c>
      <c r="S10" s="769">
        <f t="shared" si="0"/>
        <v>104</v>
      </c>
      <c r="T10" s="768" t="s">
        <v>17</v>
      </c>
      <c r="U10" s="769">
        <f t="shared" si="1"/>
        <v>104</v>
      </c>
      <c r="V10" s="768" t="s">
        <v>17</v>
      </c>
      <c r="W10" s="769">
        <f t="shared" si="2"/>
        <v>104</v>
      </c>
      <c r="X10" s="770"/>
      <c r="Y10" s="3043"/>
      <c r="Z10" s="55" t="str">
        <f t="shared" si="7"/>
        <v>土地使用年限（年）</v>
      </c>
      <c r="AA10" s="771">
        <f t="shared" si="3"/>
        <v>0.96153846153846156</v>
      </c>
      <c r="AB10" s="771">
        <f t="shared" si="4"/>
        <v>0.96153846153846156</v>
      </c>
      <c r="AC10" s="771">
        <f t="shared" si="5"/>
        <v>0.96153846153846156</v>
      </c>
    </row>
    <row r="11" spans="1:30" ht="15">
      <c r="A11" s="426"/>
      <c r="B11" s="420" t="s">
        <v>2561</v>
      </c>
      <c r="C11" s="427">
        <f>'数据-汇总表'!I6</f>
        <v>3.62</v>
      </c>
      <c r="D11" s="134">
        <v>100</v>
      </c>
      <c r="E11" s="427">
        <f>土地案例!F12</f>
        <v>7.49</v>
      </c>
      <c r="F11" s="134">
        <f>LOOKUP(E11,80:80,81:81)-LOOKUP(C11,80:80,81:81)+100</f>
        <v>92</v>
      </c>
      <c r="G11" s="428">
        <f>土地案例!F13</f>
        <v>9.9499999999999993</v>
      </c>
      <c r="H11" s="134">
        <f>LOOKUP(G11,80:80,81:81)-LOOKUP(C11,80:80,81:81)+100</f>
        <v>88</v>
      </c>
      <c r="I11" s="427">
        <f>土地案例!F15</f>
        <v>7.52</v>
      </c>
      <c r="J11" s="134">
        <f>LOOKUP(I11,80:80,81:81)-LOOKUP(C11,80:80,81:81)+100</f>
        <v>92</v>
      </c>
      <c r="K11" s="671">
        <v>2</v>
      </c>
      <c r="L11" s="1138"/>
      <c r="M11" s="1131"/>
      <c r="N11" s="1131"/>
      <c r="O11" s="1139"/>
      <c r="P11" s="3183"/>
      <c r="Q11" s="1793" t="str">
        <f t="shared" si="6"/>
        <v>容积率</v>
      </c>
      <c r="R11" s="768" t="s">
        <v>17</v>
      </c>
      <c r="S11" s="769">
        <f t="shared" si="0"/>
        <v>92</v>
      </c>
      <c r="T11" s="768" t="s">
        <v>17</v>
      </c>
      <c r="U11" s="769">
        <f t="shared" si="1"/>
        <v>88</v>
      </c>
      <c r="V11" s="768" t="s">
        <v>17</v>
      </c>
      <c r="W11" s="769">
        <f t="shared" si="2"/>
        <v>92</v>
      </c>
      <c r="X11" s="770"/>
      <c r="Y11" s="3043"/>
      <c r="Z11" s="55" t="str">
        <f t="shared" si="7"/>
        <v>容积率</v>
      </c>
      <c r="AA11" s="771">
        <f t="shared" si="3"/>
        <v>1.0869565217391304</v>
      </c>
      <c r="AB11" s="771">
        <f t="shared" si="4"/>
        <v>1.1363636363636365</v>
      </c>
      <c r="AC11" s="771">
        <f t="shared" si="5"/>
        <v>1.0869565217391304</v>
      </c>
    </row>
    <row r="12" spans="1:30" s="115" customFormat="1" ht="15">
      <c r="A12" s="429"/>
      <c r="B12" s="2598" t="s">
        <v>2750</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83"/>
      <c r="Q12" s="1793" t="str">
        <f t="shared" si="6"/>
        <v>配建</v>
      </c>
      <c r="R12" s="768" t="s">
        <v>17</v>
      </c>
      <c r="S12" s="769">
        <f t="shared" si="0"/>
        <v>100</v>
      </c>
      <c r="T12" s="768" t="s">
        <v>17</v>
      </c>
      <c r="U12" s="769">
        <f t="shared" si="1"/>
        <v>100</v>
      </c>
      <c r="V12" s="768" t="s">
        <v>17</v>
      </c>
      <c r="W12" s="769">
        <f t="shared" si="2"/>
        <v>100</v>
      </c>
      <c r="X12" s="770"/>
      <c r="Y12" s="3043"/>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83"/>
      <c r="Q13" s="1793">
        <f t="shared" si="6"/>
        <v>111</v>
      </c>
      <c r="R13" s="768" t="s">
        <v>17</v>
      </c>
      <c r="S13" s="769">
        <f t="shared" si="0"/>
        <v>100</v>
      </c>
      <c r="T13" s="768" t="s">
        <v>17</v>
      </c>
      <c r="U13" s="769">
        <f t="shared" si="1"/>
        <v>100</v>
      </c>
      <c r="V13" s="768" t="s">
        <v>17</v>
      </c>
      <c r="W13" s="769">
        <f t="shared" si="2"/>
        <v>100</v>
      </c>
      <c r="X13" s="770"/>
      <c r="Y13" s="3043"/>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83"/>
      <c r="Q14" s="1793">
        <f t="shared" si="6"/>
        <v>111</v>
      </c>
      <c r="R14" s="768" t="s">
        <v>17</v>
      </c>
      <c r="S14" s="769">
        <f t="shared" si="0"/>
        <v>100</v>
      </c>
      <c r="T14" s="768" t="s">
        <v>17</v>
      </c>
      <c r="U14" s="769">
        <f t="shared" si="1"/>
        <v>100</v>
      </c>
      <c r="V14" s="768" t="s">
        <v>17</v>
      </c>
      <c r="W14" s="769">
        <f t="shared" si="2"/>
        <v>100</v>
      </c>
      <c r="X14" s="770"/>
      <c r="Y14" s="3043"/>
      <c r="Z14" s="55">
        <f t="shared" si="7"/>
        <v>111</v>
      </c>
      <c r="AA14" s="771">
        <f>D14/F14</f>
        <v>1</v>
      </c>
      <c r="AB14" s="771">
        <f>D14/H14</f>
        <v>1</v>
      </c>
      <c r="AC14" s="771">
        <f>D14/J14</f>
        <v>1</v>
      </c>
    </row>
    <row r="15" spans="1:30" ht="99.75">
      <c r="A15" s="438" t="s">
        <v>2562</v>
      </c>
      <c r="B15" s="69" t="s">
        <v>2089</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98" t="s">
        <v>2563</v>
      </c>
      <c r="Q15" s="1808" t="str">
        <f t="shared" si="6"/>
        <v>居住社区成熟度</v>
      </c>
      <c r="R15" s="772" t="s">
        <v>17</v>
      </c>
      <c r="S15" s="773">
        <f t="shared" si="0"/>
        <v>100</v>
      </c>
      <c r="T15" s="772" t="s">
        <v>17</v>
      </c>
      <c r="U15" s="773">
        <f t="shared" si="1"/>
        <v>100</v>
      </c>
      <c r="V15" s="772" t="s">
        <v>17</v>
      </c>
      <c r="W15" s="773">
        <f t="shared" si="2"/>
        <v>100</v>
      </c>
      <c r="X15" s="1811"/>
      <c r="Y15" s="3198" t="s">
        <v>2563</v>
      </c>
      <c r="Z15" s="1812" t="str">
        <f t="shared" si="7"/>
        <v>居住社区成熟度</v>
      </c>
      <c r="AA15" s="1809">
        <f t="shared" si="3"/>
        <v>1</v>
      </c>
      <c r="AB15" s="1809">
        <f t="shared" si="4"/>
        <v>1</v>
      </c>
      <c r="AC15" s="1809">
        <f t="shared" si="5"/>
        <v>1</v>
      </c>
    </row>
    <row r="16" spans="1:30" ht="15">
      <c r="A16" s="426"/>
      <c r="B16" s="444"/>
      <c r="C16" s="2953"/>
      <c r="D16" s="446"/>
      <c r="E16" s="2954"/>
      <c r="F16" s="446"/>
      <c r="G16" s="2954"/>
      <c r="H16" s="448"/>
      <c r="I16" s="2955"/>
      <c r="J16" s="446"/>
      <c r="K16" s="670"/>
      <c r="L16" s="1140"/>
      <c r="M16" s="1131"/>
      <c r="N16" s="1131"/>
      <c r="O16" s="1139"/>
      <c r="P16" s="3199"/>
      <c r="Q16" s="1808"/>
      <c r="R16" s="772"/>
      <c r="S16" s="773"/>
      <c r="T16" s="772"/>
      <c r="U16" s="773"/>
      <c r="V16" s="772"/>
      <c r="W16" s="773"/>
      <c r="X16" s="1811"/>
      <c r="Y16" s="3199"/>
      <c r="Z16" s="1812"/>
      <c r="AA16" s="1809">
        <v>1</v>
      </c>
      <c r="AB16" s="1809">
        <v>1</v>
      </c>
      <c r="AC16" s="1809">
        <v>1</v>
      </c>
    </row>
    <row r="17" spans="1:29" ht="71.25">
      <c r="A17" s="426"/>
      <c r="B17" s="449" t="s">
        <v>2656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99"/>
      <c r="Q17" s="1808" t="str">
        <f>B17</f>
        <v>商业繁华度</v>
      </c>
      <c r="R17" s="772" t="s">
        <v>17</v>
      </c>
      <c r="S17" s="773">
        <f>F17</f>
        <v>100</v>
      </c>
      <c r="T17" s="772" t="s">
        <v>17</v>
      </c>
      <c r="U17" s="773">
        <f>H17</f>
        <v>100</v>
      </c>
      <c r="V17" s="772" t="s">
        <v>17</v>
      </c>
      <c r="W17" s="773">
        <f>J17</f>
        <v>100</v>
      </c>
      <c r="X17" s="1811"/>
      <c r="Y17" s="3199"/>
      <c r="Z17" s="1812" t="str">
        <f>Q17</f>
        <v>商业繁华度</v>
      </c>
      <c r="AA17" s="1809">
        <f t="shared" si="3"/>
        <v>1</v>
      </c>
      <c r="AB17" s="1809">
        <f t="shared" si="4"/>
        <v>1</v>
      </c>
      <c r="AC17" s="1809">
        <f t="shared" si="5"/>
        <v>1</v>
      </c>
    </row>
    <row r="18" spans="1:29" ht="15">
      <c r="A18" s="426"/>
      <c r="B18" s="454"/>
      <c r="C18" s="2956" t="s">
        <v>3134</v>
      </c>
      <c r="D18" s="448"/>
      <c r="E18" s="2957" t="s">
        <v>3134</v>
      </c>
      <c r="F18" s="448"/>
      <c r="G18" s="2957" t="s">
        <v>3134</v>
      </c>
      <c r="H18" s="446"/>
      <c r="I18" s="2958" t="s">
        <v>3134</v>
      </c>
      <c r="J18" s="446"/>
      <c r="K18" s="670"/>
      <c r="L18" s="1140"/>
      <c r="M18" s="1131"/>
      <c r="N18" s="1131"/>
      <c r="O18" s="1139"/>
      <c r="P18" s="3199"/>
      <c r="Q18" s="1808"/>
      <c r="R18" s="772"/>
      <c r="S18" s="773"/>
      <c r="T18" s="772"/>
      <c r="U18" s="773"/>
      <c r="V18" s="772"/>
      <c r="W18" s="773"/>
      <c r="X18" s="1811"/>
      <c r="Y18" s="3199"/>
      <c r="Z18" s="1812"/>
      <c r="AA18" s="1809">
        <v>1</v>
      </c>
      <c r="AB18" s="1809">
        <v>1</v>
      </c>
      <c r="AC18" s="1809">
        <v>1</v>
      </c>
    </row>
    <row r="19" spans="1:29" ht="71.25">
      <c r="A19" s="426"/>
      <c r="B19" s="449" t="s">
        <v>2690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99"/>
      <c r="Q19" s="1808" t="str">
        <f>B19</f>
        <v>办公集聚程度</v>
      </c>
      <c r="R19" s="772" t="s">
        <v>17</v>
      </c>
      <c r="S19" s="773">
        <f>F19</f>
        <v>100</v>
      </c>
      <c r="T19" s="772" t="s">
        <v>17</v>
      </c>
      <c r="U19" s="773">
        <f>H19</f>
        <v>100</v>
      </c>
      <c r="V19" s="772" t="s">
        <v>17</v>
      </c>
      <c r="W19" s="773">
        <f>J19</f>
        <v>100</v>
      </c>
      <c r="X19" s="1811"/>
      <c r="Y19" s="3199"/>
      <c r="Z19" s="1812" t="str">
        <f>Q19</f>
        <v>办公集聚程度</v>
      </c>
      <c r="AA19" s="1809">
        <f t="shared" si="3"/>
        <v>1</v>
      </c>
      <c r="AB19" s="1809">
        <f t="shared" si="4"/>
        <v>1</v>
      </c>
      <c r="AC19" s="1809">
        <f t="shared" si="5"/>
        <v>1</v>
      </c>
    </row>
    <row r="20" spans="1:29" ht="15">
      <c r="A20" s="426"/>
      <c r="B20" s="454"/>
      <c r="C20" s="2953" t="s">
        <v>3134</v>
      </c>
      <c r="D20" s="446"/>
      <c r="E20" s="2954" t="s">
        <v>3134</v>
      </c>
      <c r="F20" s="446"/>
      <c r="G20" s="2954" t="s">
        <v>3134</v>
      </c>
      <c r="H20" s="446"/>
      <c r="I20" s="2955" t="s">
        <v>3134</v>
      </c>
      <c r="J20" s="446"/>
      <c r="K20" s="670"/>
      <c r="L20" s="1140"/>
      <c r="M20" s="1131"/>
      <c r="N20" s="1131"/>
      <c r="O20" s="1139"/>
      <c r="P20" s="3199"/>
      <c r="Q20" s="1808"/>
      <c r="R20" s="772"/>
      <c r="S20" s="773"/>
      <c r="T20" s="772"/>
      <c r="U20" s="773"/>
      <c r="V20" s="772"/>
      <c r="W20" s="773"/>
      <c r="X20" s="1811"/>
      <c r="Y20" s="3199"/>
      <c r="Z20" s="1812"/>
      <c r="AA20" s="1809">
        <v>1</v>
      </c>
      <c r="AB20" s="1809">
        <v>1</v>
      </c>
      <c r="AC20" s="1809">
        <v>1</v>
      </c>
    </row>
    <row r="21" spans="1:29" ht="85.5">
      <c r="A21" s="426"/>
      <c r="B21" s="449" t="s">
        <v>2712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99"/>
      <c r="Q21" s="1808" t="str">
        <f>B21</f>
        <v>交通便捷度</v>
      </c>
      <c r="R21" s="772" t="s">
        <v>17</v>
      </c>
      <c r="S21" s="773">
        <f>F21</f>
        <v>100</v>
      </c>
      <c r="T21" s="772" t="s">
        <v>17</v>
      </c>
      <c r="U21" s="773">
        <f>H21</f>
        <v>100</v>
      </c>
      <c r="V21" s="772" t="s">
        <v>17</v>
      </c>
      <c r="W21" s="773">
        <f>J21</f>
        <v>100</v>
      </c>
      <c r="X21" s="1811"/>
      <c r="Y21" s="3199"/>
      <c r="Z21" s="1812" t="str">
        <f>Q21</f>
        <v>交通便捷度</v>
      </c>
      <c r="AA21" s="1809">
        <f t="shared" si="3"/>
        <v>1</v>
      </c>
      <c r="AB21" s="1809">
        <f t="shared" si="4"/>
        <v>1</v>
      </c>
      <c r="AC21" s="1809">
        <f t="shared" si="5"/>
        <v>1</v>
      </c>
    </row>
    <row r="22" spans="1:29" ht="15">
      <c r="A22" s="426"/>
      <c r="B22" s="1383"/>
      <c r="C22" s="2953" t="s">
        <v>3135</v>
      </c>
      <c r="D22" s="448"/>
      <c r="E22" s="2954" t="s">
        <v>3135</v>
      </c>
      <c r="F22" s="446"/>
      <c r="G22" s="2954" t="s">
        <v>3135</v>
      </c>
      <c r="H22" s="446"/>
      <c r="I22" s="2955" t="s">
        <v>3135</v>
      </c>
      <c r="J22" s="446"/>
      <c r="K22" s="670"/>
      <c r="L22" s="1140"/>
      <c r="M22" s="1131"/>
      <c r="N22" s="1131"/>
      <c r="O22" s="1139"/>
      <c r="P22" s="3199"/>
      <c r="Q22" s="1808"/>
      <c r="R22" s="772"/>
      <c r="S22" s="773"/>
      <c r="T22" s="772"/>
      <c r="U22" s="773"/>
      <c r="V22" s="772"/>
      <c r="W22" s="773"/>
      <c r="X22" s="1811"/>
      <c r="Y22" s="3199"/>
      <c r="Z22" s="1812"/>
      <c r="AA22" s="1809">
        <v>1</v>
      </c>
      <c r="AB22" s="1809">
        <v>1</v>
      </c>
      <c r="AC22" s="1809">
        <v>1</v>
      </c>
    </row>
    <row r="23" spans="1:29" ht="15">
      <c r="A23" s="402"/>
      <c r="B23" s="449" t="s">
        <v>2751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99"/>
      <c r="Q23" s="1808" t="str">
        <f t="shared" ref="Q23:Q37" si="8">B23</f>
        <v>区域土地利用方向</v>
      </c>
      <c r="R23" s="772" t="s">
        <v>17</v>
      </c>
      <c r="S23" s="773">
        <f>F23</f>
        <v>100</v>
      </c>
      <c r="T23" s="772" t="s">
        <v>17</v>
      </c>
      <c r="U23" s="773">
        <f>H23</f>
        <v>100</v>
      </c>
      <c r="V23" s="772" t="s">
        <v>17</v>
      </c>
      <c r="W23" s="773">
        <f>J23</f>
        <v>100</v>
      </c>
      <c r="X23" s="1811"/>
      <c r="Y23" s="3199"/>
      <c r="Z23" s="1812" t="str">
        <f>Q23</f>
        <v>区域土地利用方向</v>
      </c>
      <c r="AA23" s="1809">
        <f t="shared" si="3"/>
        <v>1</v>
      </c>
      <c r="AB23" s="1809">
        <f t="shared" si="4"/>
        <v>1</v>
      </c>
      <c r="AC23" s="1809">
        <f t="shared" si="5"/>
        <v>1</v>
      </c>
    </row>
    <row r="24" spans="1:29" ht="15">
      <c r="A24" s="402"/>
      <c r="B24" s="454"/>
      <c r="C24" s="2959" t="s">
        <v>3135</v>
      </c>
      <c r="D24" s="446"/>
      <c r="E24" s="2954" t="s">
        <v>3135</v>
      </c>
      <c r="F24" s="446"/>
      <c r="G24" s="2955" t="s">
        <v>3135</v>
      </c>
      <c r="H24" s="446"/>
      <c r="I24" s="2955" t="s">
        <v>3135</v>
      </c>
      <c r="J24" s="446"/>
      <c r="K24" s="809"/>
      <c r="L24" s="1140"/>
      <c r="M24" s="1131"/>
      <c r="N24" s="1131"/>
      <c r="O24" s="1139"/>
      <c r="P24" s="3199"/>
      <c r="Q24" s="1808"/>
      <c r="R24" s="772"/>
      <c r="S24" s="773"/>
      <c r="T24" s="772"/>
      <c r="U24" s="773"/>
      <c r="V24" s="772"/>
      <c r="W24" s="773"/>
      <c r="X24" s="1811"/>
      <c r="Y24" s="3199"/>
      <c r="Z24" s="1812"/>
      <c r="AA24" s="1809"/>
      <c r="AB24" s="1809"/>
      <c r="AC24" s="1809"/>
    </row>
    <row r="25" spans="1:29" ht="57">
      <c r="A25" s="402"/>
      <c r="B25" s="1383" t="s">
        <v>2752</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99"/>
      <c r="Q25" s="1808" t="str">
        <f t="shared" si="8"/>
        <v>自然及人文环境状况</v>
      </c>
      <c r="R25" s="772" t="s">
        <v>17</v>
      </c>
      <c r="S25" s="773">
        <f>F25</f>
        <v>100</v>
      </c>
      <c r="T25" s="772" t="s">
        <v>17</v>
      </c>
      <c r="U25" s="773">
        <f>H25</f>
        <v>100</v>
      </c>
      <c r="V25" s="772" t="s">
        <v>17</v>
      </c>
      <c r="W25" s="773">
        <f>J25</f>
        <v>100</v>
      </c>
      <c r="X25" s="1811"/>
      <c r="Y25" s="3199"/>
      <c r="Z25" s="1812" t="str">
        <f>Q25</f>
        <v>自然及人文环境状况</v>
      </c>
      <c r="AA25" s="1809">
        <f t="shared" si="3"/>
        <v>1</v>
      </c>
      <c r="AB25" s="1809">
        <f t="shared" si="4"/>
        <v>1</v>
      </c>
      <c r="AC25" s="1809">
        <f t="shared" si="5"/>
        <v>1</v>
      </c>
    </row>
    <row r="26" spans="1:29" ht="15">
      <c r="A26" s="402"/>
      <c r="B26" s="454"/>
      <c r="C26" s="2953" t="s">
        <v>3135</v>
      </c>
      <c r="D26" s="446"/>
      <c r="E26" s="2960" t="s">
        <v>3135</v>
      </c>
      <c r="F26" s="446"/>
      <c r="G26" s="2960" t="s">
        <v>3135</v>
      </c>
      <c r="H26" s="446"/>
      <c r="I26" s="2953" t="s">
        <v>3135</v>
      </c>
      <c r="J26" s="446"/>
      <c r="K26" s="670"/>
      <c r="L26" s="1140"/>
      <c r="M26" s="1131"/>
      <c r="N26" s="1131"/>
      <c r="O26" s="1139"/>
      <c r="P26" s="3199"/>
      <c r="Q26" s="1808"/>
      <c r="R26" s="772"/>
      <c r="S26" s="773"/>
      <c r="T26" s="772"/>
      <c r="U26" s="773"/>
      <c r="V26" s="772"/>
      <c r="W26" s="773"/>
      <c r="X26" s="1811"/>
      <c r="Y26" s="3199"/>
      <c r="Z26" s="1812"/>
      <c r="AA26" s="1809">
        <v>1</v>
      </c>
      <c r="AB26" s="1809">
        <v>1</v>
      </c>
      <c r="AC26" s="1809">
        <v>1</v>
      </c>
    </row>
    <row r="27" spans="1:29" s="115" customFormat="1" ht="42.75">
      <c r="A27" s="647"/>
      <c r="B27" s="1383" t="s">
        <v>2657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99"/>
      <c r="Q27" s="1793" t="str">
        <f t="shared" si="8"/>
        <v>公共配套设施</v>
      </c>
      <c r="R27" s="768" t="s">
        <v>17</v>
      </c>
      <c r="S27" s="769">
        <f>F27</f>
        <v>100</v>
      </c>
      <c r="T27" s="768" t="s">
        <v>17</v>
      </c>
      <c r="U27" s="769">
        <f>H27</f>
        <v>100</v>
      </c>
      <c r="V27" s="768" t="s">
        <v>17</v>
      </c>
      <c r="W27" s="769">
        <f>J27</f>
        <v>100</v>
      </c>
      <c r="X27" s="770"/>
      <c r="Y27" s="3199"/>
      <c r="Z27" s="55" t="str">
        <f>Q27</f>
        <v>公共配套设施</v>
      </c>
      <c r="AA27" s="1809">
        <f>D27/F27</f>
        <v>1</v>
      </c>
      <c r="AB27" s="1809">
        <f>D27/H27</f>
        <v>1</v>
      </c>
      <c r="AC27" s="1809">
        <f>D27/J27</f>
        <v>1</v>
      </c>
    </row>
    <row r="28" spans="1:29" s="115" customFormat="1" ht="15">
      <c r="A28" s="647"/>
      <c r="B28" s="454"/>
      <c r="C28" s="2961" t="s">
        <v>3135</v>
      </c>
      <c r="D28" s="446"/>
      <c r="E28" s="2960" t="s">
        <v>3135</v>
      </c>
      <c r="F28" s="446"/>
      <c r="G28" s="2960" t="s">
        <v>3135</v>
      </c>
      <c r="H28" s="446"/>
      <c r="I28" s="2953" t="s">
        <v>3135</v>
      </c>
      <c r="J28" s="446"/>
      <c r="K28" s="670"/>
      <c r="L28" s="1132"/>
      <c r="M28" s="1133"/>
      <c r="N28" s="1133"/>
      <c r="O28" s="1134"/>
      <c r="P28" s="3199"/>
      <c r="Q28" s="1793"/>
      <c r="R28" s="768"/>
      <c r="S28" s="769"/>
      <c r="T28" s="768"/>
      <c r="U28" s="769"/>
      <c r="V28" s="768"/>
      <c r="W28" s="769"/>
      <c r="X28" s="770"/>
      <c r="Y28" s="3199"/>
      <c r="Z28" s="55"/>
      <c r="AA28" s="1809">
        <v>1</v>
      </c>
      <c r="AB28" s="1809">
        <v>1</v>
      </c>
      <c r="AC28" s="1809">
        <v>1</v>
      </c>
    </row>
    <row r="29" spans="1:29" s="115" customFormat="1" ht="28.5">
      <c r="A29" s="647"/>
      <c r="B29" s="1383" t="s">
        <v>2658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99"/>
      <c r="Q29" s="1793" t="str">
        <f t="shared" ref="Q29" si="9">B29</f>
        <v>基础设施水平</v>
      </c>
      <c r="R29" s="768" t="s">
        <v>17</v>
      </c>
      <c r="S29" s="769">
        <f>F29</f>
        <v>100</v>
      </c>
      <c r="T29" s="768" t="s">
        <v>17</v>
      </c>
      <c r="U29" s="769">
        <f>H29</f>
        <v>100</v>
      </c>
      <c r="V29" s="768" t="s">
        <v>17</v>
      </c>
      <c r="W29" s="769">
        <f>J29</f>
        <v>100</v>
      </c>
      <c r="X29" s="770"/>
      <c r="Y29" s="3199"/>
      <c r="Z29" s="55" t="str">
        <f>Q29</f>
        <v>基础设施水平</v>
      </c>
      <c r="AA29" s="1809">
        <f>D29/F29</f>
        <v>1</v>
      </c>
      <c r="AB29" s="1809">
        <f>D29/H29</f>
        <v>1</v>
      </c>
      <c r="AC29" s="1809">
        <f>D29/J29</f>
        <v>1</v>
      </c>
    </row>
    <row r="30" spans="1:29" s="115" customFormat="1" ht="15">
      <c r="A30" s="647"/>
      <c r="B30" s="454"/>
      <c r="C30" s="2961" t="s">
        <v>3136</v>
      </c>
      <c r="D30" s="446"/>
      <c r="E30" s="2962" t="s">
        <v>3136</v>
      </c>
      <c r="F30" s="446"/>
      <c r="G30" s="2962" t="s">
        <v>3136</v>
      </c>
      <c r="H30" s="446"/>
      <c r="I30" s="2962" t="s">
        <v>3136</v>
      </c>
      <c r="J30" s="446"/>
      <c r="K30" s="670"/>
      <c r="L30" s="1132"/>
      <c r="M30" s="1133"/>
      <c r="N30" s="1133"/>
      <c r="O30" s="1134"/>
      <c r="P30" s="3199"/>
      <c r="Q30" s="1793"/>
      <c r="R30" s="768"/>
      <c r="S30" s="769"/>
      <c r="T30" s="768"/>
      <c r="U30" s="769"/>
      <c r="V30" s="768"/>
      <c r="W30" s="769"/>
      <c r="X30" s="770"/>
      <c r="Y30" s="3199"/>
      <c r="Z30" s="55"/>
      <c r="AA30" s="1809">
        <v>1</v>
      </c>
      <c r="AB30" s="1809">
        <v>1</v>
      </c>
      <c r="AC30" s="1809">
        <v>1</v>
      </c>
    </row>
    <row r="31" spans="1:29" ht="15">
      <c r="A31" s="426"/>
      <c r="B31" s="454" t="s">
        <v>2659</v>
      </c>
      <c r="C31" s="2959" t="s">
        <v>3154</v>
      </c>
      <c r="D31" s="433">
        <v>100</v>
      </c>
      <c r="E31" s="2963" t="s">
        <v>3137</v>
      </c>
      <c r="F31" s="433">
        <f>SUMIF(104:104,E31,105:105)-SUMIF(104:104,C31,105:105)+100</f>
        <v>100</v>
      </c>
      <c r="G31" s="2963" t="s">
        <v>3138</v>
      </c>
      <c r="H31" s="433">
        <f>SUMIF(104:104,G31,105:105)-SUMIF(104:104,C31,105:105)+100</f>
        <v>100</v>
      </c>
      <c r="I31" s="2963" t="s">
        <v>3138</v>
      </c>
      <c r="J31" s="433">
        <f>SUMIF(104:104,I31,105:105)-SUMIF(104:104,C31,105:105)+100</f>
        <v>100</v>
      </c>
      <c r="K31" s="671">
        <v>2</v>
      </c>
      <c r="L31" s="1140"/>
      <c r="M31" s="1131"/>
      <c r="N31" s="1131"/>
      <c r="O31" s="1139"/>
      <c r="P31" s="3199"/>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99"/>
      <c r="Z31" s="1812" t="str">
        <f t="shared" ref="Z31:Z45" si="13">Q31</f>
        <v>临街状况</v>
      </c>
      <c r="AA31" s="1809">
        <f t="shared" si="3"/>
        <v>1</v>
      </c>
      <c r="AB31" s="1809">
        <f t="shared" si="4"/>
        <v>1</v>
      </c>
      <c r="AC31" s="1809">
        <f t="shared" si="5"/>
        <v>1</v>
      </c>
    </row>
    <row r="32" spans="1:29" ht="27">
      <c r="A32" s="426"/>
      <c r="B32" s="1383" t="s">
        <v>2694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99"/>
      <c r="Q32" s="1808" t="str">
        <f t="shared" si="8"/>
        <v>毗邻道路的类型与等级</v>
      </c>
      <c r="R32" s="772" t="s">
        <v>17</v>
      </c>
      <c r="S32" s="773">
        <f t="shared" si="10"/>
        <v>100</v>
      </c>
      <c r="T32" s="772" t="s">
        <v>17</v>
      </c>
      <c r="U32" s="773">
        <f t="shared" si="11"/>
        <v>100</v>
      </c>
      <c r="V32" s="772" t="s">
        <v>17</v>
      </c>
      <c r="W32" s="773">
        <f t="shared" si="12"/>
        <v>100</v>
      </c>
      <c r="X32" s="1811"/>
      <c r="Y32" s="3199"/>
      <c r="Z32" s="1812" t="str">
        <f t="shared" si="13"/>
        <v>毗邻道路的类型与等级</v>
      </c>
      <c r="AA32" s="1809">
        <f t="shared" si="3"/>
        <v>1</v>
      </c>
      <c r="AB32" s="1809">
        <f t="shared" si="4"/>
        <v>1</v>
      </c>
      <c r="AC32" s="1809">
        <f t="shared" si="5"/>
        <v>1</v>
      </c>
    </row>
    <row r="33" spans="1:29" ht="15.75" thickBot="1">
      <c r="A33" s="426"/>
      <c r="B33" s="454"/>
      <c r="C33" s="445"/>
      <c r="D33" s="446"/>
      <c r="E33" s="2609"/>
      <c r="F33" s="446"/>
      <c r="G33" s="2609"/>
      <c r="H33" s="446"/>
      <c r="I33" s="445"/>
      <c r="J33" s="446"/>
      <c r="K33" s="611"/>
      <c r="L33" s="1140"/>
      <c r="M33" s="1131"/>
      <c r="N33" s="1131"/>
      <c r="O33" s="1139"/>
      <c r="P33" s="3199"/>
      <c r="Q33" s="1808"/>
      <c r="R33" s="772"/>
      <c r="S33" s="773"/>
      <c r="T33" s="772"/>
      <c r="U33" s="773"/>
      <c r="V33" s="772"/>
      <c r="W33" s="773"/>
      <c r="X33" s="1811"/>
      <c r="Y33" s="3199"/>
      <c r="Z33" s="1812"/>
      <c r="AA33" s="1809">
        <v>1</v>
      </c>
      <c r="AB33" s="1809">
        <v>1</v>
      </c>
      <c r="AC33" s="1809">
        <v>1</v>
      </c>
    </row>
    <row r="34" spans="1:29" ht="15" hidden="1">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99"/>
      <c r="Q34" s="1808" t="str">
        <f t="shared" si="8"/>
        <v>土地级别</v>
      </c>
      <c r="R34" s="772" t="s">
        <v>17</v>
      </c>
      <c r="S34" s="773">
        <f t="shared" si="10"/>
        <v>100</v>
      </c>
      <c r="T34" s="772" t="s">
        <v>17</v>
      </c>
      <c r="U34" s="773">
        <f t="shared" si="11"/>
        <v>100</v>
      </c>
      <c r="V34" s="772" t="s">
        <v>17</v>
      </c>
      <c r="W34" s="773">
        <f t="shared" si="12"/>
        <v>100</v>
      </c>
      <c r="X34" s="1811"/>
      <c r="Y34" s="3199"/>
      <c r="Z34" s="1812" t="str">
        <f t="shared" si="13"/>
        <v>土地级别</v>
      </c>
      <c r="AA34" s="1809">
        <f t="shared" si="3"/>
        <v>1</v>
      </c>
      <c r="AB34" s="1809">
        <f t="shared" si="4"/>
        <v>1</v>
      </c>
      <c r="AC34" s="1809">
        <f t="shared" si="5"/>
        <v>1</v>
      </c>
    </row>
    <row r="35" spans="1:29" ht="15" hidden="1">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99"/>
      <c r="Q35" s="1808">
        <f t="shared" si="8"/>
        <v>111</v>
      </c>
      <c r="R35" s="772" t="s">
        <v>17</v>
      </c>
      <c r="S35" s="773">
        <f t="shared" si="10"/>
        <v>100</v>
      </c>
      <c r="T35" s="772" t="s">
        <v>17</v>
      </c>
      <c r="U35" s="773">
        <f t="shared" si="11"/>
        <v>100</v>
      </c>
      <c r="V35" s="772" t="s">
        <v>17</v>
      </c>
      <c r="W35" s="773">
        <f t="shared" si="12"/>
        <v>100</v>
      </c>
      <c r="X35" s="1811"/>
      <c r="Y35" s="3199"/>
      <c r="Z35" s="1812">
        <f t="shared" si="13"/>
        <v>111</v>
      </c>
      <c r="AA35" s="1809">
        <f t="shared" si="3"/>
        <v>1</v>
      </c>
      <c r="AB35" s="1809">
        <f t="shared" si="4"/>
        <v>1</v>
      </c>
      <c r="AC35" s="1809">
        <f t="shared" si="5"/>
        <v>1</v>
      </c>
    </row>
    <row r="36" spans="1:29" ht="15" hidden="1">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00" t="s">
        <v>2568</v>
      </c>
      <c r="Q36" s="1808">
        <f t="shared" si="8"/>
        <v>111</v>
      </c>
      <c r="R36" s="772" t="s">
        <v>17</v>
      </c>
      <c r="S36" s="773">
        <f t="shared" si="10"/>
        <v>100</v>
      </c>
      <c r="T36" s="772" t="s">
        <v>17</v>
      </c>
      <c r="U36" s="773">
        <f t="shared" si="11"/>
        <v>100</v>
      </c>
      <c r="V36" s="772" t="s">
        <v>17</v>
      </c>
      <c r="W36" s="773">
        <f t="shared" si="12"/>
        <v>100</v>
      </c>
      <c r="X36" s="1811"/>
      <c r="Y36" s="3201" t="s">
        <v>2568</v>
      </c>
      <c r="Z36" s="1812">
        <f t="shared" si="13"/>
        <v>111</v>
      </c>
      <c r="AA36" s="1809">
        <f t="shared" si="3"/>
        <v>1</v>
      </c>
      <c r="AB36" s="1809">
        <f t="shared" si="4"/>
        <v>1</v>
      </c>
      <c r="AC36" s="1809">
        <f t="shared" si="5"/>
        <v>1</v>
      </c>
    </row>
    <row r="37" spans="1:29" s="469" customFormat="1" ht="15.75" hidden="1"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01"/>
      <c r="Q37" s="1808">
        <f t="shared" si="8"/>
        <v>111</v>
      </c>
      <c r="R37" s="775" t="s">
        <v>17</v>
      </c>
      <c r="S37" s="776">
        <f t="shared" si="10"/>
        <v>100</v>
      </c>
      <c r="T37" s="775" t="s">
        <v>17</v>
      </c>
      <c r="U37" s="776">
        <f t="shared" si="11"/>
        <v>100</v>
      </c>
      <c r="V37" s="775" t="s">
        <v>17</v>
      </c>
      <c r="W37" s="776">
        <f t="shared" si="12"/>
        <v>100</v>
      </c>
      <c r="X37" s="777"/>
      <c r="Y37" s="3201"/>
      <c r="Z37" s="778">
        <f t="shared" si="13"/>
        <v>111</v>
      </c>
      <c r="AA37" s="1809">
        <f t="shared" si="3"/>
        <v>1</v>
      </c>
      <c r="AB37" s="1809">
        <f t="shared" si="4"/>
        <v>1</v>
      </c>
      <c r="AC37" s="1809">
        <f t="shared" si="5"/>
        <v>1</v>
      </c>
    </row>
    <row r="38" spans="1:29" ht="15">
      <c r="A38" s="470" t="s">
        <v>2566</v>
      </c>
      <c r="B38" s="454" t="s">
        <v>2754</v>
      </c>
      <c r="C38" s="677">
        <f>'数据-基础表'!A3</f>
        <v>16160</v>
      </c>
      <c r="D38" s="465">
        <v>100</v>
      </c>
      <c r="E38" s="677">
        <f>土地案例!D12</f>
        <v>17815</v>
      </c>
      <c r="F38" s="465">
        <f>LOOKUP(E38,117:117,118:118)-LOOKUP(C38,117:117,118:118)+100</f>
        <v>100</v>
      </c>
      <c r="G38" s="677">
        <f>土地案例!D13</f>
        <v>8949</v>
      </c>
      <c r="H38" s="465">
        <f>LOOKUP(G38,117:117,118:118)-LOOKUP(C38,117:117,118:118)+100</f>
        <v>99</v>
      </c>
      <c r="I38" s="528">
        <f>土地案例!D15</f>
        <v>17064</v>
      </c>
      <c r="J38" s="465">
        <f>LOOKUP(I38,117:117,118:118)-LOOKUP(C38,117:117,118:118)+100</f>
        <v>100</v>
      </c>
      <c r="K38" s="611"/>
      <c r="L38" s="1140"/>
      <c r="M38" s="1131"/>
      <c r="N38" s="1131"/>
      <c r="O38" s="1139"/>
      <c r="P38" s="3201"/>
      <c r="Q38" s="1808" t="str">
        <f>B38</f>
        <v>宗地面积</v>
      </c>
      <c r="R38" s="772" t="s">
        <v>17</v>
      </c>
      <c r="S38" s="773">
        <f t="shared" si="10"/>
        <v>100</v>
      </c>
      <c r="T38" s="772" t="s">
        <v>17</v>
      </c>
      <c r="U38" s="773">
        <f t="shared" si="11"/>
        <v>99</v>
      </c>
      <c r="V38" s="772" t="s">
        <v>17</v>
      </c>
      <c r="W38" s="773">
        <f t="shared" si="12"/>
        <v>100</v>
      </c>
      <c r="X38" s="1811"/>
      <c r="Y38" s="3201"/>
      <c r="Z38" s="1812" t="str">
        <f t="shared" si="13"/>
        <v>宗地面积</v>
      </c>
      <c r="AA38" s="1809">
        <f t="shared" si="3"/>
        <v>1</v>
      </c>
      <c r="AB38" s="1809">
        <f t="shared" si="4"/>
        <v>1.0101010101010102</v>
      </c>
      <c r="AC38" s="1809">
        <f t="shared" si="5"/>
        <v>1</v>
      </c>
    </row>
    <row r="39" spans="1:29" ht="15">
      <c r="A39" s="470"/>
      <c r="B39" s="420" t="s">
        <v>2755</v>
      </c>
      <c r="C39" s="2964" t="s">
        <v>3139</v>
      </c>
      <c r="D39" s="433">
        <v>100</v>
      </c>
      <c r="E39" s="2964" t="s">
        <v>3139</v>
      </c>
      <c r="F39" s="433">
        <f>SUMIF(119:119,E39,120:120)-SUMIF(119:119,C39,120:120)+100</f>
        <v>100</v>
      </c>
      <c r="G39" s="2964" t="s">
        <v>3139</v>
      </c>
      <c r="H39" s="433">
        <f>SUMIF(119:119,G39,120:120)-SUMIF(119:119,C39,120:120)+100</f>
        <v>100</v>
      </c>
      <c r="I39" s="2964" t="s">
        <v>3139</v>
      </c>
      <c r="J39" s="433">
        <f>SUMIF(119:119,I39,120:120)-SUMIF(119:119,C39,120:120)+100</f>
        <v>100</v>
      </c>
      <c r="K39" s="610"/>
      <c r="L39" s="1140"/>
      <c r="M39" s="1131"/>
      <c r="N39" s="1131"/>
      <c r="O39" s="1139"/>
      <c r="P39" s="3201"/>
      <c r="Q39" s="1808" t="str">
        <f t="shared" ref="Q39:Q45" si="14">B39</f>
        <v>宗地形状</v>
      </c>
      <c r="R39" s="772" t="s">
        <v>17</v>
      </c>
      <c r="S39" s="773">
        <f t="shared" si="10"/>
        <v>100</v>
      </c>
      <c r="T39" s="772" t="s">
        <v>17</v>
      </c>
      <c r="U39" s="773">
        <f t="shared" si="11"/>
        <v>100</v>
      </c>
      <c r="V39" s="772" t="s">
        <v>17</v>
      </c>
      <c r="W39" s="773">
        <f t="shared" si="12"/>
        <v>100</v>
      </c>
      <c r="X39" s="1811"/>
      <c r="Y39" s="3201"/>
      <c r="Z39" s="1812" t="str">
        <f t="shared" si="13"/>
        <v>宗地形状</v>
      </c>
      <c r="AA39" s="1809">
        <f t="shared" si="3"/>
        <v>1</v>
      </c>
      <c r="AB39" s="1809">
        <f t="shared" si="4"/>
        <v>1</v>
      </c>
      <c r="AC39" s="1809">
        <f t="shared" si="5"/>
        <v>1</v>
      </c>
    </row>
    <row r="40" spans="1:29" ht="15">
      <c r="A40" s="470"/>
      <c r="B40" s="420" t="s">
        <v>2756</v>
      </c>
      <c r="C40" s="2964" t="s">
        <v>3135</v>
      </c>
      <c r="D40" s="433">
        <v>100</v>
      </c>
      <c r="E40" s="2964" t="s">
        <v>3135</v>
      </c>
      <c r="F40" s="433">
        <f>SUMIF(121:121,E40,122:122)-SUMIF(121:121,C40,122:122)+100</f>
        <v>100</v>
      </c>
      <c r="G40" s="2964" t="s">
        <v>3135</v>
      </c>
      <c r="H40" s="433">
        <f>SUMIF(121:121,G40,122:122)-SUMIF(121:121,C40,122:122)+100</f>
        <v>100</v>
      </c>
      <c r="I40" s="2964" t="s">
        <v>3135</v>
      </c>
      <c r="J40" s="433">
        <f>SUMIF(121:121,I40,122:122)-SUMIF(121:121,C40,122:122)+100</f>
        <v>100</v>
      </c>
      <c r="K40" s="610"/>
      <c r="L40" s="1140"/>
      <c r="M40" s="1131"/>
      <c r="N40" s="1131"/>
      <c r="O40" s="1139"/>
      <c r="P40" s="3201"/>
      <c r="Q40" s="1808" t="str">
        <f t="shared" si="14"/>
        <v>临街宽度及深度</v>
      </c>
      <c r="R40" s="772" t="s">
        <v>17</v>
      </c>
      <c r="S40" s="773">
        <f t="shared" si="10"/>
        <v>100</v>
      </c>
      <c r="T40" s="772" t="s">
        <v>17</v>
      </c>
      <c r="U40" s="773">
        <f t="shared" si="11"/>
        <v>100</v>
      </c>
      <c r="V40" s="772" t="s">
        <v>17</v>
      </c>
      <c r="W40" s="773">
        <f t="shared" si="12"/>
        <v>100</v>
      </c>
      <c r="X40" s="1811"/>
      <c r="Y40" s="3201"/>
      <c r="Z40" s="1812" t="str">
        <f t="shared" si="13"/>
        <v>临街宽度及深度</v>
      </c>
      <c r="AA40" s="1809">
        <f t="shared" si="3"/>
        <v>1</v>
      </c>
      <c r="AB40" s="1809">
        <f t="shared" si="4"/>
        <v>1</v>
      </c>
      <c r="AC40" s="1809">
        <f t="shared" si="5"/>
        <v>1</v>
      </c>
    </row>
    <row r="41" spans="1:29" s="115" customFormat="1" ht="15">
      <c r="A41" s="471"/>
      <c r="B41" s="420" t="s">
        <v>2757</v>
      </c>
      <c r="C41" s="2965" t="s">
        <v>3136</v>
      </c>
      <c r="D41" s="134">
        <v>100</v>
      </c>
      <c r="E41" s="2965" t="s">
        <v>3136</v>
      </c>
      <c r="F41" s="433">
        <f>SUMIF(123:123,E41,124:124)-SUMIF(123:123,C41,124:124)+100</f>
        <v>100</v>
      </c>
      <c r="G41" s="2965" t="s">
        <v>3136</v>
      </c>
      <c r="H41" s="433">
        <f>SUMIF(123:123,G41,124:124)-SUMIF(123:123,C41,124:124)+100</f>
        <v>100</v>
      </c>
      <c r="I41" s="2965" t="s">
        <v>3136</v>
      </c>
      <c r="J41" s="433">
        <f>SUMIF(123:123,I41,124:124)-SUMIF(123:123,C41,124:124)+100</f>
        <v>100</v>
      </c>
      <c r="K41" s="610"/>
      <c r="L41" s="1132"/>
      <c r="M41" s="1133"/>
      <c r="N41" s="1133"/>
      <c r="O41" s="1134"/>
      <c r="P41" s="3201"/>
      <c r="Q41" s="1808" t="str">
        <f t="shared" si="14"/>
        <v>宗地开发程度</v>
      </c>
      <c r="R41" s="768" t="s">
        <v>17</v>
      </c>
      <c r="S41" s="769">
        <f t="shared" si="10"/>
        <v>100</v>
      </c>
      <c r="T41" s="768" t="s">
        <v>17</v>
      </c>
      <c r="U41" s="769">
        <f t="shared" si="11"/>
        <v>100</v>
      </c>
      <c r="V41" s="768" t="s">
        <v>17</v>
      </c>
      <c r="W41" s="769">
        <f t="shared" si="12"/>
        <v>100</v>
      </c>
      <c r="X41" s="770"/>
      <c r="Y41" s="3201"/>
      <c r="Z41" s="55" t="str">
        <f t="shared" si="13"/>
        <v>宗地开发程度</v>
      </c>
      <c r="AA41" s="771">
        <f t="shared" si="3"/>
        <v>1</v>
      </c>
      <c r="AB41" s="771">
        <f t="shared" si="4"/>
        <v>1</v>
      </c>
      <c r="AC41" s="771">
        <f t="shared" si="5"/>
        <v>1</v>
      </c>
    </row>
    <row r="42" spans="1:29" ht="15">
      <c r="A42" s="470"/>
      <c r="B42" s="420" t="s">
        <v>2758</v>
      </c>
      <c r="C42" s="2964" t="s">
        <v>3135</v>
      </c>
      <c r="D42" s="433">
        <v>100</v>
      </c>
      <c r="E42" s="2964" t="s">
        <v>3135</v>
      </c>
      <c r="F42" s="433">
        <f>SUMIF(125:125,E42,126:126)-SUMIF(125:125,C42,126:126)+100</f>
        <v>100</v>
      </c>
      <c r="G42" s="2964" t="s">
        <v>3135</v>
      </c>
      <c r="H42" s="433">
        <f>SUMIF(125:125,G42,126:126)-SUMIF(125:125,C42,126:126)+100</f>
        <v>100</v>
      </c>
      <c r="I42" s="2964" t="s">
        <v>3135</v>
      </c>
      <c r="J42" s="433">
        <f>SUMIF(125:125,I42,126:126)-SUMIF(125:125,C42,126:126)+100</f>
        <v>100</v>
      </c>
      <c r="K42" s="610"/>
      <c r="L42" s="1140"/>
      <c r="M42" s="1131"/>
      <c r="N42" s="1131"/>
      <c r="O42" s="1139"/>
      <c r="P42" s="3201" t="s">
        <v>2568</v>
      </c>
      <c r="Q42" s="1808" t="str">
        <f t="shared" si="14"/>
        <v>工程地质条件</v>
      </c>
      <c r="R42" s="772" t="s">
        <v>17</v>
      </c>
      <c r="S42" s="773">
        <f t="shared" si="10"/>
        <v>100</v>
      </c>
      <c r="T42" s="772" t="s">
        <v>17</v>
      </c>
      <c r="U42" s="773">
        <f t="shared" si="11"/>
        <v>100</v>
      </c>
      <c r="V42" s="772" t="s">
        <v>17</v>
      </c>
      <c r="W42" s="773">
        <f t="shared" si="12"/>
        <v>100</v>
      </c>
      <c r="X42" s="1811"/>
      <c r="Y42" s="3201" t="s">
        <v>2568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01"/>
      <c r="Q43" s="1808">
        <f t="shared" si="14"/>
        <v>111</v>
      </c>
      <c r="R43" s="772" t="s">
        <v>17</v>
      </c>
      <c r="S43" s="773">
        <f t="shared" si="10"/>
        <v>100</v>
      </c>
      <c r="T43" s="772" t="s">
        <v>17</v>
      </c>
      <c r="U43" s="773">
        <f t="shared" si="11"/>
        <v>100</v>
      </c>
      <c r="V43" s="772" t="s">
        <v>17</v>
      </c>
      <c r="W43" s="773">
        <f t="shared" si="12"/>
        <v>100</v>
      </c>
      <c r="X43" s="1811"/>
      <c r="Y43" s="3201"/>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01"/>
      <c r="Q44" s="1808">
        <f t="shared" si="14"/>
        <v>111</v>
      </c>
      <c r="R44" s="772" t="s">
        <v>17</v>
      </c>
      <c r="S44" s="773">
        <f t="shared" si="10"/>
        <v>100</v>
      </c>
      <c r="T44" s="772" t="s">
        <v>17</v>
      </c>
      <c r="U44" s="773">
        <f t="shared" si="11"/>
        <v>100</v>
      </c>
      <c r="V44" s="772" t="s">
        <v>17</v>
      </c>
      <c r="W44" s="773">
        <f t="shared" si="12"/>
        <v>100</v>
      </c>
      <c r="X44" s="1811"/>
      <c r="Y44" s="3201"/>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01"/>
      <c r="Q45" s="1808">
        <f t="shared" si="14"/>
        <v>111</v>
      </c>
      <c r="R45" s="775" t="s">
        <v>17</v>
      </c>
      <c r="S45" s="776">
        <f t="shared" si="10"/>
        <v>100</v>
      </c>
      <c r="T45" s="775" t="s">
        <v>17</v>
      </c>
      <c r="U45" s="776">
        <f t="shared" si="11"/>
        <v>100</v>
      </c>
      <c r="V45" s="775" t="s">
        <v>17</v>
      </c>
      <c r="W45" s="776">
        <f t="shared" si="12"/>
        <v>100</v>
      </c>
      <c r="X45" s="777"/>
      <c r="Y45" s="3201"/>
      <c r="Z45" s="778">
        <f t="shared" si="13"/>
        <v>111</v>
      </c>
      <c r="AA45" s="1809">
        <f t="shared" si="3"/>
        <v>1</v>
      </c>
      <c r="AB45" s="1809">
        <f t="shared" si="4"/>
        <v>1</v>
      </c>
      <c r="AC45" s="1809">
        <f t="shared" si="5"/>
        <v>1</v>
      </c>
    </row>
    <row r="46" spans="1:29" ht="15">
      <c r="A46" s="477" t="s">
        <v>2723</v>
      </c>
      <c r="B46" s="2702" t="s">
        <v>2759</v>
      </c>
      <c r="C46" s="680" t="s">
        <v>1</v>
      </c>
      <c r="D46" s="479"/>
      <c r="E46" s="480">
        <v>13371</v>
      </c>
      <c r="F46" s="481"/>
      <c r="G46" s="482">
        <v>12022</v>
      </c>
      <c r="H46" s="483"/>
      <c r="I46" s="480">
        <v>13016</v>
      </c>
      <c r="J46" s="483"/>
      <c r="K46" s="781"/>
      <c r="L46" s="1143"/>
      <c r="M46" s="1144"/>
      <c r="N46" s="1131"/>
      <c r="O46" s="1144"/>
      <c r="P46" s="3183" t="str">
        <f>A46</f>
        <v>成交单价</v>
      </c>
      <c r="Q46" s="3183"/>
      <c r="R46" s="3196">
        <f>E46</f>
        <v>13371</v>
      </c>
      <c r="S46" s="3196"/>
      <c r="T46" s="3196">
        <f>G46</f>
        <v>12022</v>
      </c>
      <c r="U46" s="3196"/>
      <c r="V46" s="3196">
        <f>I46</f>
        <v>13016</v>
      </c>
      <c r="W46" s="3196"/>
      <c r="X46" s="757"/>
      <c r="Y46" s="779"/>
      <c r="Z46" s="757"/>
      <c r="AA46" s="757"/>
      <c r="AB46" s="757"/>
      <c r="AC46" s="757"/>
    </row>
    <row r="47" spans="1:29" ht="15.75" thickBot="1">
      <c r="A47" s="484" t="s">
        <v>2672</v>
      </c>
      <c r="B47" s="681"/>
      <c r="C47" s="488">
        <f>R48</f>
        <v>14880</v>
      </c>
      <c r="D47" s="487"/>
      <c r="E47" s="488">
        <f>R47</f>
        <v>15273</v>
      </c>
      <c r="F47" s="489"/>
      <c r="G47" s="486">
        <f>ROUND(T47,0)</f>
        <v>14501</v>
      </c>
      <c r="H47" s="487"/>
      <c r="I47" s="488">
        <f>V47</f>
        <v>14867</v>
      </c>
      <c r="J47" s="487"/>
      <c r="K47" s="782"/>
      <c r="L47" s="1143"/>
      <c r="M47" s="1144"/>
      <c r="N47" s="1144"/>
      <c r="O47" s="1144"/>
      <c r="P47" s="3183" t="str">
        <f>A47</f>
        <v>比较价值（元/平方米）</v>
      </c>
      <c r="Q47" s="3183"/>
      <c r="R47" s="3202">
        <f>ROUND(PRODUCT(R46,AA7:AA45),0)</f>
        <v>15273</v>
      </c>
      <c r="S47" s="3202"/>
      <c r="T47" s="3202">
        <f>ROUND(PRODUCT(T46,AB7:AB45),0)</f>
        <v>14501</v>
      </c>
      <c r="U47" s="3202"/>
      <c r="V47" s="3202">
        <f>ROUND(PRODUCT(V46,AC7:AC45),0)</f>
        <v>14867</v>
      </c>
      <c r="W47" s="3202"/>
      <c r="X47" s="757"/>
      <c r="Y47" s="757"/>
      <c r="Z47" s="757"/>
      <c r="AA47" s="757"/>
      <c r="AB47" s="757"/>
      <c r="AC47" s="757"/>
    </row>
    <row r="48" spans="1:29" ht="15.75" thickBot="1">
      <c r="A48" s="490" t="s">
        <v>2760</v>
      </c>
      <c r="B48" s="491"/>
      <c r="C48" s="492">
        <f>R48</f>
        <v>14880</v>
      </c>
      <c r="D48" s="492"/>
      <c r="E48" s="492"/>
      <c r="F48" s="492"/>
      <c r="G48" s="492"/>
      <c r="H48" s="492"/>
      <c r="I48" s="492"/>
      <c r="J48" s="492"/>
      <c r="K48" s="783"/>
      <c r="L48" s="1143"/>
      <c r="M48" s="1144"/>
      <c r="N48" s="1144"/>
      <c r="O48" s="1144"/>
      <c r="P48" s="3203" t="str">
        <f>A48</f>
        <v>估价对象XX用房的比较价值（楼面单价，元/平方米）</v>
      </c>
      <c r="Q48" s="3204"/>
      <c r="R48" s="3205">
        <f>ROUND(AVERAGE(R47:V47),0)</f>
        <v>14880</v>
      </c>
      <c r="S48" s="3205"/>
      <c r="T48" s="3205"/>
      <c r="U48" s="3205"/>
      <c r="V48" s="3205"/>
      <c r="W48" s="3205"/>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2674</v>
      </c>
      <c r="D51" s="496"/>
      <c r="E51" s="497">
        <f>IF(E46&lt;E47,E47/E46-1,E46/E47-1)</f>
        <v>0.14224814897913385</v>
      </c>
      <c r="F51" s="498" t="str">
        <f>IF(OR(E51&gt;=0.3,E51&lt;=-0.3),"超过30%","")</f>
        <v/>
      </c>
      <c r="G51" s="497">
        <f>IF(G46&lt;G47,G47/G46-1,G46/G47-1)</f>
        <v>0.20620529030111467</v>
      </c>
      <c r="H51" s="498" t="str">
        <f>IF(OR(G51&gt;=0.3,G51&lt;=-0.3),"超过30%","")</f>
        <v/>
      </c>
      <c r="I51" s="497">
        <f>IF(I46&lt;I47,I47/I46-1,I46/I47-1)</f>
        <v>0.14220958819913943</v>
      </c>
      <c r="J51" s="498" t="str">
        <f>IF(OR(I51&gt;=0.3,I51&lt;=-0.3),"超过30%","")</f>
        <v/>
      </c>
      <c r="K51" s="1105"/>
      <c r="L51" s="1106"/>
      <c r="M51" s="1144"/>
      <c r="N51" s="1144"/>
      <c r="O51" s="1144"/>
    </row>
    <row r="52" spans="1:15" ht="13.5" customHeight="1">
      <c r="A52" s="1144"/>
      <c r="B52" s="1144"/>
      <c r="C52" s="495" t="s">
        <v>2675</v>
      </c>
      <c r="D52" s="499"/>
      <c r="E52" s="497">
        <f>IF(E47&lt;G47,G47/E47-1,E47/G47-1)</f>
        <v>5.3237707744293594E-2</v>
      </c>
      <c r="F52" s="498" t="str">
        <f>IF(OR(E52&gt;=0.2,E52&lt;=-0.2),"超过20%","")</f>
        <v/>
      </c>
      <c r="G52" s="497">
        <f>IF(G47&lt;I47,I47/G47-1,G47/I47-1)</f>
        <v>2.5239638645610629E-2</v>
      </c>
      <c r="H52" s="498" t="str">
        <f>IF(OR(G52&gt;=0.2,G52&lt;=-0.2),"超过20%","")</f>
        <v/>
      </c>
      <c r="I52" s="497">
        <f>IF(I47&lt;E47,E47/I47-1,I47/E47-1)</f>
        <v>2.7308804735319825E-2</v>
      </c>
      <c r="J52" s="498" t="str">
        <f>IF(OR(I52&gt;=0.2,I52&lt;=-0.2),"超过20%","")</f>
        <v/>
      </c>
      <c r="K52" s="1105"/>
      <c r="L52" s="1106"/>
      <c r="M52" s="1144"/>
      <c r="N52" s="1144"/>
      <c r="O52" s="1144"/>
    </row>
    <row r="53" spans="1:15" s="500" customFormat="1" ht="13.5" customHeight="1">
      <c r="A53" s="1145"/>
      <c r="B53" s="1145"/>
      <c r="C53" s="495" t="s">
        <v>2676</v>
      </c>
      <c r="D53" s="499"/>
      <c r="E53" s="497">
        <f>IF(E46&lt;G46,G46/E46-1,E46/G46-1)</f>
        <v>0.11221094659790376</v>
      </c>
      <c r="F53" s="498" t="str">
        <f>IF(OR(E53&gt;=0.3,E53&lt;=-0.3),"超过30%","")</f>
        <v/>
      </c>
      <c r="G53" s="497">
        <f>IF(G46&lt;I46,I46/G46-1,G46/I46-1)</f>
        <v>8.2681750124771192E-2</v>
      </c>
      <c r="H53" s="498" t="str">
        <f>IF(OR(G53&gt;=0.3,G53&lt;=-0.3),"超过30%","")</f>
        <v/>
      </c>
      <c r="I53" s="497">
        <f>IF(I46&lt;E46,E46/I46-1,I46/E46-1)</f>
        <v>2.7274124154886392E-2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2761</v>
      </c>
      <c r="B55" s="683" t="s">
        <v>2762</v>
      </c>
      <c r="C55" s="2703" t="s">
        <v>2763</v>
      </c>
      <c r="D55" s="2704" t="s">
        <v>2764</v>
      </c>
      <c r="E55" s="684" t="s">
        <v>2765</v>
      </c>
      <c r="F55" s="1107" t="s">
        <v>2766</v>
      </c>
      <c r="G55" s="3184" t="s">
        <v>2767</v>
      </c>
      <c r="H55" s="3206"/>
      <c r="I55" s="142" t="s">
        <v>2768</v>
      </c>
      <c r="J55" s="2705">
        <f>项目基本情况!F35</f>
        <v>0</v>
      </c>
      <c r="K55" s="2706" t="s">
        <v>2769</v>
      </c>
      <c r="L55" s="1106"/>
      <c r="M55" s="1144"/>
      <c r="N55" s="1144"/>
      <c r="O55" s="1144"/>
    </row>
    <row r="56" spans="1:15" s="690" customFormat="1">
      <c r="A56" s="686" t="s">
        <v>2770</v>
      </c>
      <c r="B56" s="687">
        <f>C48</f>
        <v>14880</v>
      </c>
      <c r="C56" s="688">
        <v>1</v>
      </c>
      <c r="D56" s="1163">
        <v>1</v>
      </c>
      <c r="E56" s="688">
        <f>'数据-汇总表'!E8+'数据-汇总表'!E9</f>
        <v>54642.68</v>
      </c>
      <c r="F56" s="1103">
        <f t="shared" ref="F56:F65" si="15">ROUND(B56*E56/10000,0)</f>
        <v>81308</v>
      </c>
      <c r="G56" s="3207"/>
      <c r="H56" s="3183"/>
      <c r="I56" s="1108">
        <v>1</v>
      </c>
      <c r="J56" s="1111">
        <v>1</v>
      </c>
      <c r="K56" s="1145"/>
      <c r="L56" s="941"/>
      <c r="M56" s="941"/>
      <c r="N56" s="941"/>
      <c r="O56" s="941"/>
    </row>
    <row r="57" spans="1:15" s="690" customFormat="1">
      <c r="A57" s="691" t="s">
        <v>2771</v>
      </c>
      <c r="B57" s="260">
        <f>ROUND($C$48*C57*D57,0)</f>
        <v>2604</v>
      </c>
      <c r="C57" s="198">
        <f t="shared" ref="C57:C65" si="16">IF($C$55="北京市系数",I57,J57)</f>
        <v>0.7</v>
      </c>
      <c r="D57" s="1164">
        <v>0.25</v>
      </c>
      <c r="E57" s="692">
        <f>'数据-汇总表'!G20</f>
        <v>13156.32</v>
      </c>
      <c r="F57" s="1103">
        <f t="shared" si="15"/>
        <v>3426</v>
      </c>
      <c r="G57" s="3208" t="s">
        <v>2772</v>
      </c>
      <c r="H57" s="1104" t="str">
        <f>项目基本情况!B37</f>
        <v>六级</v>
      </c>
      <c r="I57" s="1108">
        <f>SUMIF(修正!A45:A56,H57,修正!B45:B56)</f>
        <v>0.7</v>
      </c>
      <c r="J57" s="1112"/>
      <c r="K57" s="1144"/>
      <c r="L57" s="941"/>
      <c r="M57" s="941"/>
      <c r="N57" s="941"/>
      <c r="O57" s="941"/>
    </row>
    <row r="58" spans="1:15" s="690" customFormat="1">
      <c r="A58" s="691" t="s">
        <v>2773</v>
      </c>
      <c r="B58" s="260">
        <f t="shared" ref="B58:B65" si="17">ROUND($C$48*C58*D58,0)</f>
        <v>1488</v>
      </c>
      <c r="C58" s="198">
        <f t="shared" si="16"/>
        <v>0.4</v>
      </c>
      <c r="D58" s="1164">
        <v>0.25</v>
      </c>
      <c r="E58" s="692"/>
      <c r="F58" s="1103">
        <f t="shared" si="15"/>
        <v>0</v>
      </c>
      <c r="G58" s="3208"/>
      <c r="H58" s="1104" t="str">
        <f>项目基本情况!B37</f>
        <v>六级</v>
      </c>
      <c r="I58" s="1108">
        <f>SUMIF(修正!A45:A56,H58,修正!C45:C56)</f>
        <v>0.4</v>
      </c>
      <c r="J58" s="1112"/>
      <c r="K58" s="1145"/>
      <c r="L58" s="941"/>
      <c r="M58" s="941"/>
      <c r="N58" s="941"/>
      <c r="O58" s="941"/>
    </row>
    <row r="59" spans="1:15" s="690" customFormat="1">
      <c r="A59" s="691" t="s">
        <v>2774</v>
      </c>
      <c r="B59" s="260">
        <f t="shared" si="17"/>
        <v>1042</v>
      </c>
      <c r="C59" s="198">
        <f t="shared" si="16"/>
        <v>0.28000000000000003</v>
      </c>
      <c r="D59" s="1164">
        <v>0.25</v>
      </c>
      <c r="E59" s="692"/>
      <c r="F59" s="1103">
        <f t="shared" si="15"/>
        <v>0</v>
      </c>
      <c r="G59" s="3208"/>
      <c r="H59" s="1104" t="str">
        <f>项目基本情况!B37</f>
        <v>六级</v>
      </c>
      <c r="I59" s="1108">
        <f>SUMIF(修正!A45:A56,H59,修正!D45:D56)</f>
        <v>0.28000000000000003</v>
      </c>
      <c r="J59" s="1112"/>
      <c r="K59" s="1144"/>
      <c r="L59" s="941"/>
      <c r="M59" s="941"/>
      <c r="N59" s="941"/>
      <c r="O59" s="941"/>
    </row>
    <row r="60" spans="1:15" s="690" customFormat="1">
      <c r="A60" s="691" t="s">
        <v>2775</v>
      </c>
      <c r="B60" s="260">
        <f t="shared" si="17"/>
        <v>930</v>
      </c>
      <c r="C60" s="198">
        <f t="shared" si="16"/>
        <v>0.25</v>
      </c>
      <c r="D60" s="1164">
        <v>0.25</v>
      </c>
      <c r="E60" s="692"/>
      <c r="F60" s="1103">
        <f t="shared" si="15"/>
        <v>0</v>
      </c>
      <c r="G60" s="3208"/>
      <c r="H60" s="1104" t="str">
        <f>项目基本情况!B37</f>
        <v>六级</v>
      </c>
      <c r="I60" s="1108">
        <f>SUMIF(修正!A45:A56,H60,修正!E45:E56)</f>
        <v>0.25</v>
      </c>
      <c r="J60" s="1112"/>
      <c r="K60" s="1145"/>
      <c r="L60" s="941"/>
      <c r="M60" s="941"/>
      <c r="N60" s="941"/>
      <c r="O60" s="941"/>
    </row>
    <row r="61" spans="1:15" s="690" customFormat="1">
      <c r="A61" s="691" t="s">
        <v>2776</v>
      </c>
      <c r="B61" s="260">
        <f t="shared" si="17"/>
        <v>930</v>
      </c>
      <c r="C61" s="198">
        <f t="shared" si="16"/>
        <v>0.25</v>
      </c>
      <c r="D61" s="1164">
        <v>0.25</v>
      </c>
      <c r="E61" s="259">
        <f>'数据-汇总表'!E11</f>
        <v>0</v>
      </c>
      <c r="F61" s="1103">
        <f t="shared" si="15"/>
        <v>0</v>
      </c>
      <c r="G61" s="2707" t="s">
        <v>2777</v>
      </c>
      <c r="H61" s="1104" t="str">
        <f>项目基本情况!C37</f>
        <v>六级</v>
      </c>
      <c r="I61" s="1108">
        <f>SUMIF(修正!A45:A56,H61,修正!F45:F56)</f>
        <v>0.25</v>
      </c>
      <c r="J61" s="1112"/>
      <c r="K61" s="1144"/>
      <c r="L61" s="941"/>
      <c r="M61" s="941"/>
      <c r="N61" s="941"/>
      <c r="O61" s="941"/>
    </row>
    <row r="62" spans="1:15" s="690" customFormat="1">
      <c r="A62" s="691" t="s">
        <v>2778</v>
      </c>
      <c r="B62" s="260">
        <f t="shared" si="17"/>
        <v>930</v>
      </c>
      <c r="C62" s="198">
        <f t="shared" si="16"/>
        <v>0.25</v>
      </c>
      <c r="D62" s="1164">
        <v>0.25</v>
      </c>
      <c r="E62" s="259">
        <f>'数据-汇总表'!E12</f>
        <v>0</v>
      </c>
      <c r="F62" s="1103">
        <f t="shared" si="15"/>
        <v>0</v>
      </c>
      <c r="G62" s="1109" t="s">
        <v>2779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2780</v>
      </c>
      <c r="B63" s="260">
        <f t="shared" si="17"/>
        <v>0</v>
      </c>
      <c r="C63" s="198">
        <f t="shared" si="16"/>
        <v>0</v>
      </c>
      <c r="D63" s="1164">
        <v>0.25</v>
      </c>
      <c r="E63" s="259">
        <f>'数据-汇总表'!E13</f>
        <v>0</v>
      </c>
      <c r="F63" s="1103">
        <f t="shared" si="15"/>
        <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0">
        <f t="shared" si="17"/>
        <v>744</v>
      </c>
      <c r="C64" s="198">
        <f t="shared" si="16"/>
        <v>0.2</v>
      </c>
      <c r="D64" s="1164">
        <v>0.25</v>
      </c>
      <c r="E64" s="259">
        <f>'数据-汇总表'!E14</f>
        <v>0</v>
      </c>
      <c r="F64" s="1103">
        <f t="shared" si="15"/>
        <v>0</v>
      </c>
      <c r="G64" s="2707" t="s">
        <v>2772</v>
      </c>
      <c r="H64" s="1104" t="str">
        <f>项目基本情况!B37</f>
        <v>六级</v>
      </c>
      <c r="I64" s="1108">
        <f>SUMIF(修正!A45:A56,H64,修正!H45:H56)</f>
        <v>0.2</v>
      </c>
      <c r="J64" s="1112"/>
      <c r="K64" s="1145"/>
      <c r="L64" s="941"/>
      <c r="M64" s="941"/>
      <c r="N64" s="941"/>
      <c r="O64" s="941"/>
    </row>
    <row r="65" spans="1:20" s="690" customFormat="1" ht="15" thickBot="1">
      <c r="A65" s="691" t="s">
        <v>2783</v>
      </c>
      <c r="B65" s="260">
        <f t="shared" si="17"/>
        <v>744</v>
      </c>
      <c r="C65" s="198">
        <f t="shared" si="16"/>
        <v>0.2</v>
      </c>
      <c r="D65" s="1164">
        <v>0.25</v>
      </c>
      <c r="E65" s="259">
        <f>'数据-汇总表'!E15</f>
        <v>18631.560000000001</v>
      </c>
      <c r="F65" s="1103">
        <f t="shared" si="15"/>
        <v>1386</v>
      </c>
      <c r="G65" s="2708" t="s">
        <v>2777</v>
      </c>
      <c r="H65" s="1114" t="str">
        <f>项目基本情况!C37</f>
        <v>六级</v>
      </c>
      <c r="I65" s="1110">
        <f>SUMIF(修正!A45:A56,H65,修正!H45:H56)</f>
        <v>0.2</v>
      </c>
      <c r="J65" s="1113"/>
      <c r="K65" s="1144"/>
      <c r="L65" s="941"/>
      <c r="M65" s="941"/>
      <c r="N65" s="941"/>
      <c r="O65" s="941"/>
    </row>
    <row r="66" spans="1:20" s="690" customFormat="1" ht="13.5" thickBot="1">
      <c r="A66" s="693" t="s">
        <v>2784</v>
      </c>
      <c r="B66" s="694" t="s">
        <v>28</v>
      </c>
      <c r="C66" s="694" t="s">
        <v>29</v>
      </c>
      <c r="D66" s="694" t="s">
        <v>1029</v>
      </c>
      <c r="E66" s="694">
        <f>IF(B46="楼面地价",SUM(E56:E65),'数据-汇总表'!D3)</f>
        <v>86430.56</v>
      </c>
      <c r="F66" s="695">
        <f>IF(B46="楼面地价",SUM(F56:F65),ROUND(C48*E66/10000,0))</f>
        <v>86120</v>
      </c>
      <c r="G66" s="785"/>
      <c r="H66" s="785"/>
      <c r="I66" s="785"/>
      <c r="J66" s="785"/>
      <c r="K66" s="1158"/>
      <c r="L66" s="941"/>
      <c r="M66" s="941"/>
      <c r="N66" s="941"/>
      <c r="O66" s="941"/>
    </row>
    <row r="67" spans="1:20">
      <c r="A67" s="757"/>
      <c r="B67" s="759"/>
      <c r="C67" s="760"/>
      <c r="D67" s="757"/>
      <c r="E67" s="757"/>
      <c r="F67" s="757"/>
      <c r="G67" s="757"/>
      <c r="H67" s="757"/>
      <c r="I67" s="757"/>
      <c r="J67" s="1144"/>
      <c r="K67" s="1105"/>
      <c r="L67" s="1106"/>
      <c r="M67" s="1144"/>
      <c r="N67" s="1144"/>
      <c r="O67" s="1144"/>
    </row>
    <row r="68" spans="1:20">
      <c r="A68" s="757"/>
      <c r="B68" s="759"/>
      <c r="C68" s="759" t="str">
        <f>YEAR(C7)&amp;"-"&amp;MONTH(C7)&amp;"-1"</f>
        <v>2018-7-1</v>
      </c>
      <c r="D68" s="759">
        <f>EDATE(C68,-3)</f>
        <v>43191</v>
      </c>
      <c r="E68" s="759">
        <f>EDATE(D68,-3)</f>
        <v>43101</v>
      </c>
      <c r="F68" s="759">
        <f t="shared" ref="F68:O68" si="18">EDATE(E68,-3)</f>
        <v>43009</v>
      </c>
      <c r="G68" s="759">
        <f t="shared" si="18"/>
        <v>42917</v>
      </c>
      <c r="H68" s="759">
        <f t="shared" si="18"/>
        <v>42826</v>
      </c>
      <c r="I68" s="759">
        <f t="shared" si="18"/>
        <v>42736</v>
      </c>
      <c r="J68" s="759">
        <f t="shared" si="18"/>
        <v>42644</v>
      </c>
      <c r="K68" s="759">
        <f t="shared" si="18"/>
        <v>42552</v>
      </c>
      <c r="L68" s="759">
        <f t="shared" si="18"/>
        <v>42461</v>
      </c>
      <c r="M68" s="759">
        <f t="shared" si="18"/>
        <v>42370</v>
      </c>
      <c r="N68" s="759">
        <f t="shared" si="18"/>
        <v>42278</v>
      </c>
      <c r="O68" s="759">
        <f t="shared" si="18"/>
        <v>42186</v>
      </c>
      <c r="P68" s="2966"/>
    </row>
    <row r="69" spans="1:20" ht="21.75" thickBot="1">
      <c r="A69" s="761" t="s">
        <v>2677</v>
      </c>
      <c r="B69" s="757"/>
      <c r="C69" s="762"/>
      <c r="D69" s="762"/>
      <c r="E69" s="762"/>
      <c r="F69" s="763"/>
      <c r="G69" s="763"/>
      <c r="H69" s="762"/>
      <c r="I69" s="762"/>
      <c r="J69" s="1159"/>
      <c r="K69" s="1160"/>
      <c r="L69" s="1161"/>
      <c r="M69" s="1159"/>
      <c r="N69" s="1159"/>
      <c r="O69" s="1159"/>
      <c r="P69" s="501"/>
      <c r="Q69" s="502"/>
    </row>
    <row r="70" spans="1:20" s="506" customFormat="1" ht="15">
      <c r="A70" s="2709" t="s">
        <v>2785</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t="s">
        <v>3140</v>
      </c>
      <c r="Q70" s="505" t="s">
        <v>3141</v>
      </c>
      <c r="R70" s="505" t="s">
        <v>3142</v>
      </c>
      <c r="S70" s="505" t="s">
        <v>3143</v>
      </c>
      <c r="T70" s="506" t="s">
        <v>3149</v>
      </c>
    </row>
    <row r="71" spans="1:20" s="115" customFormat="1" ht="30" customHeight="1">
      <c r="A71" s="2710" t="s">
        <v>27</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593">
        <v>95</v>
      </c>
      <c r="N71" s="593">
        <v>94.5</v>
      </c>
      <c r="O71" s="593">
        <v>94</v>
      </c>
      <c r="P71" s="593">
        <v>93.5</v>
      </c>
      <c r="Q71" s="593">
        <v>93</v>
      </c>
      <c r="R71" s="593">
        <v>92.5</v>
      </c>
      <c r="S71" s="593">
        <v>92</v>
      </c>
      <c r="T71" s="115">
        <v>91.5</v>
      </c>
    </row>
    <row r="72" spans="1:20" s="115" customFormat="1" ht="15.75" thickBot="1">
      <c r="A72" s="513" t="s">
        <v>2588</v>
      </c>
      <c r="B72" s="514"/>
      <c r="C72" s="515"/>
      <c r="D72" s="516"/>
      <c r="E72" s="516"/>
      <c r="F72" s="516"/>
      <c r="G72" s="516"/>
      <c r="H72" s="516"/>
      <c r="I72" s="516"/>
      <c r="J72" s="516"/>
      <c r="K72" s="516"/>
      <c r="L72" s="516"/>
      <c r="M72" s="517"/>
      <c r="N72" s="516"/>
      <c r="O72" s="1162"/>
      <c r="P72" s="2967"/>
      <c r="Q72" s="2967"/>
      <c r="R72" s="2968"/>
      <c r="S72" s="2968"/>
    </row>
    <row r="73" spans="1:20" s="115" customFormat="1" ht="15">
      <c r="A73" s="519" t="s">
        <v>2553</v>
      </c>
      <c r="B73" s="508"/>
      <c r="C73" s="520" t="s">
        <v>2655</v>
      </c>
      <c r="D73" s="521"/>
      <c r="E73" s="521"/>
      <c r="F73" s="521"/>
      <c r="G73" s="521"/>
      <c r="H73" s="521"/>
      <c r="I73" s="521"/>
      <c r="J73" s="521"/>
      <c r="K73" s="521"/>
      <c r="L73" s="522"/>
      <c r="M73" s="523"/>
      <c r="N73" s="1151"/>
      <c r="O73" s="1151"/>
      <c r="P73" s="524"/>
      <c r="Q73" s="502"/>
    </row>
    <row r="74" spans="1:20" s="115" customFormat="1" ht="15.75" thickBot="1">
      <c r="A74" s="519"/>
      <c r="B74" s="508"/>
      <c r="C74" s="637">
        <v>100</v>
      </c>
      <c r="D74" s="510"/>
      <c r="E74" s="510"/>
      <c r="F74" s="510"/>
      <c r="G74" s="510"/>
      <c r="H74" s="510"/>
      <c r="I74" s="510"/>
      <c r="J74" s="510"/>
      <c r="K74" s="510"/>
      <c r="L74" s="510"/>
      <c r="M74" s="512"/>
      <c r="N74" s="1151"/>
      <c r="O74" s="1151"/>
      <c r="P74" s="502"/>
      <c r="Q74" s="502"/>
    </row>
    <row r="75" spans="1:20">
      <c r="A75" s="525" t="s">
        <v>2591</v>
      </c>
      <c r="B75" s="526" t="s">
        <v>2557</v>
      </c>
      <c r="C75" s="528"/>
      <c r="D75" s="528"/>
      <c r="E75" s="528"/>
      <c r="F75" s="528"/>
      <c r="G75" s="528"/>
      <c r="H75" s="528"/>
      <c r="I75" s="528"/>
      <c r="J75" s="528"/>
      <c r="K75" s="529"/>
      <c r="L75" s="530"/>
      <c r="M75" s="531"/>
      <c r="N75" s="1152"/>
      <c r="O75" s="1152"/>
      <c r="P75" s="45"/>
      <c r="Q75" s="502"/>
    </row>
    <row r="76" spans="1:20" ht="15.75" thickBot="1">
      <c r="A76" s="532"/>
      <c r="B76" s="533"/>
      <c r="C76" s="534"/>
      <c r="D76" s="534"/>
      <c r="E76" s="534"/>
      <c r="F76" s="534"/>
      <c r="G76" s="534"/>
      <c r="H76" s="534"/>
      <c r="I76" s="534"/>
      <c r="J76" s="534"/>
      <c r="K76" s="534"/>
      <c r="L76" s="534"/>
      <c r="M76" s="535"/>
      <c r="N76" s="1153"/>
      <c r="O76" s="1153"/>
      <c r="P76" s="45"/>
      <c r="Q76" s="502"/>
    </row>
    <row r="77" spans="1:20" ht="27.75" thickTop="1">
      <c r="A77" s="532"/>
      <c r="B77" s="536" t="s">
        <v>2560</v>
      </c>
      <c r="C77" s="537"/>
      <c r="D77" s="537"/>
      <c r="E77" s="537"/>
      <c r="F77" s="537"/>
      <c r="G77" s="537"/>
      <c r="H77" s="537"/>
      <c r="I77" s="537"/>
      <c r="J77" s="537"/>
      <c r="K77" s="538"/>
      <c r="L77" s="539"/>
      <c r="M77" s="540"/>
      <c r="N77" s="1152"/>
      <c r="O77" s="1152"/>
      <c r="P77" s="45"/>
      <c r="Q77" s="502"/>
    </row>
    <row r="78" spans="1:20" ht="15.75" thickBot="1">
      <c r="A78" s="532"/>
      <c r="B78" s="541"/>
      <c r="C78" s="542"/>
      <c r="D78" s="542"/>
      <c r="E78" s="542"/>
      <c r="F78" s="542"/>
      <c r="G78" s="542"/>
      <c r="H78" s="542"/>
      <c r="I78" s="542"/>
      <c r="J78" s="542"/>
      <c r="K78" s="542"/>
      <c r="L78" s="542"/>
      <c r="M78" s="543"/>
      <c r="N78" s="1153"/>
      <c r="O78" s="1153"/>
      <c r="P78" s="45"/>
      <c r="Q78" s="502"/>
    </row>
    <row r="79" spans="1:20" ht="15.75" thickTop="1">
      <c r="A79" s="532"/>
      <c r="B79" s="544" t="s">
        <v>2561</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5"/>
      <c r="Q79" s="502"/>
    </row>
    <row r="80" spans="1:20" ht="15">
      <c r="A80" s="532"/>
      <c r="B80" s="546"/>
      <c r="C80" s="547">
        <v>0</v>
      </c>
      <c r="D80" s="547">
        <v>1</v>
      </c>
      <c r="E80" s="547">
        <v>2</v>
      </c>
      <c r="F80" s="547">
        <v>3</v>
      </c>
      <c r="G80" s="547">
        <v>4</v>
      </c>
      <c r="H80" s="547">
        <v>5</v>
      </c>
      <c r="I80" s="547">
        <v>6</v>
      </c>
      <c r="J80" s="547">
        <v>7</v>
      </c>
      <c r="K80" s="548">
        <v>8</v>
      </c>
      <c r="L80" s="549">
        <v>9</v>
      </c>
      <c r="M80" s="550">
        <v>10</v>
      </c>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2786</v>
      </c>
      <c r="C90" s="576" t="s">
        <v>2600</v>
      </c>
      <c r="D90" s="576" t="s">
        <v>2601</v>
      </c>
      <c r="E90" s="576" t="s">
        <v>2602</v>
      </c>
      <c r="F90" s="576" t="s">
        <v>2603</v>
      </c>
      <c r="G90" s="576" t="s">
        <v>2604</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2787</v>
      </c>
      <c r="C96" s="576" t="s">
        <v>2600</v>
      </c>
      <c r="D96" s="576" t="s">
        <v>2601</v>
      </c>
      <c r="E96" s="576" t="s">
        <v>2602</v>
      </c>
      <c r="F96" s="576" t="s">
        <v>2603</v>
      </c>
      <c r="G96" s="576" t="s">
        <v>2604</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2788</v>
      </c>
      <c r="C98" s="571" t="s">
        <v>2600</v>
      </c>
      <c r="D98" s="571" t="s">
        <v>2601</v>
      </c>
      <c r="E98" s="571" t="s">
        <v>2602</v>
      </c>
      <c r="F98" s="571" t="s">
        <v>2603</v>
      </c>
      <c r="G98" s="571" t="s">
        <v>2604</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52"/>
      <c r="O104" s="1152"/>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3"/>
      <c r="O105" s="1153"/>
      <c r="P105" s="45"/>
      <c r="Q105" s="502"/>
    </row>
    <row r="106" spans="1:17" ht="27.75" thickTop="1">
      <c r="A106" s="532"/>
      <c r="B106" s="536" t="s">
        <v>2694</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2753</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2566</v>
      </c>
      <c r="B116" s="526" t="s">
        <v>2793</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50000(含)-60000</v>
      </c>
      <c r="I116" s="527" t="str">
        <f t="shared" si="25"/>
        <v>60000(含)-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10000</v>
      </c>
      <c r="E117" s="593">
        <v>20000</v>
      </c>
      <c r="F117" s="593">
        <v>30000</v>
      </c>
      <c r="G117" s="593">
        <v>40000</v>
      </c>
      <c r="H117" s="593">
        <v>50000</v>
      </c>
      <c r="I117" s="593">
        <v>60000</v>
      </c>
      <c r="J117" s="594"/>
      <c r="K117" s="594"/>
      <c r="L117" s="595"/>
      <c r="M117" s="596"/>
      <c r="N117" s="1152"/>
      <c r="O117" s="1152"/>
      <c r="P117" s="45"/>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5"/>
      <c r="Q118" s="502"/>
    </row>
    <row r="119" spans="1:17" ht="15" thickTop="1">
      <c r="A119" s="597"/>
      <c r="B119" s="536" t="s">
        <v>2794</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2795</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2796</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2797</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35" sqref="B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2465</v>
      </c>
      <c r="B1" s="1579"/>
      <c r="C1" s="1580"/>
      <c r="D1" s="1578"/>
      <c r="E1" s="318"/>
      <c r="F1" s="318"/>
      <c r="G1" s="1579"/>
      <c r="H1" s="318"/>
      <c r="I1" s="318"/>
      <c r="J1" s="318"/>
      <c r="K1" s="318">
        <f>MATCH(C1,'数据-取费表'!A6:A16,0)+5</f>
        <v>9</v>
      </c>
    </row>
    <row r="2" spans="1:33" ht="18" customHeight="1">
      <c r="A2" s="243" t="s">
        <v>2333</v>
      </c>
      <c r="B2" s="246">
        <f ca="1">C32</f>
        <v>91418</v>
      </c>
      <c r="C2" s="318" t="s">
        <v>2466</v>
      </c>
      <c r="D2" s="318"/>
      <c r="E2" s="318"/>
      <c r="F2" s="318"/>
      <c r="G2" s="318"/>
      <c r="H2" s="318"/>
      <c r="I2" s="318"/>
      <c r="J2" s="318"/>
      <c r="K2" s="318"/>
    </row>
    <row r="3" spans="1:33" ht="18" customHeight="1" thickBot="1">
      <c r="A3" s="245" t="s">
        <v>2335</v>
      </c>
      <c r="B3" s="246">
        <f ca="1">ROUND(B2*10000/IF(C1="",'数据-汇总表'!E3,INDIRECT("'数据-取费表'!K"&amp;$K$1)),0)</f>
        <v>9533</v>
      </c>
      <c r="C3" s="318" t="s">
        <v>2467</v>
      </c>
      <c r="D3" s="318"/>
      <c r="E3" s="318"/>
      <c r="F3" s="318"/>
      <c r="G3" s="318"/>
      <c r="H3" s="318"/>
      <c r="I3" s="318"/>
      <c r="J3" s="318"/>
      <c r="K3" s="318"/>
    </row>
    <row r="4" spans="1:33" s="956" customFormat="1" ht="16.5" customHeight="1">
      <c r="A4" s="953" t="s">
        <v>2468</v>
      </c>
      <c r="B4" s="954"/>
      <c r="C4" s="996">
        <f ca="1">SUM(C8:K8)</f>
        <v>165804</v>
      </c>
      <c r="D4" s="954"/>
      <c r="E4" s="954"/>
      <c r="F4" s="954"/>
      <c r="G4" s="954"/>
      <c r="H4" s="954"/>
      <c r="I4" s="954"/>
      <c r="J4" s="954"/>
      <c r="K4" s="955"/>
    </row>
    <row r="5" spans="1:33" s="960" customFormat="1" ht="15">
      <c r="A5" s="957" t="s">
        <v>2469</v>
      </c>
      <c r="B5" s="958" t="s">
        <v>2470</v>
      </c>
      <c r="C5" s="2552" t="s">
        <v>27</v>
      </c>
      <c r="D5" s="2552" t="s">
        <v>1377</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2471</v>
      </c>
      <c r="C6" s="962">
        <f ca="1">'收益法-办公'!B3</f>
        <v>21593</v>
      </c>
      <c r="D6" s="962">
        <f ca="1">'收益法-商业'!B3</f>
        <v>25468</v>
      </c>
      <c r="E6" s="962">
        <f ca="1">'收益法-车库'!B3</f>
        <v>2342</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8" t="s">
        <v>2473</v>
      </c>
      <c r="C7" s="319">
        <f>SUMIF('数据-汇总表'!$C19:$C33,假设开发法!C5,'数据-汇总表'!$E19:$E33)</f>
        <v>0</v>
      </c>
      <c r="D7" s="319">
        <f>SUMIF('数据-汇总表'!$C19:$C33,假设开发法!D5,'数据-汇总表'!$E19:$E33)</f>
        <v>38821.839999999997</v>
      </c>
      <c r="E7" s="319">
        <f>SUMIF('数据-汇总表'!$C19:$C33,假设开发法!E5,'数据-汇总表'!$E19:$E33)</f>
        <v>18631.560000000001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2474</v>
      </c>
      <c r="B8" s="175" t="s">
        <v>2475</v>
      </c>
      <c r="C8" s="997">
        <f ca="1">'收益法-办公'!B2</f>
        <v>62569</v>
      </c>
      <c r="D8" s="997">
        <f ca="1">'收益法-商业'!B2</f>
        <v>98871</v>
      </c>
      <c r="E8" s="997">
        <f ca="1">'收益法-车库'!B2</f>
        <v>4364</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1">
        <f ca="1">IF(C1="",'数据-取费表'!P16,INDIRECT("'数据-取费表'!p"&amp;$K$1)+INDIRECT("'数据-取费表'!ar"&amp;$K$1))</f>
        <v>27393</v>
      </c>
      <c r="D11" s="973"/>
      <c r="E11" s="373"/>
      <c r="F11" s="974">
        <f ca="1">1-IF('数据-取费表'!B24=0,1,IF(C1="",'数据-取费表'!N16,INDIRECT("'数据-取费表'!n"&amp;$K$1)))</f>
        <v>0.75</v>
      </c>
      <c r="G11" s="8"/>
      <c r="H11" s="968"/>
      <c r="I11" s="968"/>
      <c r="J11" s="968"/>
      <c r="K11" s="969"/>
    </row>
    <row r="12" spans="1:33" s="975" customFormat="1" ht="13.5" customHeight="1">
      <c r="A12" s="971" t="s">
        <v>1335</v>
      </c>
      <c r="B12" s="972" t="s">
        <v>2484</v>
      </c>
      <c r="C12" s="24">
        <f ca="1">ROUND(C11*F12,0)</f>
        <v>822</v>
      </c>
      <c r="D12" s="973"/>
      <c r="E12" s="373"/>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3"/>
      <c r="F13" s="976">
        <f>'数据-取费表'!B34</f>
        <v>0</v>
      </c>
      <c r="G13" s="8" t="s">
        <v>2487</v>
      </c>
      <c r="H13" s="968"/>
      <c r="I13" s="968"/>
      <c r="J13" s="968"/>
      <c r="K13" s="969"/>
    </row>
    <row r="14" spans="1:33" s="977" customFormat="1" ht="13.5" customHeight="1">
      <c r="A14" s="971" t="s">
        <v>1337</v>
      </c>
      <c r="B14" s="972" t="s">
        <v>2488</v>
      </c>
      <c r="C14" s="24">
        <f ca="1">ROUND(D14*E14*F11/10000,0)</f>
        <v>1438</v>
      </c>
      <c r="D14" s="1033">
        <f ca="1">IF(C1="",'数据-汇总表'!E3,INDIRECT("'数据-取费表'!K"&amp;$K$1)+INDIRECT("'数据-取费表'!S"&amp;$K$1))</f>
        <v>95896.06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411</v>
      </c>
      <c r="D15" s="978"/>
      <c r="E15" s="983"/>
      <c r="F15" s="984">
        <f>'数据-取费表'!B36</f>
        <v>1.4999999999999999E-2</v>
      </c>
      <c r="G15" s="138"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30064</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95896.06</v>
      </c>
      <c r="E17" s="24">
        <f>'数据-取费表'!B32</f>
        <v>0</v>
      </c>
      <c r="F17" s="978"/>
      <c r="G17" s="138" t="s">
        <v>2494</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4"/>
      <c r="H18" s="1575"/>
      <c r="I18" s="2555"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2498</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2499</v>
      </c>
      <c r="C21" s="986">
        <f ca="1">C16+C17+C18</f>
        <v>30064</v>
      </c>
      <c r="D21" s="987"/>
      <c r="E21" s="323"/>
      <c r="F21" s="323"/>
      <c r="G21" s="138" t="s">
        <v>2500</v>
      </c>
      <c r="H21" s="979"/>
      <c r="I21" s="979"/>
      <c r="J21" s="979"/>
      <c r="K21" s="980"/>
    </row>
    <row r="22" spans="1:33" s="975" customFormat="1" ht="13.5" customHeight="1">
      <c r="A22" s="961" t="s">
        <v>2472</v>
      </c>
      <c r="B22" s="985" t="s">
        <v>2501</v>
      </c>
      <c r="C22" s="986">
        <f ca="1">ROUND(C21*F22,0)</f>
        <v>601</v>
      </c>
      <c r="D22" s="323"/>
      <c r="E22" s="323"/>
      <c r="F22" s="988">
        <f>'数据-取费表'!B37</f>
        <v>0.02</v>
      </c>
      <c r="G22" s="8" t="s">
        <v>2502</v>
      </c>
      <c r="H22" s="968"/>
      <c r="I22" s="968"/>
      <c r="J22" s="968"/>
      <c r="K22" s="969"/>
    </row>
    <row r="23" spans="1:33" s="975" customFormat="1" ht="13.5" customHeight="1">
      <c r="A23" s="961" t="s">
        <v>2474</v>
      </c>
      <c r="B23" s="985" t="s">
        <v>2503</v>
      </c>
      <c r="C23" s="986">
        <f ca="1">ROUND(C4*F23*F11,0)</f>
        <v>2487</v>
      </c>
      <c r="D23" s="323"/>
      <c r="E23" s="323"/>
      <c r="F23" s="988">
        <f>'数据-取费表'!B38</f>
        <v>0.02</v>
      </c>
      <c r="G23" s="8" t="s">
        <v>2504</v>
      </c>
      <c r="H23" s="968"/>
      <c r="I23" s="968"/>
      <c r="J23" s="968"/>
      <c r="K23" s="969"/>
    </row>
    <row r="24" spans="1:33" s="975" customFormat="1" ht="13.5" customHeight="1">
      <c r="A24" s="961" t="s">
        <v>2505</v>
      </c>
      <c r="B24" s="985" t="s">
        <v>2506</v>
      </c>
      <c r="C24" s="322">
        <f>ROUND(F24/(1+'数据-取费表'!C42),4)</f>
        <v>2.9000000000000001E-2</v>
      </c>
      <c r="D24" s="323" t="s">
        <v>15</v>
      </c>
      <c r="E24" s="323"/>
      <c r="F24" s="988">
        <f>'数据-取费表'!B48+'数据-取费表'!B49</f>
        <v>3.0499999999999999E-2</v>
      </c>
      <c r="G24" s="8" t="s">
        <v>2507</v>
      </c>
      <c r="H24" s="990"/>
      <c r="I24" s="990"/>
      <c r="J24" s="990"/>
      <c r="K24" s="991"/>
    </row>
    <row r="25" spans="1:33" s="975" customFormat="1" ht="13.5" customHeight="1">
      <c r="A25" s="961" t="s">
        <v>2508</v>
      </c>
      <c r="B25" s="987" t="s">
        <v>2509</v>
      </c>
      <c r="C25" s="1355">
        <f ca="1">C27</f>
        <v>1575</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6">
        <f ca="1">ROUND(IF('数据-取费表'!B22&lt;=1,(1+C24)*F25*'数据-取费表'!B24,(1+C24)*(POWER((1+F25),'数据-取费表'!B24)-1)),4)</f>
        <v>0.10009999999999999</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7">
        <f ca="1">ROUND(IF('数据-取费表'!B22&lt;=1,(C21+C22+C23)*F25*'数据-取费表'!B24/2,(C21+C22+C23)*(POWER((1+F25),'数据-取费表'!B24/2)-1)),0)</f>
        <v>1575</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2512</v>
      </c>
      <c r="B28" s="2557" t="s">
        <v>2513</v>
      </c>
      <c r="C28" s="329">
        <f ca="1">C30</f>
        <v>6630</v>
      </c>
      <c r="D28" s="322">
        <f ca="1">C29</f>
        <v>0.13719999999999999</v>
      </c>
      <c r="E28" s="324" t="s">
        <v>15</v>
      </c>
      <c r="F28" s="330">
        <f ca="1">IF(C1="",'数据-取费表'!Q16,INDIRECT("'数据-取费表'!q"&amp;$K$1))</f>
        <v>0.2</v>
      </c>
      <c r="G28" s="989"/>
      <c r="H28" s="990"/>
      <c r="I28" s="990"/>
      <c r="J28" s="990"/>
      <c r="K28" s="991"/>
    </row>
    <row r="29" spans="1:33" s="333" customFormat="1" ht="13.5" customHeight="1">
      <c r="A29" s="971" t="s">
        <v>803</v>
      </c>
      <c r="B29" s="994" t="s">
        <v>2514</v>
      </c>
      <c r="C29" s="326">
        <f ca="1">ROUND((1+C24)*F28*'数据-取费表'!B24/'数据-取费表'!B20,4)</f>
        <v>0.13719999999999999</v>
      </c>
      <c r="D29" s="326"/>
      <c r="E29" s="327"/>
      <c r="F29" s="332"/>
      <c r="G29" s="138" t="s">
        <v>2515</v>
      </c>
      <c r="H29" s="979"/>
      <c r="I29" s="979"/>
      <c r="J29" s="979"/>
      <c r="K29" s="980"/>
    </row>
    <row r="30" spans="1:33" s="333" customFormat="1" ht="13.5" customHeight="1">
      <c r="A30" s="971" t="s">
        <v>804</v>
      </c>
      <c r="B30" s="994" t="s">
        <v>2516</v>
      </c>
      <c r="C30" s="334">
        <f ca="1">ROUND((C21+C22+C23)*F28,0)</f>
        <v>6630</v>
      </c>
      <c r="D30" s="326"/>
      <c r="E30" s="327"/>
      <c r="F30" s="332"/>
      <c r="G30" s="138"/>
      <c r="H30" s="979"/>
      <c r="I30" s="979"/>
      <c r="J30" s="979"/>
      <c r="K30" s="980"/>
    </row>
    <row r="31" spans="1:33" s="975" customFormat="1" ht="13.5" customHeight="1" thickBot="1">
      <c r="A31" s="2558" t="s">
        <v>2517</v>
      </c>
      <c r="B31" s="1005" t="s">
        <v>2518</v>
      </c>
      <c r="C31" s="1006">
        <f ca="1">ROUND(C4*F31/(1+'数据-取费表'!C42),0)</f>
        <v>8685</v>
      </c>
      <c r="D31" s="1007"/>
      <c r="E31" s="1008"/>
      <c r="F31" s="1009">
        <f>'数据-取费表'!B41</f>
        <v>5.5000000000000007E-2</v>
      </c>
      <c r="G31" s="1010" t="s">
        <v>2519</v>
      </c>
      <c r="H31" s="1011"/>
      <c r="I31" s="1011"/>
      <c r="J31" s="1011"/>
      <c r="K31" s="1012"/>
    </row>
    <row r="32" spans="1:33" s="970" customFormat="1" ht="13.5" customHeight="1" thickBot="1">
      <c r="A32" s="1000" t="s">
        <v>2520</v>
      </c>
      <c r="B32" s="1001"/>
      <c r="C32" s="1002">
        <f ca="1">ROUND((C4-C21-C22-C23-C25-C28-C31)/(1+C24+D25+D28),0)</f>
        <v>91418</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80" zoomScaleNormal="8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3152</v>
      </c>
      <c r="D1" s="1818" t="s">
        <v>3061</v>
      </c>
      <c r="E1" s="1819" t="s">
        <v>1387</v>
      </c>
      <c r="F1" s="1282">
        <f ca="1">J53</f>
        <v>42.85</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62569</v>
      </c>
      <c r="C2" s="1843" t="s">
        <v>1516</v>
      </c>
      <c r="D2" s="1843"/>
      <c r="E2" s="1844"/>
      <c r="F2" s="1845"/>
      <c r="G2" s="1846"/>
      <c r="H2" s="1838"/>
      <c r="I2" s="1838"/>
      <c r="J2" s="1838"/>
      <c r="K2" s="1839"/>
      <c r="L2" s="1838"/>
      <c r="M2" s="1838"/>
    </row>
    <row r="3" spans="1:37" ht="18" customHeight="1" thickBot="1">
      <c r="A3" s="1847" t="s">
        <v>1517</v>
      </c>
      <c r="B3" s="1848">
        <f ca="1">IF(ISERROR(B2*10000/F43),0,ROUND(B2*10000/F43,0))</f>
        <v>21593</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4003</v>
      </c>
      <c r="D5" s="1820" t="s">
        <v>1402</v>
      </c>
      <c r="E5" s="1292"/>
      <c r="F5" s="1293"/>
      <c r="G5" s="1849"/>
      <c r="H5" s="342">
        <v>1</v>
      </c>
      <c r="I5" s="343" t="s">
        <v>1401</v>
      </c>
      <c r="J5" s="1291">
        <f ca="1">J6+J10+J12</f>
        <v>0</v>
      </c>
      <c r="K5" s="1820" t="s">
        <v>1402</v>
      </c>
      <c r="L5" s="1292"/>
      <c r="M5" s="1293"/>
    </row>
    <row r="6" spans="1:37" ht="18" customHeight="1">
      <c r="A6" s="1290" t="s">
        <v>1035</v>
      </c>
      <c r="B6" s="3211" t="s">
        <v>1403</v>
      </c>
      <c r="C6" s="1295">
        <f ca="1">ROUND(F6*F8*F7*(1-F9)/10000,0)</f>
        <v>3998</v>
      </c>
      <c r="D6" s="162" t="s">
        <v>3033</v>
      </c>
      <c r="E6" s="345" t="s">
        <v>1405</v>
      </c>
      <c r="F6" s="346">
        <f ca="1">INDIRECT("'数据-取费表'!u"&amp;$G$1)</f>
        <v>4.2</v>
      </c>
      <c r="G6" s="1849"/>
      <c r="H6" s="1290" t="s">
        <v>1035</v>
      </c>
      <c r="I6" s="3211" t="s">
        <v>1403</v>
      </c>
      <c r="J6" s="344">
        <f ca="1">ROUND(M6*M8*M7*(1-M9)/10000,0)</f>
        <v>0</v>
      </c>
      <c r="K6" s="162" t="s">
        <v>3032</v>
      </c>
      <c r="L6" s="345" t="s">
        <v>1405</v>
      </c>
      <c r="M6" s="346">
        <f ca="1">INDIRECT("'数据-取费表'!z"&amp;$G$1)</f>
        <v>0</v>
      </c>
    </row>
    <row r="7" spans="1:37" ht="18" customHeight="1">
      <c r="A7" s="1294"/>
      <c r="B7" s="3212"/>
      <c r="C7" s="1296"/>
      <c r="D7" s="350"/>
      <c r="E7" s="1297" t="s">
        <v>1406</v>
      </c>
      <c r="F7" s="346">
        <f ca="1">IF(INDIRECT("'数据-取费表'!ah"&amp;$G$1)="",INDIRECT("'数据-取费表'!k"&amp;$G$1),INDIRECT("'数据-取费表'!ah"&amp;$G$1))</f>
        <v>28977.16</v>
      </c>
      <c r="G7" s="1849"/>
      <c r="H7" s="347"/>
      <c r="I7" s="3212"/>
      <c r="J7" s="349"/>
      <c r="K7" s="350"/>
      <c r="L7" s="345" t="s">
        <v>1406</v>
      </c>
      <c r="M7" s="346">
        <f ca="1">F7</f>
        <v>28977.16</v>
      </c>
    </row>
    <row r="8" spans="1:37" ht="18" customHeight="1">
      <c r="A8" s="347"/>
      <c r="B8" s="3212"/>
      <c r="C8" s="349"/>
      <c r="D8" s="350"/>
      <c r="E8" s="345" t="s">
        <v>1407</v>
      </c>
      <c r="F8" s="346">
        <f ca="1">INDIRECT("'数据-取费表'!ai"&amp;$G$1)</f>
        <v>365</v>
      </c>
      <c r="G8" s="1849"/>
      <c r="H8" s="347"/>
      <c r="I8" s="3212"/>
      <c r="J8" s="349"/>
      <c r="K8" s="350"/>
      <c r="L8" s="345" t="s">
        <v>1407</v>
      </c>
      <c r="M8" s="346">
        <f ca="1">INDIRECT("'数据-取费表'!ai"&amp;$G$1)</f>
        <v>365</v>
      </c>
    </row>
    <row r="9" spans="1:37" ht="18" customHeight="1">
      <c r="A9" s="347"/>
      <c r="B9" s="3213"/>
      <c r="C9" s="349"/>
      <c r="D9" s="350"/>
      <c r="E9" s="345" t="s">
        <v>1408</v>
      </c>
      <c r="F9" s="355">
        <f ca="1">INDIRECT("'数据-取费表'!w"&amp;$G$1)</f>
        <v>0.1</v>
      </c>
      <c r="G9" s="1849"/>
      <c r="H9" s="347"/>
      <c r="I9" s="3213"/>
      <c r="J9" s="349"/>
      <c r="K9" s="350"/>
      <c r="L9" s="356" t="s">
        <v>1408</v>
      </c>
      <c r="M9" s="357">
        <f ca="1">INDIRECT("'数据-取费表'!ab"&amp;$G$1)</f>
        <v>0</v>
      </c>
    </row>
    <row r="10" spans="1:37" ht="18" customHeight="1">
      <c r="A10" s="1290" t="s">
        <v>1039</v>
      </c>
      <c r="B10" s="1821" t="s">
        <v>1409</v>
      </c>
      <c r="C10" s="359">
        <f ca="1">ROUND(IF(F10="押一",C6/12*F11,IF(F10="押二",C6/12*2*F11,IF(F10="押三",C6/12*3*F11,C11*F11))),0)</f>
        <v>5</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21243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13833</v>
      </c>
      <c r="D14" s="1798" t="s">
        <v>1418</v>
      </c>
      <c r="E14" s="1792"/>
      <c r="F14" s="362"/>
      <c r="G14" s="1849"/>
      <c r="H14" s="1201" t="s">
        <v>1035</v>
      </c>
      <c r="I14" s="345" t="s">
        <v>1419</v>
      </c>
      <c r="J14" s="24">
        <f ca="1">C29</f>
        <v>21243</v>
      </c>
      <c r="K14" s="15"/>
      <c r="L14" s="979"/>
      <c r="M14" s="980"/>
    </row>
    <row r="15" spans="1:37" s="1856" customFormat="1" ht="18" customHeight="1" thickBot="1">
      <c r="A15" s="1201" t="s">
        <v>1036</v>
      </c>
      <c r="B15" s="345" t="s">
        <v>1420</v>
      </c>
      <c r="C15" s="24">
        <f ca="1">ROUND(C14*F15,0)</f>
        <v>415</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498</v>
      </c>
      <c r="K16" s="1336" t="s">
        <v>1425</v>
      </c>
      <c r="L16" s="1337"/>
      <c r="M16" s="1293"/>
    </row>
    <row r="17" spans="1:37" s="1856" customFormat="1" ht="18" customHeight="1">
      <c r="A17" s="1201" t="s">
        <v>1390</v>
      </c>
      <c r="B17" s="345" t="s">
        <v>1426</v>
      </c>
      <c r="C17" s="24">
        <f ca="1">ROUND(F17*(F43+INDIRECT("'数据-取费表'!S"&amp;$G$1))/10000,0)</f>
        <v>643</v>
      </c>
      <c r="D17" s="345" t="s">
        <v>1427</v>
      </c>
      <c r="E17" s="345" t="s">
        <v>1428</v>
      </c>
      <c r="F17" s="26">
        <f>'数据-取费表'!B35</f>
        <v>200</v>
      </c>
      <c r="G17" s="1852"/>
      <c r="H17" s="1201" t="s">
        <v>1035</v>
      </c>
      <c r="I17" s="345" t="s">
        <v>1429</v>
      </c>
      <c r="J17" s="24">
        <f ca="1">ROUND(IF(项目基本情况!B11="自然人",J5*M17,J18+J19+J20),1)</f>
        <v>179.2</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207</v>
      </c>
      <c r="D18" s="345" t="s">
        <v>1421</v>
      </c>
      <c r="E18" s="345" t="s">
        <v>1422</v>
      </c>
      <c r="F18" s="365">
        <f>'数据-取费表'!B36</f>
        <v>1.4999999999999999E-2</v>
      </c>
      <c r="G18" s="1852"/>
      <c r="H18" s="1201" t="s">
        <v>1034</v>
      </c>
      <c r="I18" s="345" t="s">
        <v>1433</v>
      </c>
      <c r="J18" s="24">
        <f ca="1">ROUND(J5*M18/(1+'数据-取费表'!C42),2)</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15098</v>
      </c>
      <c r="D19" s="138" t="s">
        <v>1436</v>
      </c>
      <c r="E19" s="1816"/>
      <c r="F19" s="26"/>
      <c r="G19" s="1849"/>
      <c r="H19" s="1201" t="s">
        <v>1036</v>
      </c>
      <c r="I19" s="345" t="s">
        <v>1437</v>
      </c>
      <c r="J19" s="24">
        <f ca="1">IF(K19="按租金收入计税",ROUND(J5*M19,2),ROUND(C29*M19*0.7,2))</f>
        <v>178.44</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302</v>
      </c>
      <c r="D20" s="367" t="s">
        <v>1440</v>
      </c>
      <c r="E20" s="345" t="s">
        <v>1422</v>
      </c>
      <c r="F20" s="365">
        <f>'数据-取费表'!B37</f>
        <v>0.02</v>
      </c>
      <c r="G20" s="1852"/>
      <c r="H20" s="1201" t="s">
        <v>1389</v>
      </c>
      <c r="I20" s="162" t="s">
        <v>1441</v>
      </c>
      <c r="J20" s="25">
        <f ca="1">ROUND(M20*M21/10000,2)</f>
        <v>0.79</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5245.16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ROUND(J14*M22,1)</f>
        <v>318.60000000000002</v>
      </c>
      <c r="K22" s="1796"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1110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1796" t="s">
        <v>1454</v>
      </c>
      <c r="L23" s="345" t="s">
        <v>1455</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1816"/>
      <c r="F25" s="26"/>
      <c r="G25" s="1849"/>
      <c r="H25" s="1328" t="s">
        <v>1031</v>
      </c>
      <c r="I25" s="1343" t="s">
        <v>1463</v>
      </c>
      <c r="J25" s="353">
        <f ca="1">J5-J16</f>
        <v>-498</v>
      </c>
      <c r="K25" s="1344" t="s">
        <v>1464</v>
      </c>
      <c r="L25" s="1345"/>
      <c r="M25" s="1346"/>
    </row>
    <row r="26" spans="1:37">
      <c r="A26" s="1201" t="s">
        <v>1034</v>
      </c>
      <c r="B26" s="345" t="s">
        <v>1465</v>
      </c>
      <c r="C26" s="24">
        <f ca="1">ROUND((C19+C20)*F26,0)</f>
        <v>3080</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0.06</v>
      </c>
    </row>
    <row r="27" spans="1:37" ht="18" customHeight="1">
      <c r="A27" s="1201" t="s">
        <v>1036</v>
      </c>
      <c r="B27" s="345" t="s">
        <v>1471</v>
      </c>
      <c r="C27" s="24">
        <f ca="1">ROUND(F21*F26,4)</f>
        <v>4.0000000000000001E-3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21243</v>
      </c>
      <c r="D29" s="1341"/>
      <c r="E29" s="1339"/>
      <c r="F29" s="1342"/>
      <c r="G29" s="1852"/>
      <c r="H29" s="378" t="s">
        <v>1033</v>
      </c>
      <c r="I29" s="379" t="s">
        <v>1479</v>
      </c>
      <c r="J29" s="380">
        <f ca="1">ROUND(J26/(1+F40)^F41,0)</f>
        <v>0</v>
      </c>
      <c r="K29" s="381" t="s">
        <v>1480</v>
      </c>
      <c r="L29" s="382"/>
      <c r="M29" s="383">
        <f ca="1">INDIRECT("'数据-取费表'!k"&amp;$G$1)</f>
        <v>28977.16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1132</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ROUND(IF(项目基本情况!B11="自然人",C5*F31,C32+C33+C34),1)</f>
        <v>690.8</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209.68</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480.36</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0.79</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5245.16</v>
      </c>
      <c r="G35" s="1849"/>
      <c r="H35" s="743"/>
      <c r="I35" s="1858"/>
      <c r="J35" s="1859"/>
      <c r="K35" s="1860"/>
      <c r="L35" s="1857"/>
      <c r="M35" s="1857"/>
    </row>
    <row r="36" spans="1:18" ht="18" customHeight="1">
      <c r="A36" s="1351" t="s">
        <v>1039</v>
      </c>
      <c r="B36" s="345" t="s">
        <v>1449</v>
      </c>
      <c r="C36" s="24">
        <f ca="1">ROUND(C29*F36,1)</f>
        <v>318.60000000000002</v>
      </c>
      <c r="D36" s="1796"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42.5</v>
      </c>
      <c r="D37" s="1796" t="s">
        <v>1454</v>
      </c>
      <c r="E37" s="345" t="s">
        <v>1455</v>
      </c>
      <c r="F37" s="374">
        <f ca="1">INDIRECT("'数据-取费表'!Al"&amp;$G$1)</f>
        <v>2E-3</v>
      </c>
      <c r="G37" s="1849"/>
      <c r="H37" s="1857"/>
      <c r="I37" s="1858"/>
      <c r="J37" s="1859"/>
      <c r="K37" s="749"/>
      <c r="L37" s="1857"/>
      <c r="M37" s="1857"/>
    </row>
    <row r="38" spans="1:18" ht="18" customHeight="1" thickBot="1">
      <c r="A38" s="1338" t="s">
        <v>1393</v>
      </c>
      <c r="B38" s="1339" t="s">
        <v>1439</v>
      </c>
      <c r="C38" s="1340">
        <f ca="1">ROUND(C5*F38,1)</f>
        <v>80.099999999999994</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3">
        <f ca="1">C5-C30</f>
        <v>2871</v>
      </c>
      <c r="D39" s="1344" t="s">
        <v>1484</v>
      </c>
      <c r="E39" s="1345"/>
      <c r="F39" s="1346"/>
      <c r="G39" s="1849"/>
      <c r="H39" s="1857"/>
      <c r="I39" s="1858"/>
      <c r="J39" s="1859"/>
      <c r="K39" s="1863"/>
      <c r="L39" s="1857"/>
      <c r="M39" s="1857"/>
    </row>
    <row r="40" spans="1:18" ht="18" customHeight="1">
      <c r="A40" s="342" t="s">
        <v>1032</v>
      </c>
      <c r="B40" s="343" t="s">
        <v>1485</v>
      </c>
      <c r="C40" s="344">
        <f ca="1">ROUND(C39*(1-((1+F42)/(1+F40))^F41)/(F40-F42),0)</f>
        <v>62569</v>
      </c>
      <c r="D40" s="368" t="s">
        <v>1469</v>
      </c>
      <c r="E40" s="345" t="s">
        <v>1470</v>
      </c>
      <c r="F40" s="355">
        <f ca="1">INDIRECT("'数据-取费表'!I"&amp;$G$1)</f>
        <v>0.06</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42.85</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21593</v>
      </c>
      <c r="D43" s="381" t="s">
        <v>1488</v>
      </c>
      <c r="E43" s="382" t="s">
        <v>1489</v>
      </c>
      <c r="F43" s="383">
        <f ca="1">INDIRECT("'数据-取费表'!k"&amp;$G$1)</f>
        <v>28977.16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-95390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62569</v>
      </c>
      <c r="R47" s="1884" t="s">
        <v>1529</v>
      </c>
    </row>
    <row r="48" spans="1:18" s="1840" customFormat="1" ht="28.5" thickBot="1">
      <c r="A48" s="1359" t="s">
        <v>1135</v>
      </c>
      <c r="B48" s="343" t="s">
        <v>1401</v>
      </c>
      <c r="C48" s="181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21243</v>
      </c>
      <c r="R49" s="1884" t="s">
        <v>1529</v>
      </c>
    </row>
    <row r="50" spans="1:18" s="1840" customFormat="1" ht="13.5" thickBot="1">
      <c r="A50" s="1195"/>
      <c r="B50" s="1198"/>
      <c r="C50" s="1367"/>
      <c r="D50" s="1172"/>
      <c r="E50" s="1276" t="s">
        <v>1406</v>
      </c>
      <c r="F50" s="1277">
        <f ca="1">F7</f>
        <v>28977.16</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18918</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42.85</v>
      </c>
      <c r="K53" s="3209" t="s">
        <v>1548</v>
      </c>
      <c r="L53" s="3210"/>
      <c r="O53" s="1882" t="s">
        <v>1046</v>
      </c>
      <c r="P53" s="1883" t="s">
        <v>1549</v>
      </c>
      <c r="Q53" s="1884">
        <f ca="1">Q47+Q48</f>
        <v>62569</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21243</v>
      </c>
      <c r="D56" s="1912"/>
      <c r="E56" s="1913"/>
      <c r="F56" s="1905"/>
      <c r="I56" s="1914" t="s">
        <v>1554</v>
      </c>
      <c r="J56" s="1915" t="s">
        <v>3053</v>
      </c>
      <c r="K56" s="1885" t="s">
        <v>1555</v>
      </c>
      <c r="L56" s="1888" t="str">
        <f ca="1">IF(L48&lt;J51,"——",L48-J53)</f>
        <v>——</v>
      </c>
      <c r="O56" s="1882" t="s">
        <v>1040</v>
      </c>
      <c r="P56" s="1883" t="s">
        <v>1528</v>
      </c>
      <c r="Q56" s="1884">
        <f ca="1">C40+J29</f>
        <v>62569</v>
      </c>
      <c r="R56" s="1884" t="s">
        <v>1529</v>
      </c>
    </row>
    <row r="57" spans="1:18" s="1840" customFormat="1" ht="24.75" thickBot="1">
      <c r="A57" s="1916"/>
      <c r="B57" s="1169" t="s">
        <v>1478</v>
      </c>
      <c r="C57" s="280">
        <f ca="1">C29</f>
        <v>21243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2146</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1785.2</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1784.41</v>
      </c>
      <c r="D61" s="1826" t="s">
        <v>1438</v>
      </c>
      <c r="E61" s="1169" t="s">
        <v>1494</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0.79</v>
      </c>
      <c r="D62" s="1184" t="s">
        <v>1497</v>
      </c>
      <c r="E62" s="1169" t="s">
        <v>1498</v>
      </c>
      <c r="F62" s="369">
        <f t="shared" si="0"/>
        <v>1.5</v>
      </c>
      <c r="I62" s="1927" t="s">
        <v>1570</v>
      </c>
      <c r="J62" s="1928" t="s">
        <v>1571</v>
      </c>
      <c r="K62" s="1928" t="s">
        <v>1572</v>
      </c>
      <c r="L62" s="1928" t="s">
        <v>1573</v>
      </c>
      <c r="M62" s="1929" t="s">
        <v>1574</v>
      </c>
      <c r="O62" s="1882" t="s">
        <v>1046</v>
      </c>
      <c r="P62" s="1883" t="s">
        <v>1575</v>
      </c>
      <c r="Q62" s="1884">
        <f ca="1">Q56+Q57</f>
        <v>62569</v>
      </c>
      <c r="R62" s="1884" t="s">
        <v>1047</v>
      </c>
    </row>
    <row r="63" spans="1:18" s="1840" customFormat="1" ht="13.5" thickBot="1">
      <c r="A63" s="370"/>
      <c r="B63" s="1175"/>
      <c r="C63" s="29"/>
      <c r="D63" s="1185"/>
      <c r="E63" s="1169" t="s">
        <v>1499</v>
      </c>
      <c r="F63" s="346">
        <f t="shared" ca="1" si="0"/>
        <v>5245.16</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318.60000000000002</v>
      </c>
      <c r="D64" s="1183" t="s">
        <v>1502</v>
      </c>
      <c r="E64" s="1169"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42.5</v>
      </c>
      <c r="D65" s="1183" t="s">
        <v>1454</v>
      </c>
      <c r="E65" s="1169" t="s">
        <v>1455</v>
      </c>
      <c r="F65" s="374">
        <f t="shared" ca="1" si="0"/>
        <v>2E-3</v>
      </c>
      <c r="I65" s="1927" t="s">
        <v>1579</v>
      </c>
      <c r="J65" s="1928">
        <v>40</v>
      </c>
      <c r="K65" s="1928">
        <v>30</v>
      </c>
      <c r="L65" s="1928">
        <v>50</v>
      </c>
      <c r="M65" s="1930">
        <v>0.02</v>
      </c>
      <c r="O65" s="1882" t="s">
        <v>1040</v>
      </c>
      <c r="P65" s="1883" t="s">
        <v>1580</v>
      </c>
      <c r="Q65" s="1884">
        <f ca="1">C40+J29</f>
        <v>62569</v>
      </c>
      <c r="R65" s="1884" t="s">
        <v>1529</v>
      </c>
    </row>
    <row r="66" spans="1:18" s="1840" customFormat="1" ht="16.5" thickBot="1">
      <c r="A66" s="1201" t="s">
        <v>1504</v>
      </c>
      <c r="B66" s="1169" t="s">
        <v>1439</v>
      </c>
      <c r="C66" s="24">
        <f ca="1">ROUND(C48*F66,1)</f>
        <v>0</v>
      </c>
      <c r="D66" s="1183" t="s">
        <v>1505</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-2146</v>
      </c>
      <c r="D67" s="1182" t="s">
        <v>1464</v>
      </c>
      <c r="E67" s="1187"/>
      <c r="F67" s="1188"/>
      <c r="O67" s="1892" t="s">
        <v>1042</v>
      </c>
      <c r="P67" s="1883" t="s">
        <v>1562</v>
      </c>
      <c r="Q67" s="1931">
        <f ca="1">L51</f>
        <v>18918</v>
      </c>
      <c r="R67" s="1884" t="s">
        <v>1582</v>
      </c>
    </row>
    <row r="68" spans="1:18" s="1840" customFormat="1" ht="16.5" thickBot="1">
      <c r="A68" s="1166" t="s">
        <v>1032</v>
      </c>
      <c r="B68" s="1167" t="s">
        <v>1485</v>
      </c>
      <c r="C68" s="344">
        <f ca="1">ROUND(C67*(1-((1+F70)/(1+F68))^F69)/(F68-F70),0)</f>
        <v>-32821</v>
      </c>
      <c r="D68" s="1184" t="s">
        <v>1469</v>
      </c>
      <c r="E68" s="1169" t="s">
        <v>1470</v>
      </c>
      <c r="F68" s="355">
        <f ca="1">F40</f>
        <v>0.06</v>
      </c>
      <c r="O68" s="1892" t="s">
        <v>1043</v>
      </c>
      <c r="P68" s="1932" t="s">
        <v>1583</v>
      </c>
      <c r="Q68" s="1884">
        <f ca="1">ROUND(Q69-Q70*Q71,0)</f>
        <v>1065</v>
      </c>
      <c r="R68" s="1884" t="s">
        <v>1051</v>
      </c>
    </row>
    <row r="69" spans="1:18" s="1840" customFormat="1" ht="13.5" thickBot="1">
      <c r="A69" s="1170"/>
      <c r="B69" s="1171"/>
      <c r="C69" s="349"/>
      <c r="D69" s="1189" t="s">
        <v>1473</v>
      </c>
      <c r="E69" s="1169" t="s">
        <v>1474</v>
      </c>
      <c r="F69" s="377">
        <f ca="1">F41</f>
        <v>42.85</v>
      </c>
      <c r="O69" s="1892" t="s">
        <v>1048</v>
      </c>
      <c r="P69" s="1932" t="s">
        <v>1584</v>
      </c>
      <c r="Q69" s="1884">
        <f ca="1">C39</f>
        <v>2871</v>
      </c>
      <c r="R69" s="1884" t="s">
        <v>1529</v>
      </c>
    </row>
    <row r="70" spans="1:18" s="1840" customFormat="1" ht="13.5" thickBot="1">
      <c r="A70" s="1173"/>
      <c r="B70" s="1174"/>
      <c r="C70" s="353"/>
      <c r="D70" s="1185"/>
      <c r="E70" s="1169" t="s">
        <v>1477</v>
      </c>
      <c r="F70" s="1274"/>
      <c r="O70" s="1892" t="s">
        <v>1049</v>
      </c>
      <c r="P70" s="1932" t="s">
        <v>1585</v>
      </c>
      <c r="Q70" s="1884">
        <f ca="1">C13</f>
        <v>21243</v>
      </c>
      <c r="R70" s="1884" t="s">
        <v>1529</v>
      </c>
    </row>
    <row r="71" spans="1:18" s="1840" customFormat="1" ht="13.5" thickBot="1">
      <c r="A71" s="1190" t="s">
        <v>1033</v>
      </c>
      <c r="B71" s="1191" t="s">
        <v>1487</v>
      </c>
      <c r="C71" s="380">
        <f ca="1">ROUND(C68*10000/F71,0)</f>
        <v>-11327</v>
      </c>
      <c r="D71" s="1192" t="s">
        <v>1488</v>
      </c>
      <c r="E71" s="1193" t="s">
        <v>1489</v>
      </c>
      <c r="F71" s="383">
        <f ca="1">F43</f>
        <v>28977.16</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1806</v>
      </c>
      <c r="D75" s="1840"/>
      <c r="E75" s="1840"/>
      <c r="F75" s="1840"/>
      <c r="K75" s="1866"/>
      <c r="L75" s="1840"/>
      <c r="O75" s="1882" t="s">
        <v>1046</v>
      </c>
      <c r="P75" s="1883" t="s">
        <v>1549</v>
      </c>
      <c r="Q75" s="1884">
        <f ca="1">Q65+Q66</f>
        <v>62569</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0.371</v>
      </c>
    </row>
    <row r="80" spans="1:18">
      <c r="B80" s="384" t="s">
        <v>1511</v>
      </c>
      <c r="C80" s="316">
        <f ca="1">ROUND(C75/C39,3)</f>
        <v>0.629</v>
      </c>
    </row>
    <row r="81" spans="2:3">
      <c r="B81" s="312" t="s">
        <v>1512</v>
      </c>
      <c r="C81" s="280"/>
    </row>
    <row r="82" spans="2:3">
      <c r="B82" s="315" t="s">
        <v>1513</v>
      </c>
      <c r="C82" s="317">
        <f ca="1">1-C83</f>
        <v>0.65999999999999992</v>
      </c>
    </row>
    <row r="83" spans="2:3">
      <c r="B83" s="315" t="s">
        <v>1514</v>
      </c>
      <c r="C83" s="316">
        <f ca="1">ROUND(C13/C40,3)</f>
        <v>0.34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2"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1">
        <f ca="1">C6+C10+C12</f>
        <v>0</v>
      </c>
      <c r="D5" s="1820" t="s">
        <v>1601</v>
      </c>
      <c r="E5" s="1292"/>
      <c r="F5" s="1293"/>
      <c r="G5" s="1849"/>
      <c r="H5" s="342">
        <v>1</v>
      </c>
      <c r="I5" s="343" t="s">
        <v>1600</v>
      </c>
      <c r="J5" s="1291">
        <f ca="1">J6+J10+J12</f>
        <v>0</v>
      </c>
      <c r="K5" s="1820" t="s">
        <v>1601</v>
      </c>
      <c r="L5" s="1292"/>
      <c r="M5" s="1293"/>
    </row>
    <row r="6" spans="1:37" ht="18" customHeight="1">
      <c r="A6" s="1290" t="s">
        <v>1035</v>
      </c>
      <c r="B6" s="3211" t="s">
        <v>1403</v>
      </c>
      <c r="C6" s="1295">
        <f ca="1">ROUND(F6*F8*F7*(1-F9),0)</f>
        <v>0</v>
      </c>
      <c r="D6" s="162" t="s">
        <v>3030</v>
      </c>
      <c r="E6" s="345" t="s">
        <v>1405</v>
      </c>
      <c r="F6" s="346">
        <f ca="1">INDIRECT("'数据-取费表'!u"&amp;$G$1)</f>
        <v>0</v>
      </c>
      <c r="G6" s="1849"/>
      <c r="H6" s="1290" t="s">
        <v>1035</v>
      </c>
      <c r="I6" s="3211" t="s">
        <v>1403</v>
      </c>
      <c r="J6" s="344">
        <f ca="1">ROUND(M6*M8*M7*(1-M9),0)</f>
        <v>0</v>
      </c>
      <c r="K6" s="1832" t="s">
        <v>3031</v>
      </c>
      <c r="L6" s="345" t="s">
        <v>1405</v>
      </c>
      <c r="M6" s="346">
        <f ca="1">INDIRECT("'数据-取费表'!z"&amp;$G$1)</f>
        <v>0</v>
      </c>
    </row>
    <row r="7" spans="1:37" ht="18" customHeight="1">
      <c r="A7" s="1294"/>
      <c r="B7" s="3212"/>
      <c r="C7" s="1296"/>
      <c r="D7" s="350"/>
      <c r="E7" s="1297" t="s">
        <v>1406</v>
      </c>
      <c r="F7" s="346">
        <f ca="1">IF(INDIRECT("'数据-取费表'!ah"&amp;$G$1)="",INDIRECT("'数据-取费表'!k"&amp;$G$1),INDIRECT("'数据-取费表'!ah"&amp;$G$1))</f>
        <v>0</v>
      </c>
      <c r="G7" s="1849"/>
      <c r="H7" s="347"/>
      <c r="I7" s="3212"/>
      <c r="J7" s="349"/>
      <c r="K7" s="350"/>
      <c r="L7" s="345" t="s">
        <v>1406</v>
      </c>
      <c r="M7" s="346">
        <f ca="1">F7</f>
        <v>0</v>
      </c>
    </row>
    <row r="8" spans="1:37" ht="18" customHeight="1">
      <c r="A8" s="347"/>
      <c r="B8" s="3212"/>
      <c r="C8" s="349"/>
      <c r="D8" s="350"/>
      <c r="E8" s="345" t="s">
        <v>1407</v>
      </c>
      <c r="F8" s="346">
        <f ca="1">INDIRECT("'数据-取费表'!ai"&amp;$G$1)</f>
        <v>0</v>
      </c>
      <c r="G8" s="1849"/>
      <c r="H8" s="347"/>
      <c r="I8" s="3212"/>
      <c r="J8" s="349"/>
      <c r="K8" s="350"/>
      <c r="L8" s="345" t="s">
        <v>1407</v>
      </c>
      <c r="M8" s="346">
        <f ca="1">INDIRECT("'数据-取费表'!ai"&amp;$G$1)</f>
        <v>0</v>
      </c>
    </row>
    <row r="9" spans="1:37" ht="18" customHeight="1">
      <c r="A9" s="347"/>
      <c r="B9" s="3213"/>
      <c r="C9" s="349"/>
      <c r="D9" s="350"/>
      <c r="E9" s="345" t="s">
        <v>1408</v>
      </c>
      <c r="F9" s="355">
        <f ca="1">INDIRECT("'数据-取费表'!w"&amp;$G$1)</f>
        <v>0</v>
      </c>
      <c r="G9" s="1849"/>
      <c r="H9" s="347"/>
      <c r="I9" s="3213"/>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3041</v>
      </c>
      <c r="E10" s="356" t="s">
        <v>1410</v>
      </c>
      <c r="F10" s="1365"/>
      <c r="G10" s="1849"/>
      <c r="H10" s="1290" t="s">
        <v>1039</v>
      </c>
      <c r="I10" s="1821" t="s">
        <v>1409</v>
      </c>
      <c r="J10" s="344">
        <f ca="1">ROUND(IF(M10="押一",J6/12*M11,IF(M10="押二",J6/12*2*M11,IF(M10="押三",J6/12*3*M11,J11*M11))),0)</f>
        <v>0</v>
      </c>
      <c r="K10" s="1833" t="s">
        <v>3043</v>
      </c>
      <c r="L10" s="356" t="s">
        <v>1410</v>
      </c>
      <c r="M10" s="1365"/>
    </row>
    <row r="11" spans="1:37" ht="18" customHeight="1">
      <c r="A11" s="351"/>
      <c r="B11" s="1823" t="s">
        <v>1602</v>
      </c>
      <c r="C11" s="1178"/>
      <c r="D11" s="350"/>
      <c r="E11" s="356" t="s">
        <v>1412</v>
      </c>
      <c r="F11" s="357">
        <f ca="1">'数据-取费表'!B39</f>
        <v>1.4999999999999999E-2</v>
      </c>
      <c r="G11" s="1849"/>
      <c r="H11" s="1298"/>
      <c r="I11" s="1823" t="s">
        <v>1603</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1" t="s">
        <v>1034</v>
      </c>
      <c r="B14" s="345" t="s">
        <v>1417</v>
      </c>
      <c r="C14" s="361">
        <f ca="1">ROUND(INDIRECT("'数据-取费表'!l"&amp;$G$1)*F43+'数据-取费表'!L14*INDIRECT("'数据-取费表'!S"&amp;$G$1),0)</f>
        <v>0</v>
      </c>
      <c r="D14" s="1798" t="s">
        <v>1418</v>
      </c>
      <c r="E14" s="1792"/>
      <c r="F14" s="362"/>
      <c r="G14" s="1849"/>
      <c r="H14" s="1201" t="s">
        <v>1035</v>
      </c>
      <c r="I14" s="345" t="s">
        <v>1419</v>
      </c>
      <c r="J14" s="24">
        <f ca="1">C29</f>
        <v>0</v>
      </c>
      <c r="K14" s="15"/>
      <c r="L14" s="979"/>
      <c r="M14" s="980"/>
    </row>
    <row r="15" spans="1:37" s="1856" customFormat="1" ht="18" customHeight="1" thickBot="1">
      <c r="A15" s="1201" t="s">
        <v>1036</v>
      </c>
      <c r="B15" s="345" t="s">
        <v>1420</v>
      </c>
      <c r="C15" s="24">
        <f ca="1">ROUND(C14*F15,0)</f>
        <v>0</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ROUND(INDIRECT("'数据-取费表'!l"&amp;$G$1)*F43*F16,0)</f>
        <v>0</v>
      </c>
      <c r="D16" s="345" t="s">
        <v>1421</v>
      </c>
      <c r="E16" s="345" t="s">
        <v>1422</v>
      </c>
      <c r="F16" s="365">
        <f ca="1">IF(INDIRECT("'数据-取费表'!c"&amp;$G$1)="住宅",'数据-取费表'!B34,0)</f>
        <v>0</v>
      </c>
      <c r="G16" s="1849"/>
      <c r="H16" s="1328" t="s">
        <v>1030</v>
      </c>
      <c r="I16" s="1329" t="s">
        <v>1424</v>
      </c>
      <c r="J16" s="353">
        <f ca="1">ROUND(J17+J22+J23+J24,0)</f>
        <v>0</v>
      </c>
      <c r="K16" s="1336" t="s">
        <v>1425</v>
      </c>
      <c r="L16" s="1337"/>
      <c r="M16" s="1293"/>
    </row>
    <row r="17" spans="1:37" s="1856" customFormat="1" ht="18" customHeight="1">
      <c r="A17" s="1201" t="s">
        <v>1390</v>
      </c>
      <c r="B17" s="345" t="s">
        <v>1426</v>
      </c>
      <c r="C17" s="24">
        <f ca="1">ROUND(F17*(F43+INDIRECT("'数据-取费表'!S"&amp;$G$1)),0)</f>
        <v>0</v>
      </c>
      <c r="D17" s="345" t="s">
        <v>1427</v>
      </c>
      <c r="E17" s="345" t="s">
        <v>1428</v>
      </c>
      <c r="F17" s="26">
        <f>'数据-取费表'!B35</f>
        <v>200</v>
      </c>
      <c r="G17" s="1852"/>
      <c r="H17" s="1201"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0</v>
      </c>
      <c r="D18" s="345" t="s">
        <v>1421</v>
      </c>
      <c r="E18" s="345" t="s">
        <v>1422</v>
      </c>
      <c r="F18" s="365">
        <f>'数据-取费表'!B36</f>
        <v>1.4999999999999999E-2</v>
      </c>
      <c r="G18" s="1852"/>
      <c r="H18" s="1201" t="s">
        <v>1034</v>
      </c>
      <c r="I18" s="345" t="s">
        <v>1433</v>
      </c>
      <c r="J18" s="24">
        <f ca="1">ROUND(J5*M18/(1+'数据-取费表'!C42),0)</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0</v>
      </c>
      <c r="D19" s="138" t="s">
        <v>1436</v>
      </c>
      <c r="E19" s="1816"/>
      <c r="F19" s="26"/>
      <c r="G19" s="1849"/>
      <c r="H19" s="1201"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201" t="s">
        <v>1039</v>
      </c>
      <c r="B20" s="345" t="s">
        <v>1439</v>
      </c>
      <c r="C20" s="24">
        <f ca="1">ROUND(C19*F20,0)</f>
        <v>0</v>
      </c>
      <c r="D20" s="367" t="s">
        <v>1440</v>
      </c>
      <c r="E20" s="345" t="s">
        <v>1422</v>
      </c>
      <c r="F20" s="365">
        <f>'数据-取费表'!B37</f>
        <v>0.02</v>
      </c>
      <c r="G20" s="1852"/>
      <c r="H20" s="1201" t="s">
        <v>1389</v>
      </c>
      <c r="I20" s="162" t="s">
        <v>1441</v>
      </c>
      <c r="J20" s="25">
        <f ca="1">ROUND(M20*M21,0)</f>
        <v>0</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v>
      </c>
      <c r="D21" s="367" t="s">
        <v>1445</v>
      </c>
      <c r="E21" s="345" t="s">
        <v>1446</v>
      </c>
      <c r="F21" s="365">
        <f>'数据-取费表'!B38</f>
        <v>0.02</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ROUND(J14*M22,0)</f>
        <v>0</v>
      </c>
      <c r="K22" s="1796" t="s">
        <v>1450</v>
      </c>
      <c r="L22" s="345" t="s">
        <v>1422</v>
      </c>
      <c r="M22" s="372">
        <f ca="1">INDIRECT("'数据-取费表'!Ak"&amp;$G$1)</f>
        <v>0</v>
      </c>
    </row>
    <row r="23" spans="1:37" s="1856"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5" t="s">
        <v>1461</v>
      </c>
      <c r="C25" s="24"/>
      <c r="D25" s="138" t="s">
        <v>1462</v>
      </c>
      <c r="E25" s="1816"/>
      <c r="F25" s="26"/>
      <c r="G25" s="1849"/>
      <c r="H25" s="1328" t="s">
        <v>1031</v>
      </c>
      <c r="I25" s="1343" t="s">
        <v>1463</v>
      </c>
      <c r="J25" s="353">
        <f ca="1">J5-J16</f>
        <v>0</v>
      </c>
      <c r="K25" s="1344" t="s">
        <v>1464</v>
      </c>
      <c r="L25" s="1345"/>
      <c r="M25" s="1346"/>
    </row>
    <row r="26" spans="1:37" ht="18" customHeight="1">
      <c r="A26" s="1201"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0</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IF(项目基本情况!B11="自然人","——",ROUND(C5*F32/(1+'数据-取费表'!C42),0))</f>
        <v>0</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90" t="s">
        <v>1389</v>
      </c>
      <c r="B34" s="162" t="s">
        <v>1441</v>
      </c>
      <c r="C34" s="25">
        <f ca="1">IF(项目基本情况!B11="自然人","——",ROUND(F34*F35,))</f>
        <v>0</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0</v>
      </c>
      <c r="G35" s="1849"/>
      <c r="H35" s="743"/>
      <c r="I35" s="1858"/>
      <c r="J35" s="1859"/>
      <c r="K35" s="1860"/>
      <c r="L35" s="1857"/>
      <c r="M35" s="1857"/>
    </row>
    <row r="36" spans="1:18" ht="18" customHeight="1">
      <c r="A36" s="1351"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201"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3">
        <f ca="1">C5-C30</f>
        <v>0</v>
      </c>
      <c r="D39" s="1344" t="s">
        <v>1484</v>
      </c>
      <c r="E39" s="1345"/>
      <c r="F39" s="1346"/>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3" t="s">
        <v>1401</v>
      </c>
      <c r="C48" s="1815">
        <f ca="1">C49+C53+C55</f>
        <v>0</v>
      </c>
      <c r="D48" s="1361"/>
      <c r="E48" s="1362"/>
      <c r="F48" s="1181"/>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7" t="s">
        <v>1409</v>
      </c>
      <c r="C53" s="359">
        <f ca="1">ROUND(IF(F53="押一",C49/12*F11,IF(F53="押二",C49/12*2*F11,IF(F53="押三",C49/12*3*F11,C54*F11))),0)</f>
        <v>0</v>
      </c>
      <c r="D53" s="1822" t="s">
        <v>3044</v>
      </c>
      <c r="E53" s="356"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09" t="s">
        <v>1548</v>
      </c>
      <c r="L53" s="3210"/>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7" t="s">
        <v>1424</v>
      </c>
      <c r="C58" s="359">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0</v>
      </c>
      <c r="D59" s="1182" t="s">
        <v>1430</v>
      </c>
      <c r="E59" s="1183"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5">
        <f t="shared" ref="F60:F66" si="0">F32</f>
        <v>5.5000000000000007E-2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69">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5"/>
      <c r="C63" s="29"/>
      <c r="D63" s="1185"/>
      <c r="E63" s="1169"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0</v>
      </c>
      <c r="D64" s="1183" t="s">
        <v>1502</v>
      </c>
      <c r="E64" s="1169"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0</v>
      </c>
      <c r="D65" s="1183" t="s">
        <v>1454</v>
      </c>
      <c r="E65" s="1169"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ROUND(C48*F66,0)</f>
        <v>0</v>
      </c>
      <c r="D66" s="1183" t="s">
        <v>1505</v>
      </c>
      <c r="E66" s="1169" t="s">
        <v>1422</v>
      </c>
      <c r="F66" s="355">
        <f t="shared" ca="1" si="0"/>
        <v>0</v>
      </c>
      <c r="O66" s="1882" t="s">
        <v>1041</v>
      </c>
      <c r="P66" s="1883" t="s">
        <v>1558</v>
      </c>
      <c r="Q66" s="1884" t="e">
        <f ca="1">L60</f>
        <v>#DIV/0!</v>
      </c>
      <c r="R66" s="1884" t="s">
        <v>1581</v>
      </c>
    </row>
    <row r="67" spans="1:18" s="1840" customFormat="1" ht="16.5" thickBot="1">
      <c r="A67" s="1176" t="s">
        <v>1031</v>
      </c>
      <c r="B67" s="1186" t="s">
        <v>1463</v>
      </c>
      <c r="C67" s="359">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4" t="e">
        <f ca="1">ROUND(C67*(1-((1+F70)/(1+F68))^F69)/(F68-F70),0)</f>
        <v>#DIV/0!</v>
      </c>
      <c r="D68" s="1184" t="s">
        <v>1469</v>
      </c>
      <c r="E68" s="1169" t="s">
        <v>1470</v>
      </c>
      <c r="F68" s="355">
        <f ca="1">F40</f>
        <v>0</v>
      </c>
      <c r="O68" s="1892" t="s">
        <v>1043</v>
      </c>
      <c r="P68" s="1932" t="s">
        <v>1583</v>
      </c>
      <c r="Q68" s="1884">
        <f ca="1">ROUND(Q69-Q70*Q71,0)</f>
        <v>0</v>
      </c>
      <c r="R68" s="1884" t="s">
        <v>1051</v>
      </c>
    </row>
    <row r="69" spans="1:18" s="1840" customFormat="1" ht="13.5" thickBot="1">
      <c r="A69" s="1170"/>
      <c r="B69" s="1171"/>
      <c r="C69" s="349"/>
      <c r="D69" s="1189" t="s">
        <v>1473</v>
      </c>
      <c r="E69" s="1169" t="s">
        <v>1474</v>
      </c>
      <c r="F69" s="377">
        <f ca="1">F41</f>
        <v>0</v>
      </c>
      <c r="O69" s="1892" t="s">
        <v>1048</v>
      </c>
      <c r="P69" s="1932" t="s">
        <v>1584</v>
      </c>
      <c r="Q69" s="1884">
        <f ca="1">C39</f>
        <v>0</v>
      </c>
      <c r="R69" s="1884" t="s">
        <v>1529</v>
      </c>
    </row>
    <row r="70" spans="1:18" s="1840" customFormat="1" ht="13.5" thickBot="1">
      <c r="A70" s="1173"/>
      <c r="B70" s="1174"/>
      <c r="C70" s="353"/>
      <c r="D70" s="1185"/>
      <c r="E70" s="1169" t="s">
        <v>1477</v>
      </c>
      <c r="F70" s="1274">
        <f ca="1">F42</f>
        <v>0</v>
      </c>
      <c r="O70" s="1892" t="s">
        <v>1049</v>
      </c>
      <c r="P70" s="1932" t="s">
        <v>1585</v>
      </c>
      <c r="Q70" s="1884">
        <f ca="1">C13</f>
        <v>0</v>
      </c>
      <c r="R70" s="1884" t="s">
        <v>1529</v>
      </c>
    </row>
    <row r="71" spans="1:18" s="1840" customFormat="1" ht="13.5" thickBot="1">
      <c r="A71" s="1190" t="s">
        <v>1033</v>
      </c>
      <c r="B71" s="1191" t="s">
        <v>1487</v>
      </c>
      <c r="C71" s="380" t="e">
        <f ca="1">ROUND(C68/F71,0)</f>
        <v>#DIV/0!</v>
      </c>
      <c r="D71" s="1192" t="s">
        <v>1488</v>
      </c>
      <c r="E71" s="1193"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2529</v>
      </c>
      <c r="B1" s="2560"/>
      <c r="C1" s="2560"/>
      <c r="D1" s="2560"/>
      <c r="E1" s="2561"/>
    </row>
    <row r="2" spans="1:6" ht="15.75">
      <c r="A2" s="2562" t="s">
        <v>2333</v>
      </c>
      <c r="B2" s="2563">
        <f ca="1">SUMIF(B6:B13,"&lt;&gt;#ref!",B6:B13)</f>
        <v>165804</v>
      </c>
      <c r="C2" s="2564" t="s">
        <v>2522</v>
      </c>
      <c r="D2" s="2565" t="s">
        <v>2523</v>
      </c>
      <c r="E2" s="2566">
        <f>SUM(E6:E13)</f>
        <v>95896.06</v>
      </c>
    </row>
    <row r="3" spans="1:6" ht="15.75">
      <c r="A3" s="2562" t="s">
        <v>1395</v>
      </c>
      <c r="B3" s="2563">
        <f ca="1">ROUND(B2*10000/E2,0)</f>
        <v>17290</v>
      </c>
      <c r="C3" s="2564" t="s">
        <v>2530</v>
      </c>
      <c r="D3" s="2567"/>
      <c r="E3" s="2568"/>
    </row>
    <row r="4" spans="1:6" ht="15.75">
      <c r="A4" s="2569"/>
      <c r="B4" s="2567"/>
      <c r="C4" s="2567"/>
      <c r="D4" s="2567"/>
      <c r="E4" s="2568"/>
    </row>
    <row r="5" spans="1:6" ht="15">
      <c r="A5" s="2570" t="s">
        <v>2524</v>
      </c>
      <c r="B5" s="3214" t="s">
        <v>2525</v>
      </c>
      <c r="C5" s="3214"/>
      <c r="D5" s="2571"/>
      <c r="E5" s="2572" t="s">
        <v>2526</v>
      </c>
      <c r="F5" s="2573" t="s">
        <v>2527</v>
      </c>
    </row>
    <row r="6" spans="1:6">
      <c r="A6" s="2574" t="str">
        <f>'数据-取费表'!AN6</f>
        <v>收益法-办公</v>
      </c>
      <c r="B6" s="2573">
        <f ca="1">IF(F6="是",'数据-取费表'!AO6,0)</f>
        <v>62569</v>
      </c>
      <c r="C6" s="2564" t="s">
        <v>2522</v>
      </c>
      <c r="D6" s="2567"/>
      <c r="E6" s="2575">
        <f>IF(OR(A6=0,F6="否"),0,'数据-取费表'!K6+'数据-取费表'!S6)</f>
        <v>32150.61</v>
      </c>
      <c r="F6" s="2576" t="s">
        <v>2528</v>
      </c>
    </row>
    <row r="7" spans="1:6">
      <c r="A7" s="2574" t="str">
        <f>'数据-取费表'!AN7</f>
        <v>收益法-商业</v>
      </c>
      <c r="B7" s="2573">
        <f ca="1">IF(F7="是",'数据-取费表'!AO7,0)</f>
        <v>98871</v>
      </c>
      <c r="C7" s="2564" t="s">
        <v>2522</v>
      </c>
      <c r="D7" s="2567"/>
      <c r="E7" s="2575">
        <f>IF(OR(A7=0,F7="否"),0,'数据-取费表'!K7+'数据-取费表'!S7)</f>
        <v>43073.439999999995</v>
      </c>
      <c r="F7" s="2576" t="s">
        <v>2528</v>
      </c>
    </row>
    <row r="8" spans="1:6">
      <c r="A8" s="2574" t="str">
        <f>'数据-取费表'!AN8</f>
        <v>收益法-车库</v>
      </c>
      <c r="B8" s="2573">
        <f ca="1">IF(F8="是",'数据-取费表'!AO8,0)</f>
        <v>4364</v>
      </c>
      <c r="C8" s="2564" t="s">
        <v>2522</v>
      </c>
      <c r="D8" s="2567"/>
      <c r="E8" s="2575">
        <f>IF(OR(A8=0,F8="否"),0,'数据-取费表'!K8+'数据-取费表'!S8)</f>
        <v>20672.010000000002</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20" t="s">
        <v>1077</v>
      </c>
      <c r="B2" s="3221" t="s">
        <v>1078</v>
      </c>
      <c r="C2" s="3221"/>
      <c r="D2" s="1300" t="s">
        <v>1079</v>
      </c>
      <c r="E2" s="1300" t="s">
        <v>1080</v>
      </c>
      <c r="F2" s="1300" t="s">
        <v>1081</v>
      </c>
      <c r="G2" s="1300" t="s">
        <v>1082</v>
      </c>
      <c r="H2" s="1300" t="s">
        <v>1083</v>
      </c>
      <c r="I2" s="1301" t="s">
        <v>1084</v>
      </c>
    </row>
    <row r="3" spans="1:9">
      <c r="A3" s="3220"/>
      <c r="B3" s="3221" t="s">
        <v>1085</v>
      </c>
      <c r="C3" s="3221"/>
      <c r="D3" s="1302"/>
      <c r="E3" s="1300"/>
      <c r="F3" s="1303"/>
      <c r="G3" s="1303"/>
      <c r="H3" s="1304"/>
      <c r="I3" s="1305">
        <f>ROUND(D3*E3*F3*G3*H3/10000,0)</f>
        <v>0</v>
      </c>
    </row>
    <row r="4" spans="1:9">
      <c r="A4" s="3220"/>
      <c r="B4" s="3221" t="s">
        <v>1086</v>
      </c>
      <c r="C4" s="3221"/>
      <c r="D4" s="1302"/>
      <c r="E4" s="1300"/>
      <c r="F4" s="1303"/>
      <c r="G4" s="1303"/>
      <c r="H4" s="1304"/>
      <c r="I4" s="1305">
        <f t="shared" ref="I4:I9" si="0">ROUND(D4*E4*F4*G4*H4/10000,0)</f>
        <v>0</v>
      </c>
    </row>
    <row r="5" spans="1:9">
      <c r="A5" s="3220"/>
      <c r="B5" s="3221" t="s">
        <v>1087</v>
      </c>
      <c r="C5" s="3221"/>
      <c r="D5" s="1302"/>
      <c r="E5" s="1300"/>
      <c r="F5" s="1303"/>
      <c r="G5" s="1303"/>
      <c r="H5" s="1304"/>
      <c r="I5" s="1305">
        <f t="shared" si="0"/>
        <v>0</v>
      </c>
    </row>
    <row r="6" spans="1:9">
      <c r="A6" s="3220"/>
      <c r="B6" s="3221" t="s">
        <v>1088</v>
      </c>
      <c r="C6" s="3221"/>
      <c r="D6" s="1302"/>
      <c r="E6" s="1300"/>
      <c r="F6" s="1303"/>
      <c r="G6" s="1303"/>
      <c r="H6" s="1304"/>
      <c r="I6" s="1305">
        <f t="shared" si="0"/>
        <v>0</v>
      </c>
    </row>
    <row r="7" spans="1:9">
      <c r="A7" s="3220"/>
      <c r="B7" s="3221" t="s">
        <v>1089</v>
      </c>
      <c r="C7" s="3221"/>
      <c r="D7" s="1302"/>
      <c r="E7" s="1300"/>
      <c r="F7" s="1303"/>
      <c r="G7" s="1303"/>
      <c r="H7" s="1304"/>
      <c r="I7" s="1305">
        <f t="shared" si="0"/>
        <v>0</v>
      </c>
    </row>
    <row r="8" spans="1:9">
      <c r="A8" s="3220"/>
      <c r="B8" s="3221" t="s">
        <v>1090</v>
      </c>
      <c r="C8" s="3221"/>
      <c r="D8" s="1302"/>
      <c r="E8" s="1300"/>
      <c r="F8" s="1303"/>
      <c r="G8" s="1303"/>
      <c r="H8" s="1304"/>
      <c r="I8" s="1305">
        <f t="shared" si="0"/>
        <v>0</v>
      </c>
    </row>
    <row r="9" spans="1:9">
      <c r="A9" s="3220"/>
      <c r="B9" s="3221" t="s">
        <v>1091</v>
      </c>
      <c r="C9" s="3221"/>
      <c r="D9" s="1302"/>
      <c r="E9" s="1300"/>
      <c r="F9" s="1303"/>
      <c r="G9" s="1303"/>
      <c r="H9" s="1304"/>
      <c r="I9" s="1305">
        <f t="shared" si="0"/>
        <v>0</v>
      </c>
    </row>
    <row r="10" spans="1:9">
      <c r="A10" s="3220"/>
      <c r="B10" s="3222" t="s">
        <v>1092</v>
      </c>
      <c r="C10" s="3222"/>
      <c r="D10" s="1306"/>
      <c r="E10" s="1306" t="e">
        <f>ROUND(D1*10000/D10/H9,0)</f>
        <v>#DIV/0!</v>
      </c>
      <c r="F10" s="1307"/>
      <c r="G10" s="1307"/>
      <c r="H10" s="1308"/>
      <c r="I10" s="1309">
        <f>SUM(I3:I9)</f>
        <v>0</v>
      </c>
    </row>
    <row r="11" spans="1:9" ht="14.25">
      <c r="A11" s="3220" t="s">
        <v>1093</v>
      </c>
      <c r="B11" s="3221" t="s">
        <v>1094</v>
      </c>
      <c r="C11" s="3221"/>
      <c r="D11" s="1302" t="s">
        <v>1095</v>
      </c>
      <c r="E11" s="1302" t="s">
        <v>1096</v>
      </c>
      <c r="F11" s="1303" t="s">
        <v>1097</v>
      </c>
      <c r="G11" s="1303" t="s">
        <v>1083</v>
      </c>
      <c r="H11" s="1310" t="s">
        <v>1098</v>
      </c>
      <c r="I11" s="1301" t="s">
        <v>1084</v>
      </c>
    </row>
    <row r="12" spans="1:9">
      <c r="A12" s="3220"/>
      <c r="B12" s="3221" t="s">
        <v>1099</v>
      </c>
      <c r="C12" s="3221"/>
      <c r="D12" s="1302"/>
      <c r="E12" s="1302"/>
      <c r="F12" s="1303"/>
      <c r="G12" s="1304"/>
      <c r="H12" s="1311"/>
      <c r="I12" s="1301">
        <f>ROUND(D12*E12*F12*G12/10000,0)</f>
        <v>0</v>
      </c>
    </row>
    <row r="13" spans="1:9">
      <c r="A13" s="3220"/>
      <c r="B13" s="3221" t="s">
        <v>1100</v>
      </c>
      <c r="C13" s="3221"/>
      <c r="D13" s="1302"/>
      <c r="E13" s="1302"/>
      <c r="F13" s="1303"/>
      <c r="G13" s="1304"/>
      <c r="H13" s="1311"/>
      <c r="I13" s="1301">
        <f>ROUND(D13*E13*F13*G13/10000,0)</f>
        <v>0</v>
      </c>
    </row>
    <row r="14" spans="1:9">
      <c r="A14" s="3220"/>
      <c r="B14" s="3221" t="s">
        <v>1101</v>
      </c>
      <c r="C14" s="3221"/>
      <c r="D14" s="1302"/>
      <c r="E14" s="1302"/>
      <c r="F14" s="1303"/>
      <c r="G14" s="1304"/>
      <c r="H14" s="1311"/>
      <c r="I14" s="1301">
        <f>ROUND(D14*E14*F14*G14/10000,0)</f>
        <v>0</v>
      </c>
    </row>
    <row r="15" spans="1:9">
      <c r="A15" s="3220"/>
      <c r="B15" s="3222" t="s">
        <v>1092</v>
      </c>
      <c r="C15" s="3222"/>
      <c r="D15" s="1306"/>
      <c r="E15" s="1306">
        <f>SUM(E12:E14)</f>
        <v>0</v>
      </c>
      <c r="F15" s="1307"/>
      <c r="G15" s="1304"/>
      <c r="H15" s="1311"/>
      <c r="I15" s="1312">
        <f>SUM(I12:I14)</f>
        <v>0</v>
      </c>
    </row>
    <row r="16" spans="1:9" ht="24">
      <c r="A16" s="3220" t="s">
        <v>1102</v>
      </c>
      <c r="B16" s="3221" t="s">
        <v>1103</v>
      </c>
      <c r="C16" s="3221"/>
      <c r="D16" s="1302" t="s">
        <v>1079</v>
      </c>
      <c r="E16" s="1313" t="s">
        <v>1104</v>
      </c>
      <c r="F16" s="1303" t="s">
        <v>1105</v>
      </c>
      <c r="G16" s="1304" t="s">
        <v>1083</v>
      </c>
      <c r="H16" s="1310" t="s">
        <v>1098</v>
      </c>
      <c r="I16" s="1301" t="s">
        <v>1084</v>
      </c>
    </row>
    <row r="17" spans="1:9" ht="14.25">
      <c r="A17" s="3220"/>
      <c r="B17" s="3221" t="s">
        <v>1106</v>
      </c>
      <c r="C17" s="3221"/>
      <c r="D17" s="1302"/>
      <c r="E17" s="1302"/>
      <c r="F17" s="1303"/>
      <c r="G17" s="1304"/>
      <c r="H17" s="1314"/>
      <c r="I17" s="1315">
        <f>ROUND(D17*E17*F17*G17/10000,0)</f>
        <v>0</v>
      </c>
    </row>
    <row r="18" spans="1:9" ht="14.25">
      <c r="A18" s="3220"/>
      <c r="B18" s="3221" t="s">
        <v>1107</v>
      </c>
      <c r="C18" s="3221"/>
      <c r="D18" s="1302"/>
      <c r="E18" s="1302"/>
      <c r="F18" s="1303"/>
      <c r="G18" s="1304"/>
      <c r="H18" s="1314"/>
      <c r="I18" s="1315">
        <f>ROUND(D18*E18*F18*G18/10000,0)</f>
        <v>0</v>
      </c>
    </row>
    <row r="19" spans="1:9" ht="14.25">
      <c r="A19" s="3220"/>
      <c r="B19" s="3221" t="s">
        <v>1108</v>
      </c>
      <c r="C19" s="3221"/>
      <c r="D19" s="1302"/>
      <c r="E19" s="1302"/>
      <c r="F19" s="1303"/>
      <c r="G19" s="1304"/>
      <c r="H19" s="1314"/>
      <c r="I19" s="1315">
        <f>ROUND(D19*E19*F19*G19/10000,0)</f>
        <v>0</v>
      </c>
    </row>
    <row r="20" spans="1:9">
      <c r="A20" s="3220"/>
      <c r="B20" s="3222" t="s">
        <v>1092</v>
      </c>
      <c r="C20" s="3222"/>
      <c r="D20" s="1306">
        <f>SUM(D17:D19)</f>
        <v>0</v>
      </c>
      <c r="E20" s="1306"/>
      <c r="F20" s="1307"/>
      <c r="G20" s="1304"/>
      <c r="H20" s="1311"/>
      <c r="I20" s="1312">
        <f>SUM(I17:I19)</f>
        <v>0</v>
      </c>
    </row>
    <row r="21" spans="1:9">
      <c r="A21" s="3220" t="s">
        <v>1109</v>
      </c>
      <c r="B21" s="3224"/>
      <c r="C21" s="3224"/>
      <c r="D21" s="3224"/>
      <c r="E21" s="3224"/>
      <c r="F21" s="3224"/>
      <c r="G21" s="3224"/>
      <c r="H21" s="1763">
        <v>0.1</v>
      </c>
      <c r="I21" s="1309">
        <f>ROUND(I10*H21,0)</f>
        <v>0</v>
      </c>
    </row>
    <row r="22" spans="1:9" ht="14.25">
      <c r="A22" s="3225" t="s">
        <v>1110</v>
      </c>
      <c r="B22" s="3226"/>
      <c r="C22" s="3227"/>
      <c r="D22" s="1316" t="s">
        <v>1111</v>
      </c>
      <c r="E22" s="1316" t="s">
        <v>1112</v>
      </c>
      <c r="F22" s="1317" t="s">
        <v>1113</v>
      </c>
      <c r="G22" s="1317" t="s">
        <v>1114</v>
      </c>
      <c r="H22" s="1310" t="s">
        <v>1115</v>
      </c>
      <c r="I22" s="1301" t="s">
        <v>1116</v>
      </c>
    </row>
    <row r="23" spans="1:9" ht="14.25" thickBot="1">
      <c r="A23" s="3228"/>
      <c r="B23" s="3229"/>
      <c r="C23" s="3230"/>
      <c r="D23" s="1318"/>
      <c r="E23" s="1318"/>
      <c r="F23" s="1318"/>
      <c r="G23" s="1319"/>
      <c r="H23" s="1320"/>
      <c r="I23" s="1321">
        <f>ROUND(E23*D23*F23*(1-G23)/10000,0)</f>
        <v>0</v>
      </c>
    </row>
    <row r="26" spans="1:9">
      <c r="A26" s="1322" t="s">
        <v>1117</v>
      </c>
      <c r="B26" s="1322"/>
      <c r="C26" s="1322"/>
      <c r="D26" s="1322"/>
      <c r="E26" s="3231">
        <f>C27-C30-C31-C32</f>
        <v>0</v>
      </c>
      <c r="F26" s="3231"/>
      <c r="G26" s="3231"/>
      <c r="H26" s="1735" t="s">
        <v>1340</v>
      </c>
    </row>
    <row r="27" spans="1:9">
      <c r="A27" s="1323">
        <v>1</v>
      </c>
      <c r="B27" s="1324" t="s">
        <v>1118</v>
      </c>
      <c r="C27" s="1324">
        <f>C28+C29</f>
        <v>0</v>
      </c>
      <c r="D27" s="1324"/>
      <c r="E27" s="3232"/>
      <c r="F27" s="3232"/>
      <c r="G27" s="3232"/>
    </row>
    <row r="28" spans="1:9">
      <c r="A28" s="1325" t="s">
        <v>1119</v>
      </c>
      <c r="B28" s="1324" t="s">
        <v>1120</v>
      </c>
      <c r="C28" s="1324"/>
      <c r="D28" s="1324"/>
      <c r="E28" s="3232"/>
      <c r="F28" s="3232"/>
      <c r="G28" s="3232"/>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3"/>
      <c r="F32" s="3223"/>
      <c r="G32" s="3223"/>
    </row>
    <row r="33" spans="1:7" hidden="1">
      <c r="A33" s="3233" t="s">
        <v>1129</v>
      </c>
      <c r="B33" s="3234"/>
      <c r="C33" s="3234"/>
      <c r="D33" s="3235"/>
      <c r="E33" s="3231"/>
      <c r="F33" s="3231"/>
      <c r="G33" s="3231"/>
    </row>
    <row r="34" spans="1:7" hidden="1">
      <c r="A34" s="1327">
        <v>1</v>
      </c>
      <c r="B34" s="1324" t="s">
        <v>1130</v>
      </c>
      <c r="C34" s="1324"/>
      <c r="D34" s="1324"/>
      <c r="E34" s="3232"/>
      <c r="F34" s="3232"/>
      <c r="G34" s="3232"/>
    </row>
    <row r="35" spans="1:7" hidden="1">
      <c r="A35" s="1327">
        <v>2</v>
      </c>
      <c r="B35" s="1324" t="s">
        <v>1131</v>
      </c>
      <c r="C35" s="1324"/>
      <c r="D35" s="1324"/>
      <c r="E35" s="3232"/>
      <c r="F35" s="3232"/>
      <c r="G35" s="3232"/>
    </row>
    <row r="36" spans="1:7" hidden="1">
      <c r="A36" s="1327">
        <v>3</v>
      </c>
      <c r="B36" s="1324" t="s">
        <v>1132</v>
      </c>
      <c r="C36" s="1324"/>
      <c r="D36" s="1324"/>
      <c r="E36" s="3232"/>
      <c r="F36" s="3232"/>
      <c r="G36" s="3232"/>
    </row>
    <row r="37" spans="1:7" hidden="1">
      <c r="A37" s="1327">
        <v>4</v>
      </c>
      <c r="B37" s="1324" t="s">
        <v>1133</v>
      </c>
      <c r="C37" s="1324"/>
      <c r="D37" s="1324"/>
      <c r="E37" s="3232"/>
      <c r="F37" s="3232"/>
      <c r="G37" s="3232"/>
    </row>
    <row r="38" spans="1:7" hidden="1">
      <c r="A38" s="3233" t="s">
        <v>1134</v>
      </c>
      <c r="B38" s="3234"/>
      <c r="C38" s="3234"/>
      <c r="D38" s="3235"/>
      <c r="E38" s="3231"/>
      <c r="F38" s="3231"/>
      <c r="G38" s="32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2532</v>
      </c>
      <c r="C1" s="1632" t="s">
        <v>2533</v>
      </c>
      <c r="D1" s="1619"/>
      <c r="E1" s="2581"/>
      <c r="F1" s="2582" t="s">
        <v>2534</v>
      </c>
      <c r="G1" s="1629" t="s">
        <v>2535</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2537</v>
      </c>
      <c r="D3" s="397">
        <f>IF(D1="",'数据-汇总表'!E3,SUMIF('数据-汇总表'!$C19:$C33,D1,'数据-汇总表'!$E19:$E33))</f>
        <v>95896.06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2538</v>
      </c>
      <c r="B4" s="400"/>
      <c r="C4" s="3184" t="s">
        <v>2539</v>
      </c>
      <c r="D4" s="3185"/>
      <c r="E4" s="3186" t="s">
        <v>2540</v>
      </c>
      <c r="F4" s="3187"/>
      <c r="G4" s="3184" t="s">
        <v>2541</v>
      </c>
      <c r="H4" s="3185"/>
      <c r="I4" s="3184" t="s">
        <v>2542</v>
      </c>
      <c r="J4" s="3185"/>
      <c r="K4" s="2594" t="s">
        <v>2543</v>
      </c>
      <c r="L4" s="1130"/>
      <c r="M4" s="1131"/>
      <c r="N4" s="1131"/>
      <c r="O4" s="1131"/>
      <c r="P4" s="3188" t="s">
        <v>2544</v>
      </c>
      <c r="Q4" s="3189"/>
      <c r="R4" s="3171" t="s">
        <v>2540</v>
      </c>
      <c r="S4" s="3172"/>
      <c r="T4" s="3171" t="s">
        <v>2541</v>
      </c>
      <c r="U4" s="3172"/>
      <c r="V4" s="3196" t="s">
        <v>2542</v>
      </c>
      <c r="W4" s="3196"/>
      <c r="X4" s="1811"/>
      <c r="Y4" s="3171" t="s">
        <v>2544</v>
      </c>
      <c r="Z4" s="3172"/>
      <c r="AA4" s="3166" t="s">
        <v>2540</v>
      </c>
      <c r="AB4" s="3166" t="s">
        <v>2541</v>
      </c>
      <c r="AC4" s="3166" t="s">
        <v>2542</v>
      </c>
    </row>
    <row r="5" spans="1:29" ht="15">
      <c r="A5" s="402"/>
      <c r="B5" s="403"/>
      <c r="C5" s="3177" t="s">
        <v>2545</v>
      </c>
      <c r="D5" s="3178"/>
      <c r="E5" s="3175" t="s">
        <v>2546</v>
      </c>
      <c r="F5" s="3176"/>
      <c r="G5" s="3177" t="s">
        <v>2547</v>
      </c>
      <c r="H5" s="3178"/>
      <c r="I5" s="3177" t="s">
        <v>2548</v>
      </c>
      <c r="J5" s="3178"/>
      <c r="K5" s="2595"/>
      <c r="L5" s="1130"/>
      <c r="M5" s="1131"/>
      <c r="N5" s="1131"/>
      <c r="O5" s="1131"/>
      <c r="P5" s="3190"/>
      <c r="Q5" s="3191"/>
      <c r="R5" s="3173"/>
      <c r="S5" s="3174"/>
      <c r="T5" s="3173"/>
      <c r="U5" s="3174"/>
      <c r="V5" s="3196"/>
      <c r="W5" s="3196"/>
      <c r="X5" s="1811"/>
      <c r="Y5" s="3173"/>
      <c r="Z5" s="3174"/>
      <c r="AA5" s="3167"/>
      <c r="AB5" s="3167"/>
      <c r="AC5" s="3167"/>
    </row>
    <row r="6" spans="1:29" ht="15.75" thickBot="1">
      <c r="A6" s="404"/>
      <c r="B6" s="405"/>
      <c r="C6" s="3179" t="s">
        <v>2549</v>
      </c>
      <c r="D6" s="3180"/>
      <c r="E6" s="3181" t="s">
        <v>2549</v>
      </c>
      <c r="F6" s="3182"/>
      <c r="G6" s="3179" t="s">
        <v>2549</v>
      </c>
      <c r="H6" s="3180"/>
      <c r="I6" s="3179" t="s">
        <v>2549</v>
      </c>
      <c r="J6" s="3180"/>
      <c r="K6" s="2595" t="s">
        <v>2550</v>
      </c>
      <c r="L6" s="1130"/>
      <c r="M6" s="1131"/>
      <c r="N6" s="1131"/>
      <c r="O6" s="1131"/>
      <c r="P6" s="3192"/>
      <c r="Q6" s="3193"/>
      <c r="R6" s="3173"/>
      <c r="S6" s="3174"/>
      <c r="T6" s="3194"/>
      <c r="U6" s="3195"/>
      <c r="V6" s="3196"/>
      <c r="W6" s="3196"/>
      <c r="X6" s="1811"/>
      <c r="Y6" s="3194"/>
      <c r="Z6" s="3195"/>
      <c r="AA6" s="3168"/>
      <c r="AB6" s="3168"/>
      <c r="AC6" s="3168"/>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169" t="s">
        <v>2552</v>
      </c>
      <c r="Q7" s="3197"/>
      <c r="R7" s="768" t="s">
        <v>23</v>
      </c>
      <c r="S7" s="769">
        <f t="shared" ref="S7:S15" si="0">F7</f>
        <v>0</v>
      </c>
      <c r="T7" s="768" t="s">
        <v>23</v>
      </c>
      <c r="U7" s="769">
        <f t="shared" ref="U7:U15" si="1">H7</f>
        <v>0</v>
      </c>
      <c r="V7" s="768" t="s">
        <v>23</v>
      </c>
      <c r="W7" s="769">
        <f t="shared" ref="W7:W15" si="2">J7</f>
        <v>0</v>
      </c>
      <c r="X7" s="770"/>
      <c r="Y7" s="3169" t="s">
        <v>2552</v>
      </c>
      <c r="Z7" s="3170"/>
      <c r="AA7" s="771" t="e">
        <f>D7/F7</f>
        <v>#DIV/0!</v>
      </c>
      <c r="AB7" s="771" t="e">
        <f>D7/H7</f>
        <v>#DIV/0!</v>
      </c>
      <c r="AC7" s="771" t="e">
        <f>D7/J7</f>
        <v>#DIV/0!</v>
      </c>
    </row>
    <row r="8" spans="1:29" s="115" customFormat="1" ht="15.75" thickBot="1">
      <c r="A8" s="406" t="s">
        <v>2553</v>
      </c>
      <c r="B8" s="407"/>
      <c r="C8" s="412" t="s">
        <v>2554</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169" t="s">
        <v>2555</v>
      </c>
      <c r="Q8" s="3170"/>
      <c r="R8" s="768" t="s">
        <v>23</v>
      </c>
      <c r="S8" s="769">
        <f t="shared" si="0"/>
        <v>0</v>
      </c>
      <c r="T8" s="768" t="s">
        <v>23</v>
      </c>
      <c r="U8" s="769">
        <f t="shared" si="1"/>
        <v>0</v>
      </c>
      <c r="V8" s="768" t="s">
        <v>23</v>
      </c>
      <c r="W8" s="769">
        <f t="shared" si="2"/>
        <v>0</v>
      </c>
      <c r="X8" s="770"/>
      <c r="Y8" s="3169" t="s">
        <v>2555</v>
      </c>
      <c r="Z8" s="3170"/>
      <c r="AA8" s="771" t="e">
        <f t="shared" ref="AA8:AA19" si="3">D8/F8</f>
        <v>#DIV/0!</v>
      </c>
      <c r="AB8" s="771" t="e">
        <f t="shared" ref="AB8:AB19" si="4">D8/H8</f>
        <v>#DIV/0!</v>
      </c>
      <c r="AC8" s="771" t="e">
        <f t="shared" ref="AC8:AC19" si="5">D8/J8</f>
        <v>#DIV/0!</v>
      </c>
    </row>
    <row r="9" spans="1:29" s="115" customFormat="1">
      <c r="A9" s="413" t="s">
        <v>2556</v>
      </c>
      <c r="B9" s="71" t="s">
        <v>2557</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207" t="s">
        <v>2558</v>
      </c>
      <c r="Q9" s="1793" t="str">
        <f t="shared" ref="Q9:Q15" si="6">B9</f>
        <v>用途</v>
      </c>
      <c r="R9" s="768" t="s">
        <v>17</v>
      </c>
      <c r="S9" s="769">
        <f t="shared" si="0"/>
        <v>100</v>
      </c>
      <c r="T9" s="768" t="s">
        <v>17</v>
      </c>
      <c r="U9" s="769">
        <f t="shared" si="1"/>
        <v>100</v>
      </c>
      <c r="V9" s="768" t="s">
        <v>17</v>
      </c>
      <c r="W9" s="769">
        <f t="shared" si="2"/>
        <v>100</v>
      </c>
      <c r="X9" s="770"/>
      <c r="Y9" s="3043"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07"/>
      <c r="Q10" s="1793"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07"/>
      <c r="Q11" s="1793" t="str">
        <f t="shared" si="6"/>
        <v>容积率</v>
      </c>
      <c r="R11" s="768" t="s">
        <v>21</v>
      </c>
      <c r="S11" s="769" t="e">
        <f t="shared" si="0"/>
        <v>#N/A</v>
      </c>
      <c r="T11" s="768" t="s">
        <v>21</v>
      </c>
      <c r="U11" s="769" t="e">
        <f t="shared" si="1"/>
        <v>#N/A</v>
      </c>
      <c r="V11" s="768" t="s">
        <v>21</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207"/>
      <c r="Q12" s="1793">
        <f t="shared" si="6"/>
        <v>111</v>
      </c>
      <c r="R12" s="768" t="s">
        <v>21</v>
      </c>
      <c r="S12" s="769">
        <f t="shared" si="0"/>
        <v>100</v>
      </c>
      <c r="T12" s="768" t="s">
        <v>21</v>
      </c>
      <c r="U12" s="769">
        <f t="shared" si="1"/>
        <v>100</v>
      </c>
      <c r="V12" s="768" t="s">
        <v>21</v>
      </c>
      <c r="W12" s="769">
        <f t="shared" si="2"/>
        <v>100</v>
      </c>
      <c r="X12" s="770"/>
      <c r="Y12" s="3043"/>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207"/>
      <c r="Q13" s="1793">
        <f t="shared" si="6"/>
        <v>111</v>
      </c>
      <c r="R13" s="768" t="s">
        <v>21</v>
      </c>
      <c r="S13" s="769">
        <f t="shared" si="0"/>
        <v>100</v>
      </c>
      <c r="T13" s="768" t="s">
        <v>21</v>
      </c>
      <c r="U13" s="769">
        <f t="shared" si="1"/>
        <v>100</v>
      </c>
      <c r="V13" s="768" t="s">
        <v>21</v>
      </c>
      <c r="W13" s="769">
        <f t="shared" si="2"/>
        <v>100</v>
      </c>
      <c r="X13" s="770"/>
      <c r="Y13" s="3043"/>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207"/>
      <c r="Q14" s="1793">
        <f t="shared" si="6"/>
        <v>111</v>
      </c>
      <c r="R14" s="768" t="s">
        <v>21</v>
      </c>
      <c r="S14" s="769">
        <f t="shared" si="0"/>
        <v>100</v>
      </c>
      <c r="T14" s="768" t="s">
        <v>21</v>
      </c>
      <c r="U14" s="769">
        <f t="shared" si="1"/>
        <v>100</v>
      </c>
      <c r="V14" s="768" t="s">
        <v>21</v>
      </c>
      <c r="W14" s="769">
        <f t="shared" si="2"/>
        <v>100</v>
      </c>
      <c r="X14" s="770"/>
      <c r="Y14" s="3043"/>
      <c r="Z14" s="55">
        <f t="shared" si="7"/>
        <v>111</v>
      </c>
      <c r="AA14" s="771">
        <f t="shared" si="3"/>
        <v>1</v>
      </c>
      <c r="AB14" s="771">
        <f t="shared" si="4"/>
        <v>1</v>
      </c>
      <c r="AC14" s="771">
        <f t="shared" si="5"/>
        <v>1</v>
      </c>
    </row>
    <row r="15" spans="1:29" ht="99.75">
      <c r="A15" s="438" t="s">
        <v>2562</v>
      </c>
      <c r="B15" s="69" t="s">
        <v>2089</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42" t="s">
        <v>2563</v>
      </c>
      <c r="Q15" s="1808" t="str">
        <f t="shared" si="6"/>
        <v>居住社区成熟度</v>
      </c>
      <c r="R15" s="772" t="s">
        <v>21</v>
      </c>
      <c r="S15" s="773">
        <f t="shared" si="0"/>
        <v>100</v>
      </c>
      <c r="T15" s="772" t="s">
        <v>21</v>
      </c>
      <c r="U15" s="773">
        <f t="shared" si="1"/>
        <v>100</v>
      </c>
      <c r="V15" s="772" t="s">
        <v>21</v>
      </c>
      <c r="W15" s="773">
        <f t="shared" si="2"/>
        <v>100</v>
      </c>
      <c r="X15" s="1811"/>
      <c r="Y15" s="3198" t="s">
        <v>2563</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43"/>
      <c r="Q16" s="1808"/>
      <c r="R16" s="772"/>
      <c r="S16" s="773"/>
      <c r="T16" s="772"/>
      <c r="U16" s="773"/>
      <c r="V16" s="772"/>
      <c r="W16" s="773"/>
      <c r="X16" s="1811"/>
      <c r="Y16" s="3199"/>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43"/>
      <c r="Q17" s="1808" t="str">
        <f>B17</f>
        <v>交通便捷度</v>
      </c>
      <c r="R17" s="772" t="s">
        <v>21</v>
      </c>
      <c r="S17" s="773">
        <f>F17</f>
        <v>100</v>
      </c>
      <c r="T17" s="772" t="s">
        <v>21</v>
      </c>
      <c r="U17" s="773">
        <f>H17</f>
        <v>100</v>
      </c>
      <c r="V17" s="772" t="s">
        <v>21</v>
      </c>
      <c r="W17" s="773">
        <f>J17</f>
        <v>100</v>
      </c>
      <c r="X17" s="1811"/>
      <c r="Y17" s="3199"/>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43"/>
      <c r="Q18" s="1808"/>
      <c r="R18" s="772"/>
      <c r="S18" s="773"/>
      <c r="T18" s="772"/>
      <c r="U18" s="773"/>
      <c r="V18" s="772"/>
      <c r="W18" s="773"/>
      <c r="X18" s="1811"/>
      <c r="Y18" s="3199"/>
      <c r="Z18" s="1812"/>
      <c r="AA18" s="1809">
        <v>1</v>
      </c>
      <c r="AB18" s="1809">
        <v>1</v>
      </c>
      <c r="AC18" s="1809">
        <v>1</v>
      </c>
    </row>
    <row r="19" spans="1:29" ht="42.75">
      <c r="A19" s="426"/>
      <c r="B19" s="449" t="s">
        <v>2099</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43"/>
      <c r="Q19" s="1808" t="str">
        <f>B19</f>
        <v>公共配套设施</v>
      </c>
      <c r="R19" s="772" t="s">
        <v>21</v>
      </c>
      <c r="S19" s="773">
        <f>F19</f>
        <v>100</v>
      </c>
      <c r="T19" s="772" t="s">
        <v>21</v>
      </c>
      <c r="U19" s="773">
        <f>H19</f>
        <v>100</v>
      </c>
      <c r="V19" s="772" t="s">
        <v>21</v>
      </c>
      <c r="W19" s="773">
        <f>J19</f>
        <v>100</v>
      </c>
      <c r="X19" s="1811"/>
      <c r="Y19" s="3199"/>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43"/>
      <c r="Q20" s="1808"/>
      <c r="R20" s="772"/>
      <c r="S20" s="773"/>
      <c r="T20" s="772"/>
      <c r="U20" s="773"/>
      <c r="V20" s="772"/>
      <c r="W20" s="773"/>
      <c r="X20" s="1811"/>
      <c r="Y20" s="3199"/>
      <c r="Z20" s="1812"/>
      <c r="AA20" s="1809">
        <v>1</v>
      </c>
      <c r="AB20" s="1809">
        <v>1</v>
      </c>
      <c r="AC20" s="1809">
        <v>1</v>
      </c>
    </row>
    <row r="21" spans="1:29" ht="28.5">
      <c r="A21" s="426"/>
      <c r="B21" s="1383" t="s">
        <v>2102</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43"/>
      <c r="Q21" s="1808" t="str">
        <f>B21</f>
        <v>基础设施水平</v>
      </c>
      <c r="R21" s="772" t="s">
        <v>17</v>
      </c>
      <c r="S21" s="773">
        <f>F21</f>
        <v>100</v>
      </c>
      <c r="T21" s="772" t="s">
        <v>17</v>
      </c>
      <c r="U21" s="773">
        <f>H21</f>
        <v>100</v>
      </c>
      <c r="V21" s="772" t="s">
        <v>17</v>
      </c>
      <c r="W21" s="773">
        <f>J21</f>
        <v>100</v>
      </c>
      <c r="X21" s="1811"/>
      <c r="Y21" s="3199"/>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43"/>
      <c r="Q22" s="1808"/>
      <c r="R22" s="772"/>
      <c r="S22" s="773"/>
      <c r="T22" s="772"/>
      <c r="U22" s="773"/>
      <c r="V22" s="772"/>
      <c r="W22" s="773"/>
      <c r="X22" s="1811"/>
      <c r="Y22" s="3199"/>
      <c r="Z22" s="1812"/>
      <c r="AA22" s="1809">
        <v>1</v>
      </c>
      <c r="AB22" s="1809">
        <v>1</v>
      </c>
      <c r="AC22" s="1809">
        <v>1</v>
      </c>
    </row>
    <row r="23" spans="1:29" ht="57">
      <c r="A23" s="426"/>
      <c r="B23" s="449" t="s">
        <v>2106</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43"/>
      <c r="Q23" s="1808" t="str">
        <f>B23</f>
        <v>自然及人文环境</v>
      </c>
      <c r="R23" s="772" t="s">
        <v>21</v>
      </c>
      <c r="S23" s="773">
        <f>F23</f>
        <v>100</v>
      </c>
      <c r="T23" s="772" t="s">
        <v>21</v>
      </c>
      <c r="U23" s="773">
        <f>H23</f>
        <v>100</v>
      </c>
      <c r="V23" s="772" t="s">
        <v>21</v>
      </c>
      <c r="W23" s="773">
        <f>J23</f>
        <v>100</v>
      </c>
      <c r="X23" s="1811"/>
      <c r="Y23" s="3199"/>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43"/>
      <c r="Q24" s="1808"/>
      <c r="R24" s="772"/>
      <c r="S24" s="773"/>
      <c r="T24" s="772"/>
      <c r="U24" s="773"/>
      <c r="V24" s="772"/>
      <c r="W24" s="773"/>
      <c r="X24" s="1811"/>
      <c r="Y24" s="3199"/>
      <c r="Z24" s="1812"/>
      <c r="AA24" s="1809">
        <v>1</v>
      </c>
      <c r="AB24" s="1809">
        <v>1</v>
      </c>
      <c r="AC24" s="1809">
        <v>1</v>
      </c>
    </row>
    <row r="25" spans="1:29" ht="15">
      <c r="A25" s="426"/>
      <c r="B25" s="420" t="s">
        <v>2564</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43"/>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99"/>
      <c r="Z25" s="1812" t="str">
        <f>Q25</f>
        <v>楼层-1</v>
      </c>
      <c r="AA25" s="1809">
        <f t="shared" ref="AA25:AA46" si="15">D25/F25</f>
        <v>1</v>
      </c>
      <c r="AB25" s="1809">
        <f t="shared" ref="AB25:AB46" si="16">D25/H25</f>
        <v>1</v>
      </c>
      <c r="AC25" s="1809">
        <f t="shared" ref="AC25:AC46" si="17">D25/J25</f>
        <v>1</v>
      </c>
    </row>
    <row r="26" spans="1:29" ht="15">
      <c r="A26" s="426"/>
      <c r="B26" s="420" t="s">
        <v>2565</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43"/>
      <c r="Q26" s="1808" t="str">
        <f t="shared" si="11"/>
        <v>朝向</v>
      </c>
      <c r="R26" s="772" t="s">
        <v>21</v>
      </c>
      <c r="S26" s="773">
        <f t="shared" si="12"/>
        <v>100</v>
      </c>
      <c r="T26" s="772" t="s">
        <v>21</v>
      </c>
      <c r="U26" s="773">
        <f t="shared" si="13"/>
        <v>100</v>
      </c>
      <c r="V26" s="772" t="s">
        <v>21</v>
      </c>
      <c r="W26" s="773">
        <f t="shared" si="14"/>
        <v>100</v>
      </c>
      <c r="X26" s="1811"/>
      <c r="Y26" s="3199"/>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43"/>
      <c r="Q27" s="1793">
        <f t="shared" si="11"/>
        <v>111</v>
      </c>
      <c r="R27" s="768" t="s">
        <v>21</v>
      </c>
      <c r="S27" s="769">
        <f t="shared" si="12"/>
        <v>100</v>
      </c>
      <c r="T27" s="768" t="s">
        <v>21</v>
      </c>
      <c r="U27" s="769">
        <f t="shared" si="13"/>
        <v>100</v>
      </c>
      <c r="V27" s="768" t="s">
        <v>21</v>
      </c>
      <c r="W27" s="769">
        <f t="shared" si="14"/>
        <v>100</v>
      </c>
      <c r="X27" s="770"/>
      <c r="Y27" s="3199"/>
      <c r="Z27" s="55">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43"/>
      <c r="Q28" s="1808">
        <f t="shared" si="11"/>
        <v>111</v>
      </c>
      <c r="R28" s="772" t="s">
        <v>21</v>
      </c>
      <c r="S28" s="773">
        <f t="shared" si="12"/>
        <v>100</v>
      </c>
      <c r="T28" s="772" t="s">
        <v>21</v>
      </c>
      <c r="U28" s="773">
        <f t="shared" si="13"/>
        <v>100</v>
      </c>
      <c r="V28" s="772" t="s">
        <v>21</v>
      </c>
      <c r="W28" s="773">
        <f t="shared" si="14"/>
        <v>100</v>
      </c>
      <c r="X28" s="1811"/>
      <c r="Y28" s="3199"/>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43"/>
      <c r="Q29" s="1808">
        <f t="shared" si="11"/>
        <v>111</v>
      </c>
      <c r="R29" s="772" t="s">
        <v>21</v>
      </c>
      <c r="S29" s="773">
        <f t="shared" si="12"/>
        <v>100</v>
      </c>
      <c r="T29" s="772" t="s">
        <v>21</v>
      </c>
      <c r="U29" s="773">
        <f t="shared" si="13"/>
        <v>100</v>
      </c>
      <c r="V29" s="772" t="s">
        <v>21</v>
      </c>
      <c r="W29" s="773">
        <f t="shared" si="14"/>
        <v>100</v>
      </c>
      <c r="X29" s="1811"/>
      <c r="Y29" s="3199"/>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43"/>
      <c r="Q30" s="1808">
        <f t="shared" si="11"/>
        <v>111</v>
      </c>
      <c r="R30" s="772" t="s">
        <v>21</v>
      </c>
      <c r="S30" s="773">
        <f t="shared" si="12"/>
        <v>100</v>
      </c>
      <c r="T30" s="772" t="s">
        <v>21</v>
      </c>
      <c r="U30" s="773">
        <f t="shared" si="13"/>
        <v>100</v>
      </c>
      <c r="V30" s="772" t="s">
        <v>21</v>
      </c>
      <c r="W30" s="773">
        <f t="shared" si="14"/>
        <v>100</v>
      </c>
      <c r="X30" s="1811"/>
      <c r="Y30" s="3199"/>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43"/>
      <c r="Q31" s="1808">
        <f t="shared" si="11"/>
        <v>111</v>
      </c>
      <c r="R31" s="772" t="s">
        <v>21</v>
      </c>
      <c r="S31" s="773">
        <f t="shared" si="12"/>
        <v>100</v>
      </c>
      <c r="T31" s="772" t="s">
        <v>21</v>
      </c>
      <c r="U31" s="773">
        <f t="shared" si="13"/>
        <v>100</v>
      </c>
      <c r="V31" s="772" t="s">
        <v>21</v>
      </c>
      <c r="W31" s="773">
        <f t="shared" si="14"/>
        <v>100</v>
      </c>
      <c r="X31" s="1811"/>
      <c r="Y31" s="3199"/>
      <c r="Z31" s="1812">
        <f t="shared" si="18"/>
        <v>111</v>
      </c>
      <c r="AA31" s="1809">
        <f t="shared" si="15"/>
        <v>1</v>
      </c>
      <c r="AB31" s="1809">
        <f t="shared" si="16"/>
        <v>1</v>
      </c>
      <c r="AC31" s="1809">
        <f t="shared" si="17"/>
        <v>1</v>
      </c>
    </row>
    <row r="32" spans="1:29" ht="15">
      <c r="A32" s="438" t="s">
        <v>2566</v>
      </c>
      <c r="B32" s="71" t="s">
        <v>2567</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8" t="s">
        <v>2568</v>
      </c>
      <c r="Q32" s="1808" t="str">
        <f t="shared" si="11"/>
        <v>建筑类型</v>
      </c>
      <c r="R32" s="772" t="s">
        <v>21</v>
      </c>
      <c r="S32" s="773">
        <f t="shared" si="12"/>
        <v>100</v>
      </c>
      <c r="T32" s="772" t="s">
        <v>21</v>
      </c>
      <c r="U32" s="773">
        <f t="shared" si="13"/>
        <v>100</v>
      </c>
      <c r="V32" s="772" t="s">
        <v>21</v>
      </c>
      <c r="W32" s="773">
        <f t="shared" si="14"/>
        <v>100</v>
      </c>
      <c r="X32" s="1811"/>
      <c r="Y32" s="3201" t="s">
        <v>2568</v>
      </c>
      <c r="Z32" s="1812" t="str">
        <f t="shared" si="18"/>
        <v>建筑类型</v>
      </c>
      <c r="AA32" s="1809">
        <f t="shared" si="15"/>
        <v>1</v>
      </c>
      <c r="AB32" s="1809">
        <f t="shared" si="16"/>
        <v>1</v>
      </c>
      <c r="AC32" s="1809">
        <f t="shared" si="17"/>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39"/>
      <c r="Q33" s="774" t="str">
        <f t="shared" si="11"/>
        <v>项目建筑规模</v>
      </c>
      <c r="R33" s="775" t="s">
        <v>21</v>
      </c>
      <c r="S33" s="776" t="e">
        <f t="shared" si="12"/>
        <v>#N/A</v>
      </c>
      <c r="T33" s="775" t="s">
        <v>21</v>
      </c>
      <c r="U33" s="776" t="e">
        <f t="shared" si="13"/>
        <v>#N/A</v>
      </c>
      <c r="V33" s="775" t="s">
        <v>21</v>
      </c>
      <c r="W33" s="776" t="e">
        <f t="shared" si="14"/>
        <v>#N/A</v>
      </c>
      <c r="X33" s="777"/>
      <c r="Y33" s="3201"/>
      <c r="Z33" s="778" t="str">
        <f t="shared" si="18"/>
        <v>项目建筑规模</v>
      </c>
      <c r="AA33" s="1809" t="e">
        <f t="shared" si="15"/>
        <v>#N/A</v>
      </c>
      <c r="AB33" s="1809" t="e">
        <f t="shared" si="16"/>
        <v>#N/A</v>
      </c>
      <c r="AC33" s="1809" t="e">
        <f t="shared" si="17"/>
        <v>#N/A</v>
      </c>
    </row>
    <row r="34" spans="1:29" ht="15">
      <c r="A34" s="470"/>
      <c r="B34" s="420" t="s">
        <v>2570</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39"/>
      <c r="Q34" s="1808" t="str">
        <f t="shared" si="11"/>
        <v>建筑结构</v>
      </c>
      <c r="R34" s="772" t="s">
        <v>21</v>
      </c>
      <c r="S34" s="773">
        <f t="shared" si="12"/>
        <v>100</v>
      </c>
      <c r="T34" s="772" t="s">
        <v>21</v>
      </c>
      <c r="U34" s="773">
        <f t="shared" si="13"/>
        <v>100</v>
      </c>
      <c r="V34" s="772" t="s">
        <v>21</v>
      </c>
      <c r="W34" s="773">
        <f t="shared" si="14"/>
        <v>100</v>
      </c>
      <c r="X34" s="1811"/>
      <c r="Y34" s="3201"/>
      <c r="Z34" s="1812" t="str">
        <f t="shared" si="18"/>
        <v>建筑结构</v>
      </c>
      <c r="AA34" s="1809">
        <f t="shared" si="15"/>
        <v>1</v>
      </c>
      <c r="AB34" s="1809">
        <f t="shared" si="16"/>
        <v>1</v>
      </c>
      <c r="AC34" s="1809">
        <f t="shared" si="17"/>
        <v>1</v>
      </c>
    </row>
    <row r="35" spans="1:29" ht="15">
      <c r="A35" s="470"/>
      <c r="B35" s="420" t="s">
        <v>2571</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39"/>
      <c r="Q35" s="1808" t="str">
        <f t="shared" si="11"/>
        <v>建筑品质</v>
      </c>
      <c r="R35" s="772" t="s">
        <v>21</v>
      </c>
      <c r="S35" s="773">
        <f t="shared" si="12"/>
        <v>100</v>
      </c>
      <c r="T35" s="772" t="s">
        <v>21</v>
      </c>
      <c r="U35" s="773">
        <f t="shared" si="13"/>
        <v>100</v>
      </c>
      <c r="V35" s="772" t="s">
        <v>21</v>
      </c>
      <c r="W35" s="773">
        <f t="shared" si="14"/>
        <v>100</v>
      </c>
      <c r="X35" s="1811"/>
      <c r="Y35" s="3201"/>
      <c r="Z35" s="1812" t="str">
        <f t="shared" si="18"/>
        <v>建筑品质</v>
      </c>
      <c r="AA35" s="1809">
        <f t="shared" si="15"/>
        <v>1</v>
      </c>
      <c r="AB35" s="1809">
        <f t="shared" si="16"/>
        <v>1</v>
      </c>
      <c r="AC35" s="1809">
        <f t="shared" si="17"/>
        <v>1</v>
      </c>
    </row>
    <row r="36" spans="1:29" ht="15">
      <c r="A36" s="470"/>
      <c r="B36" s="420" t="s">
        <v>2572</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39"/>
      <c r="Q36" s="1808" t="str">
        <f t="shared" si="11"/>
        <v>公共部分装修</v>
      </c>
      <c r="R36" s="772" t="s">
        <v>21</v>
      </c>
      <c r="S36" s="773">
        <f t="shared" si="12"/>
        <v>100</v>
      </c>
      <c r="T36" s="772" t="s">
        <v>21</v>
      </c>
      <c r="U36" s="773">
        <f t="shared" si="13"/>
        <v>100</v>
      </c>
      <c r="V36" s="772" t="s">
        <v>21</v>
      </c>
      <c r="W36" s="773">
        <f t="shared" si="14"/>
        <v>100</v>
      </c>
      <c r="X36" s="1811"/>
      <c r="Y36" s="3201"/>
      <c r="Z36" s="1812" t="str">
        <f t="shared" si="18"/>
        <v>公共部分装修</v>
      </c>
      <c r="AA36" s="1809">
        <f t="shared" si="15"/>
        <v>1</v>
      </c>
      <c r="AB36" s="1809">
        <f t="shared" si="16"/>
        <v>1</v>
      </c>
      <c r="AC36" s="1809">
        <f t="shared" si="17"/>
        <v>1</v>
      </c>
    </row>
    <row r="37" spans="1:29" s="115" customFormat="1" ht="15">
      <c r="A37" s="471"/>
      <c r="B37" s="420" t="s">
        <v>2573</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39"/>
      <c r="Q37" s="1793" t="str">
        <f t="shared" si="11"/>
        <v>成新度</v>
      </c>
      <c r="R37" s="768" t="s">
        <v>21</v>
      </c>
      <c r="S37" s="769" t="e">
        <f t="shared" si="12"/>
        <v>#N/A</v>
      </c>
      <c r="T37" s="768" t="s">
        <v>21</v>
      </c>
      <c r="U37" s="769" t="e">
        <f t="shared" si="13"/>
        <v>#N/A</v>
      </c>
      <c r="V37" s="768" t="s">
        <v>21</v>
      </c>
      <c r="W37" s="769" t="e">
        <f t="shared" si="14"/>
        <v>#N/A</v>
      </c>
      <c r="X37" s="770"/>
      <c r="Y37" s="3201"/>
      <c r="Z37" s="55" t="str">
        <f t="shared" si="18"/>
        <v>成新度</v>
      </c>
      <c r="AA37" s="771" t="e">
        <f t="shared" si="15"/>
        <v>#N/A</v>
      </c>
      <c r="AB37" s="771" t="e">
        <f t="shared" si="16"/>
        <v>#N/A</v>
      </c>
      <c r="AC37" s="771" t="e">
        <f t="shared" si="17"/>
        <v>#N/A</v>
      </c>
    </row>
    <row r="38" spans="1:29" ht="15">
      <c r="A38" s="470"/>
      <c r="B38" s="420" t="s">
        <v>2574</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39" t="s">
        <v>2568</v>
      </c>
      <c r="Q38" s="1808" t="str">
        <f t="shared" si="11"/>
        <v>物业管理</v>
      </c>
      <c r="R38" s="772" t="s">
        <v>21</v>
      </c>
      <c r="S38" s="773">
        <f t="shared" si="12"/>
        <v>100</v>
      </c>
      <c r="T38" s="772" t="s">
        <v>21</v>
      </c>
      <c r="U38" s="773">
        <f t="shared" si="13"/>
        <v>100</v>
      </c>
      <c r="V38" s="772" t="s">
        <v>21</v>
      </c>
      <c r="W38" s="773">
        <f t="shared" si="14"/>
        <v>100</v>
      </c>
      <c r="X38" s="1811"/>
      <c r="Y38" s="3201" t="s">
        <v>2568</v>
      </c>
      <c r="Z38" s="1812" t="str">
        <f t="shared" si="18"/>
        <v>物业管理</v>
      </c>
      <c r="AA38" s="1809">
        <f t="shared" si="15"/>
        <v>1</v>
      </c>
      <c r="AB38" s="1809">
        <f t="shared" si="16"/>
        <v>1</v>
      </c>
      <c r="AC38" s="1809">
        <f t="shared" si="17"/>
        <v>1</v>
      </c>
    </row>
    <row r="39" spans="1:29" ht="15">
      <c r="A39" s="470"/>
      <c r="B39" s="420" t="s">
        <v>2575</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39"/>
      <c r="Q39" s="1808" t="str">
        <f t="shared" si="11"/>
        <v>市政基础设施</v>
      </c>
      <c r="R39" s="772" t="s">
        <v>21</v>
      </c>
      <c r="S39" s="773">
        <f t="shared" si="12"/>
        <v>100</v>
      </c>
      <c r="T39" s="772" t="s">
        <v>21</v>
      </c>
      <c r="U39" s="773">
        <f t="shared" si="13"/>
        <v>100</v>
      </c>
      <c r="V39" s="772" t="s">
        <v>21</v>
      </c>
      <c r="W39" s="773">
        <f t="shared" si="14"/>
        <v>100</v>
      </c>
      <c r="X39" s="1811"/>
      <c r="Y39" s="3201"/>
      <c r="Z39" s="1812" t="str">
        <f t="shared" si="18"/>
        <v>市政基础设施</v>
      </c>
      <c r="AA39" s="1809">
        <f t="shared" si="15"/>
        <v>1</v>
      </c>
      <c r="AB39" s="1809">
        <f t="shared" si="16"/>
        <v>1</v>
      </c>
      <c r="AC39" s="1809">
        <f t="shared" si="17"/>
        <v>1</v>
      </c>
    </row>
    <row r="40" spans="1:29" ht="15">
      <c r="A40" s="470"/>
      <c r="B40" s="420" t="s">
        <v>2576</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39"/>
      <c r="Q40" s="1808" t="str">
        <f t="shared" si="11"/>
        <v>房型</v>
      </c>
      <c r="R40" s="772" t="s">
        <v>21</v>
      </c>
      <c r="S40" s="773">
        <f t="shared" si="12"/>
        <v>100</v>
      </c>
      <c r="T40" s="772" t="s">
        <v>21</v>
      </c>
      <c r="U40" s="773">
        <f t="shared" si="13"/>
        <v>100</v>
      </c>
      <c r="V40" s="772" t="s">
        <v>21</v>
      </c>
      <c r="W40" s="773">
        <f t="shared" si="14"/>
        <v>100</v>
      </c>
      <c r="X40" s="1811"/>
      <c r="Y40" s="3201"/>
      <c r="Z40" s="1812" t="str">
        <f t="shared" si="18"/>
        <v>房型</v>
      </c>
      <c r="AA40" s="1809">
        <f t="shared" si="15"/>
        <v>1</v>
      </c>
      <c r="AB40" s="1809">
        <f t="shared" si="16"/>
        <v>1</v>
      </c>
      <c r="AC40" s="1809">
        <f t="shared" si="17"/>
        <v>1</v>
      </c>
    </row>
    <row r="41" spans="1:29" s="469" customFormat="1" ht="28.5">
      <c r="A41" s="466"/>
      <c r="B41" s="420" t="s">
        <v>2577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39"/>
      <c r="Q41" s="774" t="str">
        <f t="shared" si="11"/>
        <v>单套/主力户型建筑面积</v>
      </c>
      <c r="R41" s="775" t="s">
        <v>21</v>
      </c>
      <c r="S41" s="776">
        <f t="shared" si="12"/>
        <v>100</v>
      </c>
      <c r="T41" s="775" t="s">
        <v>21</v>
      </c>
      <c r="U41" s="776">
        <f t="shared" si="13"/>
        <v>100</v>
      </c>
      <c r="V41" s="775" t="s">
        <v>21</v>
      </c>
      <c r="W41" s="776">
        <f t="shared" si="14"/>
        <v>100</v>
      </c>
      <c r="X41" s="777"/>
      <c r="Y41" s="3201"/>
      <c r="Z41" s="778" t="str">
        <f t="shared" si="18"/>
        <v>单套/主力户型建筑面积</v>
      </c>
      <c r="AA41" s="1809">
        <f t="shared" si="15"/>
        <v>1</v>
      </c>
      <c r="AB41" s="1809">
        <f t="shared" si="16"/>
        <v>1</v>
      </c>
      <c r="AC41" s="1809">
        <f t="shared" si="17"/>
        <v>1</v>
      </c>
    </row>
    <row r="42" spans="1:29" ht="15">
      <c r="A42" s="470"/>
      <c r="B42" s="420" t="s">
        <v>2578</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39"/>
      <c r="Q42" s="1808" t="str">
        <f t="shared" si="11"/>
        <v>内部装修</v>
      </c>
      <c r="R42" s="772" t="s">
        <v>21</v>
      </c>
      <c r="S42" s="773">
        <f t="shared" si="12"/>
        <v>100</v>
      </c>
      <c r="T42" s="772" t="s">
        <v>21</v>
      </c>
      <c r="U42" s="773">
        <f t="shared" si="13"/>
        <v>100</v>
      </c>
      <c r="V42" s="772" t="s">
        <v>21</v>
      </c>
      <c r="W42" s="773">
        <f t="shared" si="14"/>
        <v>100</v>
      </c>
      <c r="X42" s="1811"/>
      <c r="Y42" s="3201"/>
      <c r="Z42" s="1812" t="str">
        <f t="shared" si="18"/>
        <v>内部装修</v>
      </c>
      <c r="AA42" s="1809">
        <f t="shared" si="15"/>
        <v>1</v>
      </c>
      <c r="AB42" s="1809">
        <f t="shared" si="16"/>
        <v>1</v>
      </c>
      <c r="AC42" s="1809">
        <f t="shared" si="17"/>
        <v>1</v>
      </c>
    </row>
    <row r="43" spans="1:29" ht="15">
      <c r="A43" s="470"/>
      <c r="B43" s="420" t="s">
        <v>2579</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39"/>
      <c r="Q43" s="1808" t="str">
        <f t="shared" si="11"/>
        <v>内部装修维护情况</v>
      </c>
      <c r="R43" s="772" t="s">
        <v>21</v>
      </c>
      <c r="S43" s="773">
        <f t="shared" si="12"/>
        <v>100</v>
      </c>
      <c r="T43" s="772" t="s">
        <v>21</v>
      </c>
      <c r="U43" s="773">
        <f t="shared" si="13"/>
        <v>100</v>
      </c>
      <c r="V43" s="772" t="s">
        <v>21</v>
      </c>
      <c r="W43" s="773">
        <f t="shared" si="14"/>
        <v>100</v>
      </c>
      <c r="X43" s="1811"/>
      <c r="Y43" s="3201"/>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39"/>
      <c r="Q44" s="1793">
        <f t="shared" si="11"/>
        <v>111</v>
      </c>
      <c r="R44" s="768" t="s">
        <v>21</v>
      </c>
      <c r="S44" s="769">
        <f t="shared" si="12"/>
        <v>100</v>
      </c>
      <c r="T44" s="768" t="s">
        <v>21</v>
      </c>
      <c r="U44" s="769">
        <f t="shared" si="13"/>
        <v>100</v>
      </c>
      <c r="V44" s="768" t="s">
        <v>21</v>
      </c>
      <c r="W44" s="769">
        <f t="shared" si="14"/>
        <v>100</v>
      </c>
      <c r="X44" s="770"/>
      <c r="Y44" s="3201"/>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39"/>
      <c r="Q45" s="1808">
        <f t="shared" si="11"/>
        <v>111</v>
      </c>
      <c r="R45" s="772" t="s">
        <v>21</v>
      </c>
      <c r="S45" s="773">
        <f t="shared" si="12"/>
        <v>100</v>
      </c>
      <c r="T45" s="772" t="s">
        <v>21</v>
      </c>
      <c r="U45" s="773">
        <f t="shared" si="13"/>
        <v>100</v>
      </c>
      <c r="V45" s="772" t="s">
        <v>21</v>
      </c>
      <c r="W45" s="773">
        <f t="shared" si="14"/>
        <v>100</v>
      </c>
      <c r="X45" s="1811"/>
      <c r="Y45" s="3201"/>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40"/>
      <c r="Q46" s="1808">
        <f t="shared" si="11"/>
        <v>111</v>
      </c>
      <c r="R46" s="772" t="s">
        <v>20</v>
      </c>
      <c r="S46" s="773">
        <f t="shared" si="12"/>
        <v>100</v>
      </c>
      <c r="T46" s="772" t="s">
        <v>20</v>
      </c>
      <c r="U46" s="773">
        <f t="shared" si="13"/>
        <v>100</v>
      </c>
      <c r="V46" s="772" t="s">
        <v>20</v>
      </c>
      <c r="W46" s="773">
        <f t="shared" si="14"/>
        <v>100</v>
      </c>
      <c r="X46" s="1811"/>
      <c r="Y46" s="3241"/>
      <c r="Z46" s="1812">
        <f t="shared" si="18"/>
        <v>111</v>
      </c>
      <c r="AA46" s="1809">
        <f t="shared" si="15"/>
        <v>1</v>
      </c>
      <c r="AB46" s="1809">
        <f t="shared" si="16"/>
        <v>1</v>
      </c>
      <c r="AC46" s="1809">
        <f t="shared" si="17"/>
        <v>1</v>
      </c>
    </row>
    <row r="47" spans="1:29" ht="15">
      <c r="A47" s="477" t="s">
        <v>2580</v>
      </c>
      <c r="B47" s="478"/>
      <c r="C47" s="1406" t="s">
        <v>19</v>
      </c>
      <c r="D47" s="1407"/>
      <c r="E47" s="1408"/>
      <c r="F47" s="1409"/>
      <c r="G47" s="1410"/>
      <c r="H47" s="1411"/>
      <c r="I47" s="1408"/>
      <c r="J47" s="1411"/>
      <c r="K47" s="2619"/>
      <c r="L47" s="1143"/>
      <c r="M47" s="1144"/>
      <c r="N47" s="1131"/>
      <c r="O47" s="1144"/>
      <c r="P47" s="3183" t="str">
        <f>A47</f>
        <v>成交单价（元/平方米）</v>
      </c>
      <c r="Q47" s="3183"/>
      <c r="R47" s="3237">
        <f>E47</f>
        <v>0</v>
      </c>
      <c r="S47" s="3237"/>
      <c r="T47" s="3237">
        <f>G47</f>
        <v>0</v>
      </c>
      <c r="U47" s="3237"/>
      <c r="V47" s="3237">
        <f>I47</f>
        <v>0</v>
      </c>
      <c r="W47" s="3237"/>
      <c r="X47" s="757"/>
      <c r="Y47" s="779"/>
      <c r="Z47" s="757"/>
      <c r="AA47" s="757"/>
      <c r="AB47" s="757"/>
      <c r="AC47" s="757"/>
    </row>
    <row r="48" spans="1:29" ht="15.75" thickBot="1">
      <c r="A48" s="484" t="s">
        <v>2581</v>
      </c>
      <c r="B48" s="485"/>
      <c r="C48" s="1412" t="e">
        <f>R49</f>
        <v>#DIV/0!</v>
      </c>
      <c r="D48" s="1413"/>
      <c r="E48" s="1414" t="e">
        <f>R48</f>
        <v>#DIV/0!</v>
      </c>
      <c r="F48" s="1414"/>
      <c r="G48" s="1412" t="e">
        <f>T48</f>
        <v>#DIV/0!</v>
      </c>
      <c r="H48" s="1413"/>
      <c r="I48" s="1414" t="e">
        <f>V48</f>
        <v>#DIV/0!</v>
      </c>
      <c r="J48" s="1413"/>
      <c r="K48" s="2620"/>
      <c r="L48" s="1143"/>
      <c r="M48" s="1144"/>
      <c r="N48" s="1144"/>
      <c r="O48" s="1144"/>
      <c r="P48" s="3183" t="str">
        <f>A48</f>
        <v>比较价值（元/平方米）</v>
      </c>
      <c r="Q48" s="318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7"/>
      <c r="Y48" s="757"/>
      <c r="Z48" s="757"/>
      <c r="AA48" s="757"/>
      <c r="AB48" s="757"/>
      <c r="AC48" s="757"/>
    </row>
    <row r="49" spans="1:29" ht="15.75" thickBot="1">
      <c r="A49" s="490" t="s">
        <v>2582</v>
      </c>
      <c r="B49" s="491"/>
      <c r="C49" s="1415" t="e">
        <f>R49</f>
        <v>#DIV/0!</v>
      </c>
      <c r="D49" s="1416"/>
      <c r="E49" s="1416"/>
      <c r="F49" s="1416"/>
      <c r="G49" s="1416"/>
      <c r="H49" s="1416"/>
      <c r="I49" s="1416"/>
      <c r="J49" s="1416"/>
      <c r="K49" s="2621"/>
      <c r="L49" s="1143"/>
      <c r="M49" s="1144"/>
      <c r="N49" s="1144"/>
      <c r="O49" s="1144"/>
      <c r="P49" s="3203" t="str">
        <f>A49</f>
        <v>估价对象XX用房的比较价值（楼面单价，元/平方米）</v>
      </c>
      <c r="Q49" s="3204"/>
      <c r="R49" s="3236" t="e">
        <f>IF(F1="售价",ROUND(AVERAGE(R48:V48),0),ROUND(AVERAGE(R48:V48),1))</f>
        <v>#DIV/0!</v>
      </c>
      <c r="S49" s="3236"/>
      <c r="T49" s="3236"/>
      <c r="U49" s="3236"/>
      <c r="V49" s="3236"/>
      <c r="W49" s="323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2"/>
    </row>
    <row r="58" spans="1:29" s="506" customFormat="1" ht="15">
      <c r="A58" s="503" t="s">
        <v>2587</v>
      </c>
      <c r="B58" s="504"/>
      <c r="C58" s="1574" t="str">
        <f>YEAR(C7)&amp;"-"&amp;MONTH(C7)</f>
        <v>2018-7</v>
      </c>
      <c r="D58" s="1573">
        <f>EDATE(C58,-1)</f>
        <v>43252</v>
      </c>
      <c r="E58" s="1573">
        <f>EDATE(D58,-1)</f>
        <v>43221</v>
      </c>
      <c r="F58" s="1573">
        <f t="shared" ref="F58:O58" si="19">EDATE(E58,-1)</f>
        <v>43191</v>
      </c>
      <c r="G58" s="1573">
        <f t="shared" si="19"/>
        <v>43160</v>
      </c>
      <c r="H58" s="1573">
        <f t="shared" si="19"/>
        <v>43132</v>
      </c>
      <c r="I58" s="1573">
        <f t="shared" si="19"/>
        <v>43101</v>
      </c>
      <c r="J58" s="1573">
        <f t="shared" si="19"/>
        <v>43070</v>
      </c>
      <c r="K58" s="1573">
        <f t="shared" si="19"/>
        <v>43040</v>
      </c>
      <c r="L58" s="1573">
        <f t="shared" si="19"/>
        <v>43009</v>
      </c>
      <c r="M58" s="1573">
        <f t="shared" si="19"/>
        <v>42979</v>
      </c>
      <c r="N58" s="1573">
        <f t="shared" si="19"/>
        <v>42948</v>
      </c>
      <c r="O58" s="1573">
        <f t="shared" si="19"/>
        <v>42917</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2589</v>
      </c>
      <c r="B61" s="508"/>
      <c r="C61" s="520" t="s">
        <v>2590</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2561</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2102</v>
      </c>
      <c r="C82" s="537" t="s">
        <v>2607</v>
      </c>
      <c r="D82" s="537" t="s">
        <v>2608</v>
      </c>
      <c r="E82" s="537" t="s">
        <v>2609</v>
      </c>
      <c r="F82" s="537" t="s">
        <v>2610</v>
      </c>
      <c r="G82" s="537" t="s">
        <v>2611</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2614</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2566</v>
      </c>
      <c r="B100" s="526" t="s">
        <v>2615</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2616</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2618</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2619</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2620</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2621</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2622</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2577</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4" t="s">
        <v>2628</v>
      </c>
      <c r="D138" s="144" t="s">
        <v>2629</v>
      </c>
      <c r="E138" s="2643" t="s">
        <v>2630</v>
      </c>
      <c r="F138" s="2644" t="s">
        <v>2631</v>
      </c>
      <c r="G138" s="144" t="s">
        <v>2629</v>
      </c>
      <c r="H138" s="145" t="s">
        <v>2630</v>
      </c>
      <c r="I138" s="2645"/>
      <c r="J138" s="144" t="s">
        <v>2632</v>
      </c>
      <c r="K138" s="145"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3">
        <f>ROUNDUP((J139-1)/2,0)</f>
        <v>10</v>
      </c>
      <c r="K140" s="1095">
        <v>100</v>
      </c>
    </row>
    <row r="141" spans="1:17" ht="15">
      <c r="B141" s="1090">
        <v>4</v>
      </c>
      <c r="C141" s="1091">
        <v>102</v>
      </c>
      <c r="D141" s="1091"/>
      <c r="E141" s="1092"/>
      <c r="F141" s="1093">
        <v>101.5</v>
      </c>
      <c r="G141" s="1091"/>
      <c r="H141" s="1094"/>
      <c r="I141" s="2648" t="s">
        <v>2637</v>
      </c>
      <c r="J141" s="313">
        <v>1</v>
      </c>
      <c r="K141" s="1096">
        <f>ROUND(100+(J141-J140)*K139*100,1)</f>
        <v>96.4</v>
      </c>
    </row>
    <row r="142" spans="1:17" ht="15">
      <c r="B142" s="1090">
        <v>3</v>
      </c>
      <c r="C142" s="1091">
        <v>103</v>
      </c>
      <c r="D142" s="1091"/>
      <c r="E142" s="1092"/>
      <c r="F142" s="1093">
        <v>101</v>
      </c>
      <c r="G142" s="1091"/>
      <c r="H142" s="1094"/>
      <c r="I142" s="2648" t="s">
        <v>2638</v>
      </c>
      <c r="J142" s="313">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2645</v>
      </c>
      <c r="C1" s="1632" t="s">
        <v>2533</v>
      </c>
      <c r="D1" s="1619"/>
      <c r="E1" s="2655"/>
      <c r="F1" s="2582"/>
      <c r="G1" s="1629" t="s">
        <v>2646</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2333</v>
      </c>
      <c r="B2" s="1417" t="e">
        <f ca="1">IF(C2="——",ROUND(C49*D3/10000,0),ROUND(C49*D3/10000,0)-D2)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2335</v>
      </c>
      <c r="B3" s="607" t="e">
        <f ca="1">IF(C2="——",C49,ROUND(B2*10000/D3,0))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2648</v>
      </c>
      <c r="B4" s="400"/>
      <c r="C4" s="3184" t="s">
        <v>2649</v>
      </c>
      <c r="D4" s="3185"/>
      <c r="E4" s="3186" t="s">
        <v>2650</v>
      </c>
      <c r="F4" s="3187"/>
      <c r="G4" s="3184" t="s">
        <v>2651</v>
      </c>
      <c r="H4" s="3185"/>
      <c r="I4" s="3184" t="s">
        <v>2652</v>
      </c>
      <c r="J4" s="3185"/>
      <c r="K4" s="608" t="s">
        <v>2653</v>
      </c>
      <c r="L4" s="1130"/>
      <c r="M4" s="1131"/>
      <c r="N4" s="1131"/>
      <c r="O4" s="1131"/>
      <c r="P4" s="3188" t="s">
        <v>2654</v>
      </c>
      <c r="Q4" s="3189"/>
      <c r="R4" s="3171" t="s">
        <v>2650</v>
      </c>
      <c r="S4" s="3172"/>
      <c r="T4" s="3171" t="s">
        <v>2651</v>
      </c>
      <c r="U4" s="3172"/>
      <c r="V4" s="3196" t="s">
        <v>2652</v>
      </c>
      <c r="W4" s="3196"/>
      <c r="X4" s="1811"/>
      <c r="Y4" s="3171" t="s">
        <v>2654</v>
      </c>
      <c r="Z4" s="3172"/>
      <c r="AA4" s="3166" t="s">
        <v>2650</v>
      </c>
      <c r="AB4" s="3196" t="s">
        <v>2651</v>
      </c>
      <c r="AC4" s="3166" t="s">
        <v>2652</v>
      </c>
    </row>
    <row r="5" spans="1:29" ht="15">
      <c r="A5" s="402"/>
      <c r="B5" s="403"/>
      <c r="C5" s="3177" t="s">
        <v>2545</v>
      </c>
      <c r="D5" s="3178"/>
      <c r="E5" s="3175" t="s">
        <v>2546</v>
      </c>
      <c r="F5" s="3176"/>
      <c r="G5" s="3177" t="s">
        <v>2547</v>
      </c>
      <c r="H5" s="3178"/>
      <c r="I5" s="3177" t="s">
        <v>2548</v>
      </c>
      <c r="J5" s="3178"/>
      <c r="K5" s="608"/>
      <c r="L5" s="1130"/>
      <c r="M5" s="1131"/>
      <c r="N5" s="1131"/>
      <c r="O5" s="1131"/>
      <c r="P5" s="3190"/>
      <c r="Q5" s="3191"/>
      <c r="R5" s="3173"/>
      <c r="S5" s="3174"/>
      <c r="T5" s="3173"/>
      <c r="U5" s="3174"/>
      <c r="V5" s="3196"/>
      <c r="W5" s="3196"/>
      <c r="X5" s="1811"/>
      <c r="Y5" s="3173"/>
      <c r="Z5" s="3174"/>
      <c r="AA5" s="3167"/>
      <c r="AB5" s="3196"/>
      <c r="AC5" s="3167"/>
    </row>
    <row r="6" spans="1:29" ht="15.75" thickBot="1">
      <c r="A6" s="404"/>
      <c r="B6" s="405"/>
      <c r="C6" s="3179" t="s">
        <v>2549</v>
      </c>
      <c r="D6" s="3180"/>
      <c r="E6" s="3181" t="s">
        <v>2549</v>
      </c>
      <c r="F6" s="3182"/>
      <c r="G6" s="3179" t="s">
        <v>2549</v>
      </c>
      <c r="H6" s="3180"/>
      <c r="I6" s="3179" t="s">
        <v>2549</v>
      </c>
      <c r="J6" s="3180"/>
      <c r="K6" s="608" t="s">
        <v>2550</v>
      </c>
      <c r="L6" s="1130"/>
      <c r="M6" s="1131"/>
      <c r="N6" s="1131"/>
      <c r="O6" s="1131"/>
      <c r="P6" s="3192"/>
      <c r="Q6" s="3193"/>
      <c r="R6" s="3173"/>
      <c r="S6" s="3174"/>
      <c r="T6" s="3194"/>
      <c r="U6" s="3195"/>
      <c r="V6" s="3196"/>
      <c r="W6" s="3196"/>
      <c r="X6" s="1811"/>
      <c r="Y6" s="3194"/>
      <c r="Z6" s="3195"/>
      <c r="AA6" s="3168"/>
      <c r="AB6" s="3196"/>
      <c r="AC6" s="3168"/>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69" t="s">
        <v>2552</v>
      </c>
      <c r="Q7" s="3197"/>
      <c r="R7" s="768" t="s">
        <v>17</v>
      </c>
      <c r="S7" s="769">
        <f t="shared" ref="S7:S15" si="0">F7</f>
        <v>0</v>
      </c>
      <c r="T7" s="768" t="s">
        <v>17</v>
      </c>
      <c r="U7" s="769">
        <f t="shared" ref="U7:U15" si="1">H7</f>
        <v>0</v>
      </c>
      <c r="V7" s="768" t="s">
        <v>17</v>
      </c>
      <c r="W7" s="769">
        <f t="shared" ref="W7:W15" si="2">J7</f>
        <v>0</v>
      </c>
      <c r="X7" s="770"/>
      <c r="Y7" s="3169" t="s">
        <v>2552</v>
      </c>
      <c r="Z7" s="3170"/>
      <c r="AA7" s="771" t="e">
        <f>D7/F7</f>
        <v>#DIV/0!</v>
      </c>
      <c r="AB7" s="771" t="e">
        <f>D7/H7</f>
        <v>#DIV/0!</v>
      </c>
      <c r="AC7" s="771" t="e">
        <f>D7/J7</f>
        <v>#DIV/0!</v>
      </c>
    </row>
    <row r="8" spans="1:29" s="115" customFormat="1" ht="15.75" thickBot="1">
      <c r="A8" s="406" t="s">
        <v>2553</v>
      </c>
      <c r="B8" s="407"/>
      <c r="C8" s="412" t="s">
        <v>2655</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69" t="s">
        <v>2555</v>
      </c>
      <c r="Q8" s="3170"/>
      <c r="R8" s="768" t="s">
        <v>17</v>
      </c>
      <c r="S8" s="769">
        <f t="shared" si="0"/>
        <v>0</v>
      </c>
      <c r="T8" s="768" t="s">
        <v>17</v>
      </c>
      <c r="U8" s="769">
        <f t="shared" si="1"/>
        <v>0</v>
      </c>
      <c r="V8" s="768" t="s">
        <v>17</v>
      </c>
      <c r="W8" s="769">
        <f t="shared" si="2"/>
        <v>0</v>
      </c>
      <c r="X8" s="770"/>
      <c r="Y8" s="3169" t="s">
        <v>2555</v>
      </c>
      <c r="Z8" s="3170"/>
      <c r="AA8" s="771" t="e">
        <f t="shared" ref="AA8:AA46" si="3">D8/F8</f>
        <v>#DIV/0!</v>
      </c>
      <c r="AB8" s="771" t="e">
        <f t="shared" ref="AB8:AB46" si="4">D8/H8</f>
        <v>#DIV/0!</v>
      </c>
      <c r="AC8" s="771" t="e">
        <f t="shared" ref="AC8:AC46" si="5">D8/J8</f>
        <v>#DIV/0!</v>
      </c>
    </row>
    <row r="9" spans="1:29" s="115" customFormat="1">
      <c r="A9" s="413" t="s">
        <v>2556</v>
      </c>
      <c r="B9" s="71" t="s">
        <v>2557</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07" t="s">
        <v>2558</v>
      </c>
      <c r="Q9" s="1793" t="str">
        <f t="shared" ref="Q9:Q15" si="6">B9</f>
        <v>用途</v>
      </c>
      <c r="R9" s="768" t="s">
        <v>17</v>
      </c>
      <c r="S9" s="769">
        <f t="shared" si="0"/>
        <v>100</v>
      </c>
      <c r="T9" s="768" t="s">
        <v>17</v>
      </c>
      <c r="U9" s="769">
        <f t="shared" si="1"/>
        <v>100</v>
      </c>
      <c r="V9" s="768" t="s">
        <v>17</v>
      </c>
      <c r="W9" s="769">
        <f t="shared" si="2"/>
        <v>100</v>
      </c>
      <c r="X9" s="770"/>
      <c r="Y9" s="3043"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07"/>
      <c r="Q10" s="1793"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07"/>
      <c r="Q11" s="1793"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07"/>
      <c r="Q12" s="1793">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07"/>
      <c r="Q13" s="1793">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07"/>
      <c r="Q14" s="1793">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71.25">
      <c r="A15" s="438" t="s">
        <v>2562</v>
      </c>
      <c r="B15" s="69" t="s">
        <v>2656</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42" t="s">
        <v>2563</v>
      </c>
      <c r="Q15" s="1808" t="str">
        <f t="shared" si="6"/>
        <v>商业繁华度</v>
      </c>
      <c r="R15" s="772" t="s">
        <v>17</v>
      </c>
      <c r="S15" s="773">
        <f t="shared" si="0"/>
        <v>100</v>
      </c>
      <c r="T15" s="772" t="s">
        <v>17</v>
      </c>
      <c r="U15" s="773">
        <f t="shared" si="1"/>
        <v>100</v>
      </c>
      <c r="V15" s="772" t="s">
        <v>17</v>
      </c>
      <c r="W15" s="773">
        <f t="shared" si="2"/>
        <v>100</v>
      </c>
      <c r="X15" s="1811"/>
      <c r="Y15" s="3198" t="s">
        <v>2563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43"/>
      <c r="Q16" s="1808"/>
      <c r="R16" s="772"/>
      <c r="S16" s="773"/>
      <c r="T16" s="772"/>
      <c r="U16" s="773"/>
      <c r="V16" s="772"/>
      <c r="W16" s="773"/>
      <c r="X16" s="1811"/>
      <c r="Y16" s="3199"/>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43"/>
      <c r="Q17" s="1808" t="str">
        <f>B17</f>
        <v>交通便捷度</v>
      </c>
      <c r="R17" s="772" t="s">
        <v>17</v>
      </c>
      <c r="S17" s="773">
        <f>F17</f>
        <v>100</v>
      </c>
      <c r="T17" s="772" t="s">
        <v>17</v>
      </c>
      <c r="U17" s="773">
        <f>H17</f>
        <v>100</v>
      </c>
      <c r="V17" s="772" t="s">
        <v>17</v>
      </c>
      <c r="W17" s="773">
        <f>J17</f>
        <v>100</v>
      </c>
      <c r="X17" s="1811"/>
      <c r="Y17" s="3199"/>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43"/>
      <c r="Q18" s="1808"/>
      <c r="R18" s="772"/>
      <c r="S18" s="773"/>
      <c r="T18" s="772"/>
      <c r="U18" s="773"/>
      <c r="V18" s="772"/>
      <c r="W18" s="773"/>
      <c r="X18" s="1811"/>
      <c r="Y18" s="3199"/>
      <c r="Z18" s="1812"/>
      <c r="AA18" s="1809">
        <v>1</v>
      </c>
      <c r="AB18" s="1809">
        <v>1</v>
      </c>
      <c r="AC18" s="1809">
        <v>1</v>
      </c>
    </row>
    <row r="19" spans="1:29" ht="42.75">
      <c r="A19" s="426"/>
      <c r="B19" s="449" t="s">
        <v>2657</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43"/>
      <c r="Q19" s="1808" t="str">
        <f>B19</f>
        <v>公共配套设施</v>
      </c>
      <c r="R19" s="772" t="s">
        <v>17</v>
      </c>
      <c r="S19" s="773">
        <f>F19</f>
        <v>100</v>
      </c>
      <c r="T19" s="772" t="s">
        <v>17</v>
      </c>
      <c r="U19" s="773">
        <f>H19</f>
        <v>100</v>
      </c>
      <c r="V19" s="772" t="s">
        <v>17</v>
      </c>
      <c r="W19" s="773">
        <f>J19</f>
        <v>100</v>
      </c>
      <c r="X19" s="1811"/>
      <c r="Y19" s="3199"/>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43"/>
      <c r="Q20" s="1808"/>
      <c r="R20" s="772"/>
      <c r="S20" s="773"/>
      <c r="T20" s="772"/>
      <c r="U20" s="773"/>
      <c r="V20" s="772"/>
      <c r="W20" s="773"/>
      <c r="X20" s="1811"/>
      <c r="Y20" s="3199"/>
      <c r="Z20" s="1812"/>
      <c r="AA20" s="1809">
        <v>1</v>
      </c>
      <c r="AB20" s="1809">
        <v>1</v>
      </c>
      <c r="AC20" s="1809">
        <v>1</v>
      </c>
    </row>
    <row r="21" spans="1:29" ht="28.5">
      <c r="A21" s="426"/>
      <c r="B21" s="1383" t="s">
        <v>2658</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43"/>
      <c r="Q21" s="1808" t="str">
        <f>B21</f>
        <v>基础设施水平</v>
      </c>
      <c r="R21" s="772" t="s">
        <v>17</v>
      </c>
      <c r="S21" s="773">
        <f>F21</f>
        <v>100</v>
      </c>
      <c r="T21" s="772" t="s">
        <v>17</v>
      </c>
      <c r="U21" s="773">
        <f>H21</f>
        <v>100</v>
      </c>
      <c r="V21" s="772" t="s">
        <v>17</v>
      </c>
      <c r="W21" s="773">
        <f>J21</f>
        <v>100</v>
      </c>
      <c r="X21" s="1811"/>
      <c r="Y21" s="3199"/>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43"/>
      <c r="Q22" s="1808"/>
      <c r="R22" s="772"/>
      <c r="S22" s="773"/>
      <c r="T22" s="772"/>
      <c r="U22" s="773"/>
      <c r="V22" s="772"/>
      <c r="W22" s="773"/>
      <c r="X22" s="1811"/>
      <c r="Y22" s="3199"/>
      <c r="Z22" s="1812"/>
      <c r="AA22" s="1809">
        <v>1</v>
      </c>
      <c r="AB22" s="1809">
        <v>1</v>
      </c>
      <c r="AC22" s="1809">
        <v>1</v>
      </c>
    </row>
    <row r="23" spans="1:29" ht="57">
      <c r="A23" s="426"/>
      <c r="B23" s="449" t="s">
        <v>2106</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43"/>
      <c r="Q23" s="1808" t="str">
        <f>B23</f>
        <v>自然及人文环境</v>
      </c>
      <c r="R23" s="772" t="s">
        <v>17</v>
      </c>
      <c r="S23" s="773">
        <f>F23</f>
        <v>100</v>
      </c>
      <c r="T23" s="772" t="s">
        <v>17</v>
      </c>
      <c r="U23" s="773">
        <f>H23</f>
        <v>100</v>
      </c>
      <c r="V23" s="772" t="s">
        <v>17</v>
      </c>
      <c r="W23" s="773">
        <f>J23</f>
        <v>100</v>
      </c>
      <c r="X23" s="1811"/>
      <c r="Y23" s="3199"/>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43"/>
      <c r="Q24" s="1808"/>
      <c r="R24" s="772"/>
      <c r="S24" s="773"/>
      <c r="T24" s="772"/>
      <c r="U24" s="773"/>
      <c r="V24" s="772"/>
      <c r="W24" s="773"/>
      <c r="X24" s="1811"/>
      <c r="Y24" s="3199"/>
      <c r="Z24" s="1812"/>
      <c r="AA24" s="1809">
        <v>1</v>
      </c>
      <c r="AB24" s="1809">
        <v>1</v>
      </c>
      <c r="AC24" s="1809">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43"/>
      <c r="Q25" s="1808" t="str">
        <f t="shared" ref="Q25:Q46" si="11">B25</f>
        <v>临街状况</v>
      </c>
      <c r="R25" s="772" t="s">
        <v>17</v>
      </c>
      <c r="S25" s="773">
        <f>F25</f>
        <v>100</v>
      </c>
      <c r="T25" s="772" t="s">
        <v>17</v>
      </c>
      <c r="U25" s="773">
        <f>H25</f>
        <v>100</v>
      </c>
      <c r="V25" s="772" t="s">
        <v>17</v>
      </c>
      <c r="W25" s="773">
        <f>J25</f>
        <v>100</v>
      </c>
      <c r="X25" s="1811"/>
      <c r="Y25" s="3199"/>
      <c r="Z25" s="1812" t="str">
        <f>Q25</f>
        <v>临街状况</v>
      </c>
      <c r="AA25" s="1809">
        <f t="shared" si="3"/>
        <v>1</v>
      </c>
      <c r="AB25" s="1809">
        <f t="shared" si="4"/>
        <v>1</v>
      </c>
      <c r="AC25" s="1809">
        <f t="shared" si="5"/>
        <v>1</v>
      </c>
    </row>
    <row r="26" spans="1:29" ht="15">
      <c r="A26" s="426"/>
      <c r="B26" s="1385" t="s">
        <v>2660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43"/>
      <c r="Q26" s="1808" t="str">
        <f t="shared" si="11"/>
        <v>平面位置/可视性</v>
      </c>
      <c r="R26" s="772" t="s">
        <v>17</v>
      </c>
      <c r="S26" s="773">
        <f>F26</f>
        <v>100</v>
      </c>
      <c r="T26" s="772" t="s">
        <v>17</v>
      </c>
      <c r="U26" s="773">
        <f>H26</f>
        <v>100</v>
      </c>
      <c r="V26" s="772" t="s">
        <v>17</v>
      </c>
      <c r="W26" s="773">
        <f>J26</f>
        <v>100</v>
      </c>
      <c r="X26" s="1811"/>
      <c r="Y26" s="3199"/>
      <c r="Z26" s="1812" t="str">
        <f>Q26</f>
        <v>平面位置/可视性</v>
      </c>
      <c r="AA26" s="1809">
        <f t="shared" si="3"/>
        <v>1</v>
      </c>
      <c r="AB26" s="1809">
        <f t="shared" si="4"/>
        <v>1</v>
      </c>
      <c r="AC26" s="1809">
        <f t="shared" si="5"/>
        <v>1</v>
      </c>
    </row>
    <row r="27" spans="1:29" s="115" customFormat="1" ht="15">
      <c r="A27" s="429"/>
      <c r="B27" s="449" t="s">
        <v>2661</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43"/>
      <c r="Q27" s="1793" t="str">
        <f t="shared" si="11"/>
        <v>人流量</v>
      </c>
      <c r="R27" s="768" t="s">
        <v>17</v>
      </c>
      <c r="S27" s="769">
        <f>F27</f>
        <v>100</v>
      </c>
      <c r="T27" s="768" t="s">
        <v>17</v>
      </c>
      <c r="U27" s="769">
        <f>H27</f>
        <v>100</v>
      </c>
      <c r="V27" s="768" t="s">
        <v>17</v>
      </c>
      <c r="W27" s="769">
        <f>J27</f>
        <v>100</v>
      </c>
      <c r="X27" s="770"/>
      <c r="Y27" s="3199"/>
      <c r="Z27" s="55" t="str">
        <f>Q27</f>
        <v>人流量</v>
      </c>
      <c r="AA27" s="1809">
        <f>D27/F27</f>
        <v>1</v>
      </c>
      <c r="AB27" s="1809">
        <f>D27/H27</f>
        <v>1</v>
      </c>
      <c r="AC27" s="1809">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43"/>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99"/>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43"/>
      <c r="Q29" s="1808">
        <f t="shared" si="11"/>
        <v>111</v>
      </c>
      <c r="R29" s="772" t="s">
        <v>17</v>
      </c>
      <c r="S29" s="773">
        <f t="shared" si="12"/>
        <v>100</v>
      </c>
      <c r="T29" s="772" t="s">
        <v>17</v>
      </c>
      <c r="U29" s="773">
        <f t="shared" si="13"/>
        <v>100</v>
      </c>
      <c r="V29" s="772" t="s">
        <v>17</v>
      </c>
      <c r="W29" s="773">
        <f t="shared" si="14"/>
        <v>100</v>
      </c>
      <c r="X29" s="1811"/>
      <c r="Y29" s="3199"/>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43"/>
      <c r="Q30" s="1808">
        <f t="shared" si="11"/>
        <v>111</v>
      </c>
      <c r="R30" s="772" t="s">
        <v>17</v>
      </c>
      <c r="S30" s="773">
        <f t="shared" si="12"/>
        <v>100</v>
      </c>
      <c r="T30" s="772" t="s">
        <v>17</v>
      </c>
      <c r="U30" s="773">
        <f t="shared" si="13"/>
        <v>100</v>
      </c>
      <c r="V30" s="772" t="s">
        <v>17</v>
      </c>
      <c r="W30" s="773">
        <f t="shared" si="14"/>
        <v>100</v>
      </c>
      <c r="X30" s="1811"/>
      <c r="Y30" s="3199"/>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43"/>
      <c r="Q31" s="1808">
        <f t="shared" si="11"/>
        <v>111</v>
      </c>
      <c r="R31" s="772" t="s">
        <v>17</v>
      </c>
      <c r="S31" s="773">
        <f t="shared" si="12"/>
        <v>100</v>
      </c>
      <c r="T31" s="772" t="s">
        <v>17</v>
      </c>
      <c r="U31" s="773">
        <f t="shared" si="13"/>
        <v>100</v>
      </c>
      <c r="V31" s="772" t="s">
        <v>17</v>
      </c>
      <c r="W31" s="773">
        <f t="shared" si="14"/>
        <v>100</v>
      </c>
      <c r="X31" s="1811"/>
      <c r="Y31" s="3199"/>
      <c r="Z31" s="1812">
        <f t="shared" si="15"/>
        <v>111</v>
      </c>
      <c r="AA31" s="1809">
        <f t="shared" si="3"/>
        <v>1</v>
      </c>
      <c r="AB31" s="1809">
        <f t="shared" si="4"/>
        <v>1</v>
      </c>
      <c r="AC31" s="1809">
        <f t="shared" si="5"/>
        <v>1</v>
      </c>
    </row>
    <row r="32" spans="1:29" ht="15">
      <c r="A32" s="438" t="s">
        <v>2566</v>
      </c>
      <c r="B32" s="71" t="s">
        <v>2663</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8" t="s">
        <v>2568</v>
      </c>
      <c r="Q32" s="1808" t="str">
        <f t="shared" si="11"/>
        <v>商业类型</v>
      </c>
      <c r="R32" s="772" t="s">
        <v>17</v>
      </c>
      <c r="S32" s="773">
        <f t="shared" si="12"/>
        <v>100</v>
      </c>
      <c r="T32" s="772" t="s">
        <v>17</v>
      </c>
      <c r="U32" s="773">
        <f t="shared" si="13"/>
        <v>100</v>
      </c>
      <c r="V32" s="772" t="s">
        <v>17</v>
      </c>
      <c r="W32" s="773">
        <f t="shared" si="14"/>
        <v>100</v>
      </c>
      <c r="X32" s="1811"/>
      <c r="Y32" s="3201" t="s">
        <v>2568</v>
      </c>
      <c r="Z32" s="1812" t="str">
        <f t="shared" si="15"/>
        <v>商业类型</v>
      </c>
      <c r="AA32" s="1809">
        <f t="shared" si="3"/>
        <v>1</v>
      </c>
      <c r="AB32" s="1809">
        <f t="shared" si="4"/>
        <v>1</v>
      </c>
      <c r="AC32" s="1809">
        <f t="shared" si="5"/>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39"/>
      <c r="Q33" s="774" t="str">
        <f t="shared" si="11"/>
        <v>项目建筑规模</v>
      </c>
      <c r="R33" s="775" t="s">
        <v>17</v>
      </c>
      <c r="S33" s="776" t="e">
        <f t="shared" si="12"/>
        <v>#N/A</v>
      </c>
      <c r="T33" s="775" t="s">
        <v>17</v>
      </c>
      <c r="U33" s="776" t="e">
        <f t="shared" si="13"/>
        <v>#N/A</v>
      </c>
      <c r="V33" s="775" t="s">
        <v>17</v>
      </c>
      <c r="W33" s="776" t="e">
        <f t="shared" si="14"/>
        <v>#N/A</v>
      </c>
      <c r="X33" s="777"/>
      <c r="Y33" s="3201"/>
      <c r="Z33" s="778" t="str">
        <f t="shared" si="15"/>
        <v>项目建筑规模</v>
      </c>
      <c r="AA33" s="1809" t="e">
        <f t="shared" si="3"/>
        <v>#N/A</v>
      </c>
      <c r="AB33" s="1809" t="e">
        <f t="shared" si="4"/>
        <v>#N/A</v>
      </c>
      <c r="AC33" s="1809" t="e">
        <f t="shared" si="5"/>
        <v>#N/A</v>
      </c>
    </row>
    <row r="34" spans="1:29" ht="15">
      <c r="A34" s="470"/>
      <c r="B34" s="420" t="s">
        <v>2570</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39"/>
      <c r="Q34" s="1808" t="str">
        <f t="shared" si="11"/>
        <v>建筑结构</v>
      </c>
      <c r="R34" s="772" t="s">
        <v>17</v>
      </c>
      <c r="S34" s="773">
        <f t="shared" si="12"/>
        <v>100</v>
      </c>
      <c r="T34" s="772" t="s">
        <v>17</v>
      </c>
      <c r="U34" s="773">
        <f t="shared" si="13"/>
        <v>100</v>
      </c>
      <c r="V34" s="772" t="s">
        <v>17</v>
      </c>
      <c r="W34" s="773">
        <f t="shared" si="14"/>
        <v>100</v>
      </c>
      <c r="X34" s="1811"/>
      <c r="Y34" s="3201"/>
      <c r="Z34" s="1812" t="str">
        <f t="shared" si="15"/>
        <v>建筑结构</v>
      </c>
      <c r="AA34" s="1809">
        <f t="shared" si="3"/>
        <v>1</v>
      </c>
      <c r="AB34" s="1809">
        <f t="shared" si="4"/>
        <v>1</v>
      </c>
      <c r="AC34" s="1809">
        <f t="shared" si="5"/>
        <v>1</v>
      </c>
    </row>
    <row r="35" spans="1:29" ht="15">
      <c r="A35" s="470"/>
      <c r="B35" s="420" t="s">
        <v>2664</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39"/>
      <c r="Q35" s="1808" t="str">
        <f t="shared" si="11"/>
        <v>公共部分装修</v>
      </c>
      <c r="R35" s="772" t="s">
        <v>17</v>
      </c>
      <c r="S35" s="773">
        <f t="shared" si="12"/>
        <v>100</v>
      </c>
      <c r="T35" s="772" t="s">
        <v>17</v>
      </c>
      <c r="U35" s="773">
        <f t="shared" si="13"/>
        <v>100</v>
      </c>
      <c r="V35" s="772" t="s">
        <v>17</v>
      </c>
      <c r="W35" s="773">
        <f t="shared" si="14"/>
        <v>100</v>
      </c>
      <c r="X35" s="1811"/>
      <c r="Y35" s="3201"/>
      <c r="Z35" s="1812" t="str">
        <f t="shared" si="15"/>
        <v>公共部分装修</v>
      </c>
      <c r="AA35" s="1809">
        <f t="shared" si="3"/>
        <v>1</v>
      </c>
      <c r="AB35" s="1809">
        <f t="shared" si="4"/>
        <v>1</v>
      </c>
      <c r="AC35" s="1809">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39"/>
      <c r="Q36" s="1808" t="str">
        <f t="shared" si="11"/>
        <v>成新度</v>
      </c>
      <c r="R36" s="772" t="s">
        <v>17</v>
      </c>
      <c r="S36" s="773" t="e">
        <f t="shared" si="12"/>
        <v>#N/A</v>
      </c>
      <c r="T36" s="772" t="s">
        <v>17</v>
      </c>
      <c r="U36" s="773" t="e">
        <f t="shared" si="13"/>
        <v>#N/A</v>
      </c>
      <c r="V36" s="772" t="s">
        <v>17</v>
      </c>
      <c r="W36" s="773" t="e">
        <f t="shared" si="14"/>
        <v>#N/A</v>
      </c>
      <c r="X36" s="1811"/>
      <c r="Y36" s="3201"/>
      <c r="Z36" s="1812" t="str">
        <f t="shared" si="15"/>
        <v>成新度</v>
      </c>
      <c r="AA36" s="1809" t="e">
        <f t="shared" si="3"/>
        <v>#N/A</v>
      </c>
      <c r="AB36" s="1809" t="e">
        <f t="shared" si="4"/>
        <v>#N/A</v>
      </c>
      <c r="AC36" s="1809" t="e">
        <f t="shared" si="5"/>
        <v>#N/A</v>
      </c>
    </row>
    <row r="37" spans="1:29" s="115" customFormat="1" ht="15">
      <c r="A37" s="471"/>
      <c r="B37" s="420" t="s">
        <v>2666</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39"/>
      <c r="Q37" s="1793" t="str">
        <f t="shared" si="11"/>
        <v>市政基础设施</v>
      </c>
      <c r="R37" s="768" t="s">
        <v>17</v>
      </c>
      <c r="S37" s="769">
        <f t="shared" si="12"/>
        <v>100</v>
      </c>
      <c r="T37" s="768" t="s">
        <v>17</v>
      </c>
      <c r="U37" s="769">
        <f t="shared" si="13"/>
        <v>100</v>
      </c>
      <c r="V37" s="768" t="s">
        <v>17</v>
      </c>
      <c r="W37" s="769">
        <f t="shared" si="14"/>
        <v>100</v>
      </c>
      <c r="X37" s="770"/>
      <c r="Y37" s="3201"/>
      <c r="Z37" s="55" t="str">
        <f t="shared" si="15"/>
        <v>市政基础设施</v>
      </c>
      <c r="AA37" s="771">
        <f t="shared" si="3"/>
        <v>1</v>
      </c>
      <c r="AB37" s="771">
        <f t="shared" si="4"/>
        <v>1</v>
      </c>
      <c r="AC37" s="771">
        <f t="shared" si="5"/>
        <v>1</v>
      </c>
    </row>
    <row r="38" spans="1:29" ht="15">
      <c r="A38" s="470"/>
      <c r="B38" s="420" t="s">
        <v>2667</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39" t="s">
        <v>2568</v>
      </c>
      <c r="Q38" s="1808" t="str">
        <f t="shared" si="11"/>
        <v>业态</v>
      </c>
      <c r="R38" s="772" t="s">
        <v>17</v>
      </c>
      <c r="S38" s="773">
        <f t="shared" si="12"/>
        <v>100</v>
      </c>
      <c r="T38" s="772" t="s">
        <v>17</v>
      </c>
      <c r="U38" s="773">
        <f t="shared" si="13"/>
        <v>100</v>
      </c>
      <c r="V38" s="772" t="s">
        <v>17</v>
      </c>
      <c r="W38" s="773">
        <f t="shared" si="14"/>
        <v>100</v>
      </c>
      <c r="X38" s="1811"/>
      <c r="Y38" s="3201" t="s">
        <v>2568</v>
      </c>
      <c r="Z38" s="1812" t="str">
        <f t="shared" si="15"/>
        <v>业态</v>
      </c>
      <c r="AA38" s="1809">
        <f t="shared" si="3"/>
        <v>1</v>
      </c>
      <c r="AB38" s="1809">
        <f t="shared" si="4"/>
        <v>1</v>
      </c>
      <c r="AC38" s="1809">
        <f t="shared" si="5"/>
        <v>1</v>
      </c>
    </row>
    <row r="39" spans="1:29" ht="15">
      <c r="A39" s="470"/>
      <c r="B39" s="420" t="s">
        <v>2668</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39"/>
      <c r="Q39" s="1808" t="str">
        <f t="shared" si="11"/>
        <v>层高</v>
      </c>
      <c r="R39" s="772" t="s">
        <v>17</v>
      </c>
      <c r="S39" s="773">
        <f t="shared" si="12"/>
        <v>100</v>
      </c>
      <c r="T39" s="772" t="s">
        <v>17</v>
      </c>
      <c r="U39" s="773">
        <f t="shared" si="13"/>
        <v>100</v>
      </c>
      <c r="V39" s="772" t="s">
        <v>17</v>
      </c>
      <c r="W39" s="773">
        <f t="shared" si="14"/>
        <v>100</v>
      </c>
      <c r="X39" s="1811"/>
      <c r="Y39" s="3201"/>
      <c r="Z39" s="1812" t="str">
        <f t="shared" si="15"/>
        <v>层高</v>
      </c>
      <c r="AA39" s="1809">
        <f t="shared" si="3"/>
        <v>1</v>
      </c>
      <c r="AB39" s="1809">
        <f t="shared" si="4"/>
        <v>1</v>
      </c>
      <c r="AC39" s="1809">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39"/>
      <c r="Q40" s="1808" t="str">
        <f t="shared" si="11"/>
        <v>单套建筑面积</v>
      </c>
      <c r="R40" s="772" t="s">
        <v>17</v>
      </c>
      <c r="S40" s="773">
        <f t="shared" si="12"/>
        <v>100</v>
      </c>
      <c r="T40" s="772" t="s">
        <v>17</v>
      </c>
      <c r="U40" s="773">
        <f t="shared" si="13"/>
        <v>100</v>
      </c>
      <c r="V40" s="772" t="s">
        <v>17</v>
      </c>
      <c r="W40" s="773">
        <f t="shared" si="14"/>
        <v>100</v>
      </c>
      <c r="X40" s="1811"/>
      <c r="Y40" s="3201"/>
      <c r="Z40" s="1812" t="str">
        <f t="shared" si="15"/>
        <v>单套建筑面积</v>
      </c>
      <c r="AA40" s="1809">
        <f t="shared" si="3"/>
        <v>1</v>
      </c>
      <c r="AB40" s="1809">
        <f t="shared" si="4"/>
        <v>1</v>
      </c>
      <c r="AC40" s="1809">
        <f t="shared" si="5"/>
        <v>1</v>
      </c>
    </row>
    <row r="41" spans="1:29" s="469" customFormat="1" ht="15">
      <c r="A41" s="466"/>
      <c r="B41" s="1810"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39"/>
      <c r="Q41" s="774" t="str">
        <f t="shared" si="11"/>
        <v>进深比</v>
      </c>
      <c r="R41" s="775" t="s">
        <v>17</v>
      </c>
      <c r="S41" s="776">
        <f t="shared" si="12"/>
        <v>100</v>
      </c>
      <c r="T41" s="775" t="s">
        <v>17</v>
      </c>
      <c r="U41" s="776">
        <f t="shared" si="13"/>
        <v>100</v>
      </c>
      <c r="V41" s="775" t="s">
        <v>17</v>
      </c>
      <c r="W41" s="776">
        <f t="shared" si="14"/>
        <v>100</v>
      </c>
      <c r="X41" s="777"/>
      <c r="Y41" s="3201"/>
      <c r="Z41" s="778" t="str">
        <f t="shared" si="15"/>
        <v>进深比</v>
      </c>
      <c r="AA41" s="1809">
        <f t="shared" si="3"/>
        <v>1</v>
      </c>
      <c r="AB41" s="1809">
        <f t="shared" si="4"/>
        <v>1</v>
      </c>
      <c r="AC41" s="1809">
        <f t="shared" si="5"/>
        <v>1</v>
      </c>
    </row>
    <row r="42" spans="1:29" ht="15">
      <c r="A42" s="470"/>
      <c r="B42" s="420" t="s">
        <v>2671</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39"/>
      <c r="Q42" s="1808" t="str">
        <f t="shared" si="11"/>
        <v>内部装修</v>
      </c>
      <c r="R42" s="772" t="s">
        <v>17</v>
      </c>
      <c r="S42" s="773">
        <f t="shared" si="12"/>
        <v>100</v>
      </c>
      <c r="T42" s="772" t="s">
        <v>17</v>
      </c>
      <c r="U42" s="773">
        <f t="shared" si="13"/>
        <v>100</v>
      </c>
      <c r="V42" s="772" t="s">
        <v>17</v>
      </c>
      <c r="W42" s="773">
        <f t="shared" si="14"/>
        <v>100</v>
      </c>
      <c r="X42" s="1811"/>
      <c r="Y42" s="3201"/>
      <c r="Z42" s="1812" t="str">
        <f t="shared" si="15"/>
        <v>内部装修</v>
      </c>
      <c r="AA42" s="1809">
        <f t="shared" si="3"/>
        <v>1</v>
      </c>
      <c r="AB42" s="1809">
        <f t="shared" si="4"/>
        <v>1</v>
      </c>
      <c r="AC42" s="1809">
        <f t="shared" si="5"/>
        <v>1</v>
      </c>
    </row>
    <row r="43" spans="1:29" ht="15">
      <c r="A43" s="470"/>
      <c r="B43" s="420" t="s">
        <v>2579</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39"/>
      <c r="Q43" s="1808" t="str">
        <f t="shared" si="11"/>
        <v>内部装修维护情况</v>
      </c>
      <c r="R43" s="772" t="s">
        <v>17</v>
      </c>
      <c r="S43" s="773">
        <f t="shared" si="12"/>
        <v>100</v>
      </c>
      <c r="T43" s="772" t="s">
        <v>17</v>
      </c>
      <c r="U43" s="773">
        <f t="shared" si="13"/>
        <v>100</v>
      </c>
      <c r="V43" s="772" t="s">
        <v>17</v>
      </c>
      <c r="W43" s="773">
        <f t="shared" si="14"/>
        <v>100</v>
      </c>
      <c r="X43" s="1811"/>
      <c r="Y43" s="3201"/>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39"/>
      <c r="Q44" s="1793">
        <f t="shared" si="11"/>
        <v>111</v>
      </c>
      <c r="R44" s="768" t="s">
        <v>17</v>
      </c>
      <c r="S44" s="769">
        <f t="shared" si="12"/>
        <v>100</v>
      </c>
      <c r="T44" s="768" t="s">
        <v>17</v>
      </c>
      <c r="U44" s="769">
        <f t="shared" si="13"/>
        <v>100</v>
      </c>
      <c r="V44" s="768" t="s">
        <v>17</v>
      </c>
      <c r="W44" s="769">
        <f t="shared" si="14"/>
        <v>100</v>
      </c>
      <c r="X44" s="770"/>
      <c r="Y44" s="3201"/>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39"/>
      <c r="Q45" s="1808">
        <f t="shared" si="11"/>
        <v>111</v>
      </c>
      <c r="R45" s="772" t="s">
        <v>17</v>
      </c>
      <c r="S45" s="773">
        <f t="shared" si="12"/>
        <v>100</v>
      </c>
      <c r="T45" s="772" t="s">
        <v>17</v>
      </c>
      <c r="U45" s="773">
        <f t="shared" si="13"/>
        <v>100</v>
      </c>
      <c r="V45" s="772" t="s">
        <v>17</v>
      </c>
      <c r="W45" s="773">
        <f t="shared" si="14"/>
        <v>100</v>
      </c>
      <c r="X45" s="1811"/>
      <c r="Y45" s="3201"/>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40"/>
      <c r="Q46" s="1808">
        <f t="shared" si="11"/>
        <v>111</v>
      </c>
      <c r="R46" s="772" t="s">
        <v>17</v>
      </c>
      <c r="S46" s="773">
        <f t="shared" si="12"/>
        <v>100</v>
      </c>
      <c r="T46" s="772" t="s">
        <v>17</v>
      </c>
      <c r="U46" s="773">
        <f t="shared" si="13"/>
        <v>100</v>
      </c>
      <c r="V46" s="772" t="s">
        <v>17</v>
      </c>
      <c r="W46" s="773">
        <f t="shared" si="14"/>
        <v>100</v>
      </c>
      <c r="X46" s="1811"/>
      <c r="Y46" s="3241"/>
      <c r="Z46" s="1812">
        <f t="shared" si="15"/>
        <v>111</v>
      </c>
      <c r="AA46" s="1809">
        <f t="shared" si="3"/>
        <v>1</v>
      </c>
      <c r="AB46" s="1809">
        <f t="shared" si="4"/>
        <v>1</v>
      </c>
      <c r="AC46" s="1809">
        <f t="shared" si="5"/>
        <v>1</v>
      </c>
    </row>
    <row r="47" spans="1:29" ht="15">
      <c r="A47" s="477" t="s">
        <v>2580</v>
      </c>
      <c r="B47" s="478"/>
      <c r="C47" s="1406" t="s">
        <v>1</v>
      </c>
      <c r="D47" s="1407"/>
      <c r="E47" s="1408"/>
      <c r="F47" s="1409"/>
      <c r="G47" s="1410"/>
      <c r="H47" s="1411"/>
      <c r="I47" s="1408"/>
      <c r="J47" s="1411"/>
      <c r="K47" s="781"/>
      <c r="L47" s="1143"/>
      <c r="M47" s="1144"/>
      <c r="N47" s="1131"/>
      <c r="O47" s="1144"/>
      <c r="P47" s="3183" t="str">
        <f>A47</f>
        <v>成交单价（元/平方米）</v>
      </c>
      <c r="Q47" s="3183"/>
      <c r="R47" s="3196">
        <f>E47</f>
        <v>0</v>
      </c>
      <c r="S47" s="3196"/>
      <c r="T47" s="3196">
        <f>G47</f>
        <v>0</v>
      </c>
      <c r="U47" s="3196"/>
      <c r="V47" s="3196">
        <f>I47</f>
        <v>0</v>
      </c>
      <c r="W47" s="3196"/>
      <c r="X47" s="757"/>
      <c r="Y47" s="779"/>
      <c r="Z47" s="757"/>
      <c r="AA47" s="757"/>
      <c r="AB47" s="757"/>
      <c r="AC47" s="757"/>
    </row>
    <row r="48" spans="1:29" ht="15.75" thickBot="1">
      <c r="A48" s="484" t="s">
        <v>2672</v>
      </c>
      <c r="B48" s="485"/>
      <c r="C48" s="1412" t="e">
        <f>R49</f>
        <v>#DIV/0!</v>
      </c>
      <c r="D48" s="1413"/>
      <c r="E48" s="1414" t="e">
        <f>R48</f>
        <v>#DIV/0!</v>
      </c>
      <c r="F48" s="1414"/>
      <c r="G48" s="1412" t="e">
        <f>T48</f>
        <v>#DIV/0!</v>
      </c>
      <c r="H48" s="1413"/>
      <c r="I48" s="1414" t="e">
        <f>V48</f>
        <v>#DIV/0!</v>
      </c>
      <c r="J48" s="1413"/>
      <c r="K48" s="782"/>
      <c r="L48" s="1143"/>
      <c r="M48" s="1144"/>
      <c r="N48" s="1131"/>
      <c r="O48" s="1144"/>
      <c r="P48" s="3183" t="str">
        <f>A48</f>
        <v>比较价值（元/平方米）</v>
      </c>
      <c r="Q48" s="318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7"/>
      <c r="Y48" s="757"/>
      <c r="Z48" s="757"/>
      <c r="AA48" s="757"/>
      <c r="AB48" s="757"/>
      <c r="AC48" s="757"/>
    </row>
    <row r="49" spans="1:29" ht="15.75" thickBot="1">
      <c r="A49" s="490" t="s">
        <v>2673</v>
      </c>
      <c r="B49" s="491"/>
      <c r="C49" s="1416" t="e">
        <f>R49</f>
        <v>#DIV/0!</v>
      </c>
      <c r="D49" s="1416"/>
      <c r="E49" s="1416"/>
      <c r="F49" s="1416"/>
      <c r="G49" s="1416"/>
      <c r="H49" s="1416"/>
      <c r="I49" s="1416"/>
      <c r="J49" s="1416"/>
      <c r="K49" s="783"/>
      <c r="L49" s="1143"/>
      <c r="M49" s="1144"/>
      <c r="N49" s="1131"/>
      <c r="O49" s="1144"/>
      <c r="P49" s="3203" t="str">
        <f>A49</f>
        <v>估价对象XX用房的比较价值（楼面单价，元/平方米）</v>
      </c>
      <c r="Q49" s="3204"/>
      <c r="R49" s="3236" t="e">
        <f>IF(F1="售价",ROUND(AVERAGE(R48:V48),0),ROUND(AVERAGE(R48:V48),1))</f>
        <v>#DIV/0!</v>
      </c>
      <c r="S49" s="3236"/>
      <c r="T49" s="3236"/>
      <c r="U49" s="3236"/>
      <c r="V49" s="3236"/>
      <c r="W49" s="323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2551</v>
      </c>
      <c r="B58" s="504"/>
      <c r="C58" s="1572" t="str">
        <f>YEAR(C7)&amp;"-"&amp;MONTH(C7)</f>
        <v>2018-7</v>
      </c>
      <c r="D58" s="1573">
        <f>EDATE(C58,-1)</f>
        <v>43252</v>
      </c>
      <c r="E58" s="1573">
        <f t="shared" ref="E58:N58" si="16">EDATE(D58,-1)</f>
        <v>43221</v>
      </c>
      <c r="F58" s="1573">
        <f t="shared" si="16"/>
        <v>43191</v>
      </c>
      <c r="G58" s="1573">
        <f t="shared" si="16"/>
        <v>43160</v>
      </c>
      <c r="H58" s="1573">
        <f t="shared" si="16"/>
        <v>43132</v>
      </c>
      <c r="I58" s="1573">
        <f t="shared" si="16"/>
        <v>43101</v>
      </c>
      <c r="J58" s="1573">
        <f t="shared" si="16"/>
        <v>43070</v>
      </c>
      <c r="K58" s="1573">
        <f t="shared" si="16"/>
        <v>43040</v>
      </c>
      <c r="L58" s="1573">
        <f t="shared" si="16"/>
        <v>43009</v>
      </c>
      <c r="M58" s="1573">
        <f t="shared" si="16"/>
        <v>42979</v>
      </c>
      <c r="N58" s="1573">
        <f t="shared" si="16"/>
        <v>42948</v>
      </c>
      <c r="O58" s="1573">
        <f>EDATE(N58,-1)</f>
        <v>42917</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2553</v>
      </c>
      <c r="B61" s="508"/>
      <c r="C61" s="520" t="s">
        <v>2655</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2658</v>
      </c>
      <c r="C82" s="658" t="s">
        <v>2678</v>
      </c>
      <c r="D82" s="658" t="s">
        <v>2679</v>
      </c>
      <c r="E82" s="658" t="s">
        <v>2680</v>
      </c>
      <c r="F82" s="658" t="s">
        <v>2681</v>
      </c>
      <c r="G82" s="658" t="s">
        <v>2682</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2566</v>
      </c>
      <c r="B100" s="526" t="s">
        <v>2684</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2619</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2621</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2685</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2686</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2687</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2688</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2689</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IF(C2="——",ROUND(C50*D3/10000,0),ROUND(C50*D3/10000,0)-D2)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IF(C2="——",C50,ROUND(B2*10000/D3,0))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2648</v>
      </c>
      <c r="B4" s="400"/>
      <c r="C4" s="3184" t="s">
        <v>2649</v>
      </c>
      <c r="D4" s="3185"/>
      <c r="E4" s="3186" t="s">
        <v>2650</v>
      </c>
      <c r="F4" s="3187"/>
      <c r="G4" s="3184" t="s">
        <v>2651</v>
      </c>
      <c r="H4" s="3185"/>
      <c r="I4" s="3184" t="s">
        <v>2652</v>
      </c>
      <c r="J4" s="3185"/>
      <c r="K4" s="608" t="s">
        <v>2653</v>
      </c>
      <c r="L4" s="1130"/>
      <c r="M4" s="1131"/>
      <c r="N4" s="1131"/>
      <c r="O4" s="1131"/>
      <c r="P4" s="3250" t="s">
        <v>2654</v>
      </c>
      <c r="Q4" s="3251"/>
      <c r="R4" s="3245" t="s">
        <v>2650</v>
      </c>
      <c r="S4" s="3246"/>
      <c r="T4" s="3245" t="s">
        <v>2651</v>
      </c>
      <c r="U4" s="3246"/>
      <c r="V4" s="3254" t="s">
        <v>2652</v>
      </c>
      <c r="W4" s="3254"/>
      <c r="X4" s="2668"/>
      <c r="Y4" s="3245" t="s">
        <v>2654</v>
      </c>
      <c r="Z4" s="3246"/>
      <c r="AA4" s="3244" t="s">
        <v>2650</v>
      </c>
      <c r="AB4" s="3244" t="s">
        <v>2651</v>
      </c>
      <c r="AC4" s="3247" t="s">
        <v>2652</v>
      </c>
    </row>
    <row r="5" spans="1:29" ht="15">
      <c r="A5" s="402"/>
      <c r="B5" s="403"/>
      <c r="C5" s="3177" t="s">
        <v>2545</v>
      </c>
      <c r="D5" s="3178"/>
      <c r="E5" s="3175" t="s">
        <v>2546</v>
      </c>
      <c r="F5" s="3176"/>
      <c r="G5" s="3177" t="s">
        <v>2547</v>
      </c>
      <c r="H5" s="3178"/>
      <c r="I5" s="3177" t="s">
        <v>2548</v>
      </c>
      <c r="J5" s="3178"/>
      <c r="K5" s="608"/>
      <c r="L5" s="1130"/>
      <c r="M5" s="1131"/>
      <c r="N5" s="1131"/>
      <c r="O5" s="1131"/>
      <c r="P5" s="3252"/>
      <c r="Q5" s="3191"/>
      <c r="R5" s="3173"/>
      <c r="S5" s="3174"/>
      <c r="T5" s="3173"/>
      <c r="U5" s="3174"/>
      <c r="V5" s="3196"/>
      <c r="W5" s="3196"/>
      <c r="X5" s="1811"/>
      <c r="Y5" s="3173"/>
      <c r="Z5" s="3174"/>
      <c r="AA5" s="3167"/>
      <c r="AB5" s="3167"/>
      <c r="AC5" s="3248"/>
    </row>
    <row r="6" spans="1:29" ht="15.75" thickBot="1">
      <c r="A6" s="404"/>
      <c r="B6" s="405"/>
      <c r="C6" s="3179" t="s">
        <v>2549</v>
      </c>
      <c r="D6" s="3180"/>
      <c r="E6" s="3181" t="s">
        <v>2549</v>
      </c>
      <c r="F6" s="3182"/>
      <c r="G6" s="3179" t="s">
        <v>2549</v>
      </c>
      <c r="H6" s="3180"/>
      <c r="I6" s="3179" t="s">
        <v>2549</v>
      </c>
      <c r="J6" s="3180"/>
      <c r="K6" s="608" t="s">
        <v>2550</v>
      </c>
      <c r="L6" s="1130"/>
      <c r="M6" s="1131"/>
      <c r="N6" s="1131"/>
      <c r="O6" s="1131"/>
      <c r="P6" s="3253"/>
      <c r="Q6" s="3193"/>
      <c r="R6" s="3173"/>
      <c r="S6" s="3174"/>
      <c r="T6" s="3194"/>
      <c r="U6" s="3195"/>
      <c r="V6" s="3196"/>
      <c r="W6" s="3196"/>
      <c r="X6" s="1811"/>
      <c r="Y6" s="3194"/>
      <c r="Z6" s="3195"/>
      <c r="AA6" s="3168"/>
      <c r="AB6" s="3168"/>
      <c r="AC6" s="3249"/>
    </row>
    <row r="7" spans="1:29" s="115" customFormat="1" ht="15.75" thickBot="1">
      <c r="A7" s="406" t="s">
        <v>2551</v>
      </c>
      <c r="B7" s="407"/>
      <c r="C7" s="408">
        <f>'数据-取费表'!B2</f>
        <v>43294</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55" t="s">
        <v>2552</v>
      </c>
      <c r="Q7" s="3197"/>
      <c r="R7" s="768" t="s">
        <v>17</v>
      </c>
      <c r="S7" s="769">
        <f t="shared" ref="S7:S15" si="0">F7</f>
        <v>0</v>
      </c>
      <c r="T7" s="768" t="s">
        <v>17</v>
      </c>
      <c r="U7" s="769">
        <f t="shared" ref="U7:U15" si="1">H7</f>
        <v>0</v>
      </c>
      <c r="V7" s="768" t="s">
        <v>17</v>
      </c>
      <c r="W7" s="769">
        <f t="shared" ref="W7:W15" si="2">J7</f>
        <v>0</v>
      </c>
      <c r="X7" s="770"/>
      <c r="Y7" s="3169" t="s">
        <v>2552</v>
      </c>
      <c r="Z7" s="3170"/>
      <c r="AA7" s="771" t="e">
        <f>D7/F7</f>
        <v>#DIV/0!</v>
      </c>
      <c r="AB7" s="771" t="e">
        <f>D7/H7</f>
        <v>#DIV/0!</v>
      </c>
      <c r="AC7" s="2669" t="e">
        <f>D7/J7</f>
        <v>#DIV/0!</v>
      </c>
    </row>
    <row r="8" spans="1:29" s="115" customFormat="1" ht="15.75" thickBot="1">
      <c r="A8" s="406" t="s">
        <v>2553</v>
      </c>
      <c r="B8" s="407"/>
      <c r="C8" s="412" t="s">
        <v>2655</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55" t="s">
        <v>2555</v>
      </c>
      <c r="Q8" s="3170"/>
      <c r="R8" s="768" t="s">
        <v>17</v>
      </c>
      <c r="S8" s="769">
        <f t="shared" si="0"/>
        <v>0</v>
      </c>
      <c r="T8" s="768" t="s">
        <v>17</v>
      </c>
      <c r="U8" s="769">
        <f t="shared" si="1"/>
        <v>0</v>
      </c>
      <c r="V8" s="768" t="s">
        <v>17</v>
      </c>
      <c r="W8" s="769">
        <f t="shared" si="2"/>
        <v>0</v>
      </c>
      <c r="X8" s="770"/>
      <c r="Y8" s="3169" t="s">
        <v>2555</v>
      </c>
      <c r="Z8" s="3170"/>
      <c r="AA8" s="771" t="e">
        <f t="shared" ref="AA8:AA47" si="3">D8/F8</f>
        <v>#DIV/0!</v>
      </c>
      <c r="AB8" s="771" t="e">
        <f t="shared" ref="AB8:AB47" si="4">D8/H8</f>
        <v>#DIV/0!</v>
      </c>
      <c r="AC8" s="2669" t="e">
        <f t="shared" ref="AC8:AC47" si="5">D8/J8</f>
        <v>#DIV/0!</v>
      </c>
    </row>
    <row r="9" spans="1:29" s="115" customFormat="1">
      <c r="A9" s="413" t="s">
        <v>2556</v>
      </c>
      <c r="B9" s="71" t="s">
        <v>2557</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07" t="s">
        <v>2558</v>
      </c>
      <c r="Q9" s="1793" t="str">
        <f t="shared" ref="Q9:Q15" si="6">B9</f>
        <v>用途</v>
      </c>
      <c r="R9" s="768" t="s">
        <v>17</v>
      </c>
      <c r="S9" s="769">
        <f t="shared" si="0"/>
        <v>100</v>
      </c>
      <c r="T9" s="768" t="s">
        <v>17</v>
      </c>
      <c r="U9" s="769">
        <f t="shared" si="1"/>
        <v>100</v>
      </c>
      <c r="V9" s="768" t="s">
        <v>17</v>
      </c>
      <c r="W9" s="769">
        <f t="shared" si="2"/>
        <v>100</v>
      </c>
      <c r="X9" s="770"/>
      <c r="Y9" s="3043" t="s">
        <v>2559</v>
      </c>
      <c r="Z9" s="55" t="str">
        <f t="shared" ref="Z9:Z15" si="7">Q9</f>
        <v>用途</v>
      </c>
      <c r="AA9" s="771">
        <f t="shared" si="3"/>
        <v>1</v>
      </c>
      <c r="AB9" s="771">
        <f t="shared" si="4"/>
        <v>1</v>
      </c>
      <c r="AC9" s="2669">
        <f t="shared" si="5"/>
        <v>1</v>
      </c>
    </row>
    <row r="10" spans="1:29" s="425" customFormat="1" ht="27">
      <c r="A10" s="419"/>
      <c r="B10" s="420" t="s">
        <v>2560</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07"/>
      <c r="Q10" s="1793"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2669">
        <f t="shared" si="5"/>
        <v>1</v>
      </c>
    </row>
    <row r="11" spans="1:29" ht="15">
      <c r="A11" s="426"/>
      <c r="B11" s="420" t="s">
        <v>2561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07"/>
      <c r="Q11" s="1793"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207"/>
      <c r="Q12" s="1793">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207"/>
      <c r="Q13" s="1793">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207"/>
      <c r="Q14" s="1793">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2669">
        <f t="shared" si="5"/>
        <v>1</v>
      </c>
    </row>
    <row r="15" spans="1:29" ht="71.25">
      <c r="A15" s="438" t="s">
        <v>2562</v>
      </c>
      <c r="B15" s="627" t="s">
        <v>2690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42" t="s">
        <v>2563</v>
      </c>
      <c r="Q15" s="1808" t="str">
        <f t="shared" si="6"/>
        <v>办公集聚程度</v>
      </c>
      <c r="R15" s="772" t="s">
        <v>17</v>
      </c>
      <c r="S15" s="773">
        <f t="shared" si="0"/>
        <v>100</v>
      </c>
      <c r="T15" s="772" t="s">
        <v>17</v>
      </c>
      <c r="U15" s="773">
        <f t="shared" si="1"/>
        <v>100</v>
      </c>
      <c r="V15" s="772" t="s">
        <v>17</v>
      </c>
      <c r="W15" s="773">
        <f t="shared" si="2"/>
        <v>100</v>
      </c>
      <c r="X15" s="1811"/>
      <c r="Y15" s="3198" t="s">
        <v>2563</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40"/>
      <c r="M16" s="1131"/>
      <c r="N16" s="1131"/>
      <c r="O16" s="1131"/>
      <c r="P16" s="3243"/>
      <c r="Q16" s="1808"/>
      <c r="R16" s="772"/>
      <c r="S16" s="773"/>
      <c r="T16" s="772"/>
      <c r="U16" s="773"/>
      <c r="V16" s="772"/>
      <c r="W16" s="773"/>
      <c r="X16" s="1811"/>
      <c r="Y16" s="3199"/>
      <c r="Z16" s="1812"/>
      <c r="AA16" s="1809">
        <v>1</v>
      </c>
      <c r="AB16" s="1809">
        <v>1</v>
      </c>
      <c r="AC16" s="2672">
        <v>1</v>
      </c>
    </row>
    <row r="17" spans="1:29" ht="71.25">
      <c r="A17" s="426"/>
      <c r="B17" s="629" t="s">
        <v>2101</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43"/>
      <c r="Q17" s="1808" t="str">
        <f>B17</f>
        <v>交通便捷度</v>
      </c>
      <c r="R17" s="772" t="s">
        <v>17</v>
      </c>
      <c r="S17" s="773">
        <f>F17</f>
        <v>100</v>
      </c>
      <c r="T17" s="772" t="s">
        <v>17</v>
      </c>
      <c r="U17" s="773">
        <f>H17</f>
        <v>100</v>
      </c>
      <c r="V17" s="772" t="s">
        <v>17</v>
      </c>
      <c r="W17" s="773">
        <f>J17</f>
        <v>100</v>
      </c>
      <c r="X17" s="1811"/>
      <c r="Y17" s="3199"/>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40"/>
      <c r="M18" s="1131"/>
      <c r="N18" s="1131"/>
      <c r="O18" s="1131"/>
      <c r="P18" s="3243"/>
      <c r="Q18" s="1808"/>
      <c r="R18" s="772"/>
      <c r="S18" s="773"/>
      <c r="T18" s="772"/>
      <c r="U18" s="773"/>
      <c r="V18" s="772"/>
      <c r="W18" s="773"/>
      <c r="X18" s="1811"/>
      <c r="Y18" s="3199"/>
      <c r="Z18" s="1812"/>
      <c r="AA18" s="1809">
        <v>1</v>
      </c>
      <c r="AB18" s="1809">
        <v>1</v>
      </c>
      <c r="AC18" s="2672">
        <v>1</v>
      </c>
    </row>
    <row r="19" spans="1:29" ht="42.75">
      <c r="A19" s="426"/>
      <c r="B19" s="629" t="s">
        <v>2691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43"/>
      <c r="Q19" s="1808" t="str">
        <f>B19</f>
        <v>公共配套设施</v>
      </c>
      <c r="R19" s="772" t="s">
        <v>17</v>
      </c>
      <c r="S19" s="773">
        <f>F19</f>
        <v>100</v>
      </c>
      <c r="T19" s="772" t="s">
        <v>17</v>
      </c>
      <c r="U19" s="773">
        <f>H19</f>
        <v>100</v>
      </c>
      <c r="V19" s="772" t="s">
        <v>17</v>
      </c>
      <c r="W19" s="773">
        <f>J19</f>
        <v>100</v>
      </c>
      <c r="X19" s="1811"/>
      <c r="Y19" s="3199"/>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40"/>
      <c r="M20" s="1131"/>
      <c r="N20" s="1131"/>
      <c r="O20" s="1131"/>
      <c r="P20" s="3243"/>
      <c r="Q20" s="1808"/>
      <c r="R20" s="772"/>
      <c r="S20" s="773"/>
      <c r="T20" s="772"/>
      <c r="U20" s="773"/>
      <c r="V20" s="772"/>
      <c r="W20" s="773"/>
      <c r="X20" s="1811"/>
      <c r="Y20" s="3199"/>
      <c r="Z20" s="1812"/>
      <c r="AA20" s="1809">
        <v>1</v>
      </c>
      <c r="AB20" s="1809">
        <v>1</v>
      </c>
      <c r="AC20" s="2672">
        <v>1</v>
      </c>
    </row>
    <row r="21" spans="1:29" ht="28.5">
      <c r="A21" s="426"/>
      <c r="B21" s="631" t="s">
        <v>2692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43"/>
      <c r="Q21" s="1808" t="str">
        <f>B21</f>
        <v>基础设施水平</v>
      </c>
      <c r="R21" s="772" t="s">
        <v>17</v>
      </c>
      <c r="S21" s="773">
        <f>F21</f>
        <v>100</v>
      </c>
      <c r="T21" s="772" t="s">
        <v>17</v>
      </c>
      <c r="U21" s="773">
        <f>H21</f>
        <v>100</v>
      </c>
      <c r="V21" s="772" t="s">
        <v>17</v>
      </c>
      <c r="W21" s="773">
        <f>J21</f>
        <v>100</v>
      </c>
      <c r="X21" s="1811"/>
      <c r="Y21" s="3199"/>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2"/>
      <c r="L22" s="1140"/>
      <c r="M22" s="1131"/>
      <c r="N22" s="1131"/>
      <c r="O22" s="1131"/>
      <c r="P22" s="3243"/>
      <c r="Q22" s="1808"/>
      <c r="R22" s="772"/>
      <c r="S22" s="773"/>
      <c r="T22" s="772"/>
      <c r="U22" s="773"/>
      <c r="V22" s="772"/>
      <c r="W22" s="773"/>
      <c r="X22" s="1811"/>
      <c r="Y22" s="3199"/>
      <c r="Z22" s="1812"/>
      <c r="AA22" s="1809">
        <v>1</v>
      </c>
      <c r="AB22" s="1809">
        <v>1</v>
      </c>
      <c r="AC22" s="2672">
        <v>1</v>
      </c>
    </row>
    <row r="23" spans="1:29" ht="42.75">
      <c r="A23" s="426"/>
      <c r="B23" s="629" t="s">
        <v>2693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43"/>
      <c r="Q23" s="1808" t="str">
        <f>B23</f>
        <v>环境质量</v>
      </c>
      <c r="R23" s="772" t="s">
        <v>17</v>
      </c>
      <c r="S23" s="773">
        <f>F23</f>
        <v>100</v>
      </c>
      <c r="T23" s="772" t="s">
        <v>17</v>
      </c>
      <c r="U23" s="773">
        <f>H23</f>
        <v>100</v>
      </c>
      <c r="V23" s="772" t="s">
        <v>17</v>
      </c>
      <c r="W23" s="773">
        <f>J23</f>
        <v>100</v>
      </c>
      <c r="X23" s="1811"/>
      <c r="Y23" s="3199"/>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40"/>
      <c r="M24" s="1131"/>
      <c r="N24" s="1131"/>
      <c r="O24" s="1131"/>
      <c r="P24" s="3243"/>
      <c r="Q24" s="1808"/>
      <c r="R24" s="772"/>
      <c r="S24" s="773"/>
      <c r="T24" s="772"/>
      <c r="U24" s="773"/>
      <c r="V24" s="772"/>
      <c r="W24" s="773"/>
      <c r="X24" s="1811"/>
      <c r="Y24" s="3199"/>
      <c r="Z24" s="1812"/>
      <c r="AA24" s="1809">
        <v>1</v>
      </c>
      <c r="AB24" s="1809">
        <v>1</v>
      </c>
      <c r="AC24" s="2672">
        <v>1</v>
      </c>
    </row>
    <row r="25" spans="1:29" ht="27">
      <c r="A25" s="402"/>
      <c r="B25" s="629" t="s">
        <v>2694</v>
      </c>
      <c r="C25" s="2613"/>
      <c r="D25" s="433">
        <v>100</v>
      </c>
      <c r="E25" s="432"/>
      <c r="F25" s="433">
        <f>SUMIF(87:87,E26,88:88)-SUMIF(87:87,C26,88:88)+100</f>
        <v>100</v>
      </c>
      <c r="G25" s="2613"/>
      <c r="H25" s="433">
        <f>SUMIF(87:87,G26,88:88)-SUMIF(87:87,C26,88:88)+100</f>
        <v>100</v>
      </c>
      <c r="I25" s="432"/>
      <c r="J25" s="433">
        <f>SUMIF(87:87,I26,88:88)-SUMIF(87:87,C26,88:88)+100</f>
        <v>100</v>
      </c>
      <c r="K25" s="612"/>
      <c r="L25" s="1140"/>
      <c r="M25" s="1131"/>
      <c r="N25" s="1131"/>
      <c r="O25" s="1131"/>
      <c r="P25" s="3243"/>
      <c r="Q25" s="1808" t="str">
        <f>B25</f>
        <v>毗邻道路的类型与等级</v>
      </c>
      <c r="R25" s="772" t="s">
        <v>17</v>
      </c>
      <c r="S25" s="773">
        <f>F25</f>
        <v>100</v>
      </c>
      <c r="T25" s="772" t="s">
        <v>17</v>
      </c>
      <c r="U25" s="773">
        <f>H25</f>
        <v>100</v>
      </c>
      <c r="V25" s="772" t="s">
        <v>17</v>
      </c>
      <c r="W25" s="773">
        <f>J25</f>
        <v>100</v>
      </c>
      <c r="X25" s="1811"/>
      <c r="Y25" s="3199"/>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40"/>
      <c r="M26" s="1131"/>
      <c r="N26" s="1131"/>
      <c r="O26" s="1131"/>
      <c r="P26" s="3243"/>
      <c r="Q26" s="1808"/>
      <c r="R26" s="772"/>
      <c r="S26" s="773"/>
      <c r="T26" s="772"/>
      <c r="U26" s="773"/>
      <c r="V26" s="772"/>
      <c r="W26" s="773"/>
      <c r="X26" s="1811"/>
      <c r="Y26" s="3199"/>
      <c r="Z26" s="1812"/>
      <c r="AA26" s="1809">
        <v>1</v>
      </c>
      <c r="AB26" s="1809">
        <v>1</v>
      </c>
      <c r="AC26" s="2672">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43"/>
      <c r="Q27" s="1808" t="str">
        <f t="shared" ref="Q27:Q47" si="11">B27</f>
        <v>楼层</v>
      </c>
      <c r="R27" s="772" t="s">
        <v>17</v>
      </c>
      <c r="S27" s="773">
        <f>F27</f>
        <v>100</v>
      </c>
      <c r="T27" s="772" t="s">
        <v>17</v>
      </c>
      <c r="U27" s="773">
        <f>H27</f>
        <v>100</v>
      </c>
      <c r="V27" s="772" t="s">
        <v>17</v>
      </c>
      <c r="W27" s="773">
        <f>J27</f>
        <v>100</v>
      </c>
      <c r="X27" s="1811"/>
      <c r="Y27" s="3199"/>
      <c r="Z27" s="1812" t="str">
        <f>Q27</f>
        <v>楼层</v>
      </c>
      <c r="AA27" s="1809">
        <f t="shared" si="3"/>
        <v>1</v>
      </c>
      <c r="AB27" s="1809">
        <f t="shared" si="4"/>
        <v>1</v>
      </c>
      <c r="AC27" s="2672">
        <f t="shared" si="5"/>
        <v>1</v>
      </c>
    </row>
    <row r="28" spans="1:29" s="115" customFormat="1" ht="15">
      <c r="A28" s="429"/>
      <c r="B28" s="629" t="s">
        <v>2695</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43"/>
      <c r="Q28" s="1793" t="str">
        <f t="shared" si="11"/>
        <v>朝向</v>
      </c>
      <c r="R28" s="768" t="s">
        <v>17</v>
      </c>
      <c r="S28" s="769">
        <f>F28</f>
        <v>100</v>
      </c>
      <c r="T28" s="768" t="s">
        <v>17</v>
      </c>
      <c r="U28" s="769">
        <f>H28</f>
        <v>100</v>
      </c>
      <c r="V28" s="768" t="s">
        <v>17</v>
      </c>
      <c r="W28" s="769">
        <f>J28</f>
        <v>100</v>
      </c>
      <c r="X28" s="770"/>
      <c r="Y28" s="3199"/>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43"/>
      <c r="Q29" s="1808">
        <f t="shared" si="11"/>
        <v>111</v>
      </c>
      <c r="R29" s="772" t="s">
        <v>17</v>
      </c>
      <c r="S29" s="773">
        <f t="shared" ref="S29:S47" si="12">F29</f>
        <v>100</v>
      </c>
      <c r="T29" s="772" t="s">
        <v>17</v>
      </c>
      <c r="U29" s="773">
        <f t="shared" ref="U29:U47" si="13">H29</f>
        <v>100</v>
      </c>
      <c r="V29" s="772" t="s">
        <v>17</v>
      </c>
      <c r="W29" s="773">
        <f t="shared" ref="W29:W47" si="14">J29</f>
        <v>100</v>
      </c>
      <c r="X29" s="1811"/>
      <c r="Y29" s="3199"/>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43"/>
      <c r="Q30" s="1808">
        <f t="shared" si="11"/>
        <v>111</v>
      </c>
      <c r="R30" s="772" t="s">
        <v>17</v>
      </c>
      <c r="S30" s="773">
        <f t="shared" si="12"/>
        <v>100</v>
      </c>
      <c r="T30" s="772" t="s">
        <v>17</v>
      </c>
      <c r="U30" s="773">
        <f t="shared" si="13"/>
        <v>100</v>
      </c>
      <c r="V30" s="772" t="s">
        <v>17</v>
      </c>
      <c r="W30" s="773">
        <f t="shared" si="14"/>
        <v>100</v>
      </c>
      <c r="X30" s="1811"/>
      <c r="Y30" s="3199"/>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43"/>
      <c r="Q31" s="1808">
        <f t="shared" si="11"/>
        <v>111</v>
      </c>
      <c r="R31" s="772" t="s">
        <v>17</v>
      </c>
      <c r="S31" s="773">
        <f t="shared" si="12"/>
        <v>100</v>
      </c>
      <c r="T31" s="772" t="s">
        <v>17</v>
      </c>
      <c r="U31" s="773">
        <f t="shared" si="13"/>
        <v>100</v>
      </c>
      <c r="V31" s="772" t="s">
        <v>17</v>
      </c>
      <c r="W31" s="773">
        <f t="shared" si="14"/>
        <v>100</v>
      </c>
      <c r="X31" s="1811"/>
      <c r="Y31" s="3199"/>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43"/>
      <c r="Q32" s="1808">
        <f t="shared" si="11"/>
        <v>111</v>
      </c>
      <c r="R32" s="772" t="s">
        <v>17</v>
      </c>
      <c r="S32" s="773">
        <f t="shared" si="12"/>
        <v>100</v>
      </c>
      <c r="T32" s="772" t="s">
        <v>17</v>
      </c>
      <c r="U32" s="773">
        <f t="shared" si="13"/>
        <v>100</v>
      </c>
      <c r="V32" s="772" t="s">
        <v>17</v>
      </c>
      <c r="W32" s="773">
        <f t="shared" si="14"/>
        <v>100</v>
      </c>
      <c r="X32" s="1811"/>
      <c r="Y32" s="3199"/>
      <c r="Z32" s="1812">
        <f t="shared" si="15"/>
        <v>111</v>
      </c>
      <c r="AA32" s="1809">
        <f t="shared" si="3"/>
        <v>1</v>
      </c>
      <c r="AB32" s="1809">
        <f t="shared" si="4"/>
        <v>1</v>
      </c>
      <c r="AC32" s="2672">
        <f t="shared" si="5"/>
        <v>1</v>
      </c>
    </row>
    <row r="33" spans="1:29" ht="15">
      <c r="A33" s="438" t="s">
        <v>2566</v>
      </c>
      <c r="B33" s="71" t="s">
        <v>2696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0"/>
      <c r="M33" s="1131"/>
      <c r="N33" s="1131"/>
      <c r="O33" s="1131"/>
      <c r="P33" s="3238" t="s">
        <v>2568</v>
      </c>
      <c r="Q33" s="1808" t="str">
        <f t="shared" si="11"/>
        <v>建筑类型</v>
      </c>
      <c r="R33" s="772" t="s">
        <v>17</v>
      </c>
      <c r="S33" s="773">
        <f t="shared" si="12"/>
        <v>100</v>
      </c>
      <c r="T33" s="772" t="s">
        <v>17</v>
      </c>
      <c r="U33" s="773">
        <f t="shared" si="13"/>
        <v>100</v>
      </c>
      <c r="V33" s="772" t="s">
        <v>17</v>
      </c>
      <c r="W33" s="773">
        <f t="shared" si="14"/>
        <v>100</v>
      </c>
      <c r="X33" s="1811"/>
      <c r="Y33" s="3201" t="s">
        <v>2568</v>
      </c>
      <c r="Z33" s="1812" t="str">
        <f t="shared" si="15"/>
        <v>建筑类型</v>
      </c>
      <c r="AA33" s="1809">
        <f t="shared" si="3"/>
        <v>1</v>
      </c>
      <c r="AB33" s="1809">
        <f t="shared" si="4"/>
        <v>1</v>
      </c>
      <c r="AC33" s="2672">
        <f t="shared" si="5"/>
        <v>1</v>
      </c>
    </row>
    <row r="34" spans="1:29" s="469" customFormat="1" ht="15">
      <c r="A34" s="466"/>
      <c r="B34" s="420" t="s">
        <v>2569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39"/>
      <c r="Q34" s="774" t="str">
        <f t="shared" si="11"/>
        <v>项目建筑规模</v>
      </c>
      <c r="R34" s="775" t="s">
        <v>17</v>
      </c>
      <c r="S34" s="776" t="e">
        <f t="shared" si="12"/>
        <v>#N/A</v>
      </c>
      <c r="T34" s="775" t="s">
        <v>17</v>
      </c>
      <c r="U34" s="776" t="e">
        <f t="shared" si="13"/>
        <v>#N/A</v>
      </c>
      <c r="V34" s="775" t="s">
        <v>17</v>
      </c>
      <c r="W34" s="776" t="e">
        <f t="shared" si="14"/>
        <v>#N/A</v>
      </c>
      <c r="X34" s="777"/>
      <c r="Y34" s="3201"/>
      <c r="Z34" s="778" t="str">
        <f t="shared" si="15"/>
        <v>项目建筑规模</v>
      </c>
      <c r="AA34" s="1809" t="e">
        <f t="shared" si="3"/>
        <v>#N/A</v>
      </c>
      <c r="AB34" s="1809" t="e">
        <f t="shared" si="4"/>
        <v>#N/A</v>
      </c>
      <c r="AC34" s="2672"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39"/>
      <c r="Q35" s="1808" t="str">
        <f t="shared" si="11"/>
        <v>建筑结构</v>
      </c>
      <c r="R35" s="772" t="s">
        <v>17</v>
      </c>
      <c r="S35" s="773">
        <f t="shared" si="12"/>
        <v>100</v>
      </c>
      <c r="T35" s="772" t="s">
        <v>17</v>
      </c>
      <c r="U35" s="773">
        <f t="shared" si="13"/>
        <v>100</v>
      </c>
      <c r="V35" s="772" t="s">
        <v>17</v>
      </c>
      <c r="W35" s="773">
        <f t="shared" si="14"/>
        <v>100</v>
      </c>
      <c r="X35" s="1811"/>
      <c r="Y35" s="3201"/>
      <c r="Z35" s="1812" t="str">
        <f t="shared" si="15"/>
        <v>建筑结构</v>
      </c>
      <c r="AA35" s="1809">
        <f t="shared" si="3"/>
        <v>1</v>
      </c>
      <c r="AB35" s="1809">
        <f t="shared" si="4"/>
        <v>1</v>
      </c>
      <c r="AC35" s="2672">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39"/>
      <c r="Q36" s="1808" t="str">
        <f t="shared" si="11"/>
        <v>公共部分装修</v>
      </c>
      <c r="R36" s="772" t="s">
        <v>17</v>
      </c>
      <c r="S36" s="773">
        <f t="shared" si="12"/>
        <v>100</v>
      </c>
      <c r="T36" s="772" t="s">
        <v>17</v>
      </c>
      <c r="U36" s="773">
        <f t="shared" si="13"/>
        <v>100</v>
      </c>
      <c r="V36" s="772" t="s">
        <v>17</v>
      </c>
      <c r="W36" s="773">
        <f t="shared" si="14"/>
        <v>100</v>
      </c>
      <c r="X36" s="1811"/>
      <c r="Y36" s="3201"/>
      <c r="Z36" s="1812" t="str">
        <f t="shared" si="15"/>
        <v>公共部分装修</v>
      </c>
      <c r="AA36" s="1809">
        <f t="shared" si="3"/>
        <v>1</v>
      </c>
      <c r="AB36" s="1809">
        <f t="shared" si="4"/>
        <v>1</v>
      </c>
      <c r="AC36" s="2672">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39"/>
      <c r="Q37" s="1808" t="str">
        <f t="shared" si="11"/>
        <v>成新度</v>
      </c>
      <c r="R37" s="772" t="s">
        <v>17</v>
      </c>
      <c r="S37" s="773" t="e">
        <f t="shared" si="12"/>
        <v>#N/A</v>
      </c>
      <c r="T37" s="772" t="s">
        <v>17</v>
      </c>
      <c r="U37" s="773" t="e">
        <f t="shared" si="13"/>
        <v>#N/A</v>
      </c>
      <c r="V37" s="772" t="s">
        <v>17</v>
      </c>
      <c r="W37" s="773" t="e">
        <f t="shared" si="14"/>
        <v>#N/A</v>
      </c>
      <c r="X37" s="1811"/>
      <c r="Y37" s="3201"/>
      <c r="Z37" s="1812" t="str">
        <f t="shared" si="15"/>
        <v>成新度</v>
      </c>
      <c r="AA37" s="1809" t="e">
        <f t="shared" si="3"/>
        <v>#N/A</v>
      </c>
      <c r="AB37" s="1809" t="e">
        <f t="shared" si="4"/>
        <v>#N/A</v>
      </c>
      <c r="AC37" s="2672" t="e">
        <f t="shared" si="5"/>
        <v>#N/A</v>
      </c>
    </row>
    <row r="38" spans="1:29" s="115" customFormat="1" ht="15">
      <c r="A38" s="471"/>
      <c r="B38" s="420" t="s">
        <v>2697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39"/>
      <c r="Q38" s="1793" t="str">
        <f t="shared" si="11"/>
        <v>写字楼等级</v>
      </c>
      <c r="R38" s="768" t="s">
        <v>17</v>
      </c>
      <c r="S38" s="769">
        <f t="shared" si="12"/>
        <v>100</v>
      </c>
      <c r="T38" s="768" t="s">
        <v>17</v>
      </c>
      <c r="U38" s="769">
        <f t="shared" si="13"/>
        <v>100</v>
      </c>
      <c r="V38" s="768" t="s">
        <v>17</v>
      </c>
      <c r="W38" s="769">
        <f t="shared" si="14"/>
        <v>100</v>
      </c>
      <c r="X38" s="770"/>
      <c r="Y38" s="3201"/>
      <c r="Z38" s="55" t="str">
        <f t="shared" si="15"/>
        <v>写字楼等级</v>
      </c>
      <c r="AA38" s="771">
        <f t="shared" si="3"/>
        <v>1</v>
      </c>
      <c r="AB38" s="771">
        <f t="shared" si="4"/>
        <v>1</v>
      </c>
      <c r="AC38" s="2669">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39" t="s">
        <v>2568</v>
      </c>
      <c r="Q39" s="1808" t="str">
        <f t="shared" si="11"/>
        <v>物业管理</v>
      </c>
      <c r="R39" s="772" t="s">
        <v>17</v>
      </c>
      <c r="S39" s="773">
        <f t="shared" si="12"/>
        <v>100</v>
      </c>
      <c r="T39" s="772" t="s">
        <v>17</v>
      </c>
      <c r="U39" s="773">
        <f t="shared" si="13"/>
        <v>100</v>
      </c>
      <c r="V39" s="772" t="s">
        <v>17</v>
      </c>
      <c r="W39" s="773">
        <f t="shared" si="14"/>
        <v>100</v>
      </c>
      <c r="X39" s="1811"/>
      <c r="Y39" s="3201" t="s">
        <v>2568</v>
      </c>
      <c r="Z39" s="1812" t="str">
        <f t="shared" si="15"/>
        <v>物业管理</v>
      </c>
      <c r="AA39" s="1809">
        <f t="shared" si="3"/>
        <v>1</v>
      </c>
      <c r="AB39" s="1809">
        <f t="shared" si="4"/>
        <v>1</v>
      </c>
      <c r="AC39" s="2672">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39"/>
      <c r="Q40" s="1808" t="str">
        <f t="shared" si="11"/>
        <v>市政基础设施</v>
      </c>
      <c r="R40" s="772" t="s">
        <v>17</v>
      </c>
      <c r="S40" s="773">
        <f t="shared" si="12"/>
        <v>100</v>
      </c>
      <c r="T40" s="772" t="s">
        <v>17</v>
      </c>
      <c r="U40" s="773">
        <f t="shared" si="13"/>
        <v>100</v>
      </c>
      <c r="V40" s="772" t="s">
        <v>17</v>
      </c>
      <c r="W40" s="773">
        <f t="shared" si="14"/>
        <v>100</v>
      </c>
      <c r="X40" s="1811"/>
      <c r="Y40" s="3201"/>
      <c r="Z40" s="1812" t="str">
        <f t="shared" si="15"/>
        <v>市政基础设施</v>
      </c>
      <c r="AA40" s="1809">
        <f t="shared" si="3"/>
        <v>1</v>
      </c>
      <c r="AB40" s="1809">
        <f t="shared" si="4"/>
        <v>1</v>
      </c>
      <c r="AC40" s="2672">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39"/>
      <c r="Q41" s="1808" t="str">
        <f t="shared" si="11"/>
        <v>层高</v>
      </c>
      <c r="R41" s="772" t="s">
        <v>17</v>
      </c>
      <c r="S41" s="773">
        <f t="shared" si="12"/>
        <v>100</v>
      </c>
      <c r="T41" s="772" t="s">
        <v>17</v>
      </c>
      <c r="U41" s="773">
        <f t="shared" si="13"/>
        <v>100</v>
      </c>
      <c r="V41" s="772" t="s">
        <v>17</v>
      </c>
      <c r="W41" s="773">
        <f t="shared" si="14"/>
        <v>100</v>
      </c>
      <c r="X41" s="1811"/>
      <c r="Y41" s="3201"/>
      <c r="Z41" s="1812" t="str">
        <f t="shared" si="15"/>
        <v>层高</v>
      </c>
      <c r="AA41" s="1809">
        <f t="shared" si="3"/>
        <v>1</v>
      </c>
      <c r="AB41" s="1809">
        <f t="shared" si="4"/>
        <v>1</v>
      </c>
      <c r="AC41" s="2672">
        <f t="shared" si="5"/>
        <v>1</v>
      </c>
    </row>
    <row r="42" spans="1:29" s="469" customFormat="1" ht="15">
      <c r="A42" s="466"/>
      <c r="B42" s="1810"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39"/>
      <c r="Q42" s="774" t="str">
        <f t="shared" si="11"/>
        <v>单套建筑面积</v>
      </c>
      <c r="R42" s="775" t="s">
        <v>17</v>
      </c>
      <c r="S42" s="776">
        <f t="shared" si="12"/>
        <v>100</v>
      </c>
      <c r="T42" s="775" t="s">
        <v>17</v>
      </c>
      <c r="U42" s="776">
        <f t="shared" si="13"/>
        <v>100</v>
      </c>
      <c r="V42" s="775" t="s">
        <v>17</v>
      </c>
      <c r="W42" s="776">
        <f t="shared" si="14"/>
        <v>100</v>
      </c>
      <c r="X42" s="777"/>
      <c r="Y42" s="3201"/>
      <c r="Z42" s="778" t="str">
        <f t="shared" si="15"/>
        <v>单套建筑面积</v>
      </c>
      <c r="AA42" s="1809">
        <f t="shared" si="3"/>
        <v>1</v>
      </c>
      <c r="AB42" s="1809">
        <f t="shared" si="4"/>
        <v>1</v>
      </c>
      <c r="AC42" s="2672">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39"/>
      <c r="Q43" s="1808" t="str">
        <f t="shared" si="11"/>
        <v>内部装修</v>
      </c>
      <c r="R43" s="772" t="s">
        <v>17</v>
      </c>
      <c r="S43" s="773">
        <f t="shared" si="12"/>
        <v>100</v>
      </c>
      <c r="T43" s="772" t="s">
        <v>17</v>
      </c>
      <c r="U43" s="773">
        <f t="shared" si="13"/>
        <v>100</v>
      </c>
      <c r="V43" s="772" t="s">
        <v>17</v>
      </c>
      <c r="W43" s="773">
        <f t="shared" si="14"/>
        <v>100</v>
      </c>
      <c r="X43" s="1811"/>
      <c r="Y43" s="3201"/>
      <c r="Z43" s="1812" t="str">
        <f t="shared" si="15"/>
        <v>内部装修</v>
      </c>
      <c r="AA43" s="1809">
        <f t="shared" si="3"/>
        <v>1</v>
      </c>
      <c r="AB43" s="1809">
        <f t="shared" si="4"/>
        <v>1</v>
      </c>
      <c r="AC43" s="2672">
        <f t="shared" si="5"/>
        <v>1</v>
      </c>
    </row>
    <row r="44" spans="1:29" ht="15">
      <c r="A44" s="470"/>
      <c r="B44" s="420" t="s">
        <v>2579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39"/>
      <c r="Q44" s="1808" t="str">
        <f t="shared" si="11"/>
        <v>内部装修维护情况</v>
      </c>
      <c r="R44" s="772" t="s">
        <v>17</v>
      </c>
      <c r="S44" s="773">
        <f t="shared" si="12"/>
        <v>100</v>
      </c>
      <c r="T44" s="772" t="s">
        <v>17</v>
      </c>
      <c r="U44" s="773">
        <f t="shared" si="13"/>
        <v>100</v>
      </c>
      <c r="V44" s="772" t="s">
        <v>17</v>
      </c>
      <c r="W44" s="773">
        <f t="shared" si="14"/>
        <v>100</v>
      </c>
      <c r="X44" s="1811"/>
      <c r="Y44" s="3201"/>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39"/>
      <c r="Q45" s="1793">
        <f t="shared" si="11"/>
        <v>111</v>
      </c>
      <c r="R45" s="768" t="s">
        <v>17</v>
      </c>
      <c r="S45" s="769">
        <f t="shared" si="12"/>
        <v>100</v>
      </c>
      <c r="T45" s="768" t="s">
        <v>17</v>
      </c>
      <c r="U45" s="769">
        <f t="shared" si="13"/>
        <v>100</v>
      </c>
      <c r="V45" s="768" t="s">
        <v>17</v>
      </c>
      <c r="W45" s="769">
        <f t="shared" si="14"/>
        <v>100</v>
      </c>
      <c r="X45" s="770"/>
      <c r="Y45" s="3201"/>
      <c r="Z45" s="55">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39"/>
      <c r="Q46" s="1808">
        <f t="shared" si="11"/>
        <v>111</v>
      </c>
      <c r="R46" s="772" t="s">
        <v>17</v>
      </c>
      <c r="S46" s="773">
        <f t="shared" si="12"/>
        <v>100</v>
      </c>
      <c r="T46" s="772" t="s">
        <v>17</v>
      </c>
      <c r="U46" s="773">
        <f t="shared" si="13"/>
        <v>100</v>
      </c>
      <c r="V46" s="772" t="s">
        <v>17</v>
      </c>
      <c r="W46" s="773">
        <f t="shared" si="14"/>
        <v>100</v>
      </c>
      <c r="X46" s="1811"/>
      <c r="Y46" s="3201"/>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40"/>
      <c r="Q47" s="1808">
        <f t="shared" si="11"/>
        <v>111</v>
      </c>
      <c r="R47" s="772" t="s">
        <v>17</v>
      </c>
      <c r="S47" s="773">
        <f t="shared" si="12"/>
        <v>100</v>
      </c>
      <c r="T47" s="772" t="s">
        <v>17</v>
      </c>
      <c r="U47" s="773">
        <f t="shared" si="13"/>
        <v>100</v>
      </c>
      <c r="V47" s="772" t="s">
        <v>17</v>
      </c>
      <c r="W47" s="773">
        <f t="shared" si="14"/>
        <v>100</v>
      </c>
      <c r="X47" s="1811"/>
      <c r="Y47" s="3241"/>
      <c r="Z47" s="1812">
        <f t="shared" si="15"/>
        <v>111</v>
      </c>
      <c r="AA47" s="1809">
        <f t="shared" si="3"/>
        <v>1</v>
      </c>
      <c r="AB47" s="1809">
        <f t="shared" si="4"/>
        <v>1</v>
      </c>
      <c r="AC47" s="2672">
        <f t="shared" si="5"/>
        <v>1</v>
      </c>
    </row>
    <row r="48" spans="1:29" ht="15">
      <c r="A48" s="477" t="s">
        <v>2580</v>
      </c>
      <c r="B48" s="478"/>
      <c r="C48" s="1406" t="s">
        <v>1</v>
      </c>
      <c r="D48" s="1407"/>
      <c r="E48" s="1408"/>
      <c r="F48" s="1409"/>
      <c r="G48" s="1410"/>
      <c r="H48" s="1411"/>
      <c r="I48" s="1408"/>
      <c r="J48" s="483"/>
      <c r="K48" s="781"/>
      <c r="L48" s="1143"/>
      <c r="M48" s="1131"/>
      <c r="N48" s="1131"/>
      <c r="O48" s="1131"/>
      <c r="P48" s="3207" t="str">
        <f>A48</f>
        <v>成交单价（元/平方米）</v>
      </c>
      <c r="Q48" s="3183"/>
      <c r="R48" s="3237">
        <f>E48</f>
        <v>0</v>
      </c>
      <c r="S48" s="3237"/>
      <c r="T48" s="3237">
        <f>G48</f>
        <v>0</v>
      </c>
      <c r="U48" s="3237"/>
      <c r="V48" s="3237">
        <f>I48</f>
        <v>0</v>
      </c>
      <c r="W48" s="3237"/>
      <c r="X48" s="444"/>
      <c r="Y48" s="779"/>
      <c r="Z48" s="444"/>
      <c r="AA48" s="444"/>
      <c r="AB48" s="444"/>
      <c r="AC48" s="628"/>
    </row>
    <row r="49" spans="1:29" ht="15.75" thickBot="1">
      <c r="A49" s="484" t="s">
        <v>2672</v>
      </c>
      <c r="B49" s="485"/>
      <c r="C49" s="1412" t="e">
        <f>R50</f>
        <v>#DIV/0!</v>
      </c>
      <c r="D49" s="1413"/>
      <c r="E49" s="1414" t="e">
        <f>R49</f>
        <v>#DIV/0!</v>
      </c>
      <c r="F49" s="1414"/>
      <c r="G49" s="1412" t="e">
        <f>T49</f>
        <v>#DIV/0!</v>
      </c>
      <c r="H49" s="1413"/>
      <c r="I49" s="1414" t="e">
        <f>V49</f>
        <v>#DIV/0!</v>
      </c>
      <c r="J49" s="487"/>
      <c r="K49" s="782"/>
      <c r="L49" s="1143"/>
      <c r="M49" s="1131"/>
      <c r="N49" s="1131"/>
      <c r="O49" s="1131"/>
      <c r="P49" s="3207" t="str">
        <f>A49</f>
        <v>比较价值（元/平方米）</v>
      </c>
      <c r="Q49" s="3183"/>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4"/>
      <c r="Y49" s="444"/>
      <c r="Z49" s="444"/>
      <c r="AA49" s="444"/>
      <c r="AB49" s="444"/>
      <c r="AC49" s="628"/>
    </row>
    <row r="50" spans="1:29" ht="15.75" thickBot="1">
      <c r="A50" s="490" t="s">
        <v>2673</v>
      </c>
      <c r="B50" s="491"/>
      <c r="C50" s="1416" t="e">
        <f>R50</f>
        <v>#DIV/0!</v>
      </c>
      <c r="D50" s="1416"/>
      <c r="E50" s="1416"/>
      <c r="F50" s="1416"/>
      <c r="G50" s="1416"/>
      <c r="H50" s="1416"/>
      <c r="I50" s="1416"/>
      <c r="J50" s="492"/>
      <c r="K50" s="783"/>
      <c r="L50" s="1143"/>
      <c r="M50" s="1131"/>
      <c r="N50" s="1131"/>
      <c r="O50" s="1131"/>
      <c r="P50" s="3256" t="str">
        <f>A50</f>
        <v>估价对象XX用房的比较价值（楼面单价，元/平方米）</v>
      </c>
      <c r="Q50" s="3257"/>
      <c r="R50" s="3258" t="e">
        <f>IF(F1="售价",ROUND(AVERAGE(R49:V49),0),ROUND(AVERAGE(R49:V49),1))</f>
        <v>#DIV/0!</v>
      </c>
      <c r="S50" s="3258"/>
      <c r="T50" s="3258"/>
      <c r="U50" s="3258"/>
      <c r="V50" s="3258"/>
      <c r="W50" s="325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9"/>
      <c r="Q58" s="502"/>
    </row>
    <row r="59" spans="1:29" s="506" customFormat="1" ht="15">
      <c r="A59" s="503" t="s">
        <v>2551</v>
      </c>
      <c r="B59" s="504"/>
      <c r="C59" s="1572" t="str">
        <f>YEAR(C7)&amp;"-"&amp;MONTH(C7)</f>
        <v>2018-7</v>
      </c>
      <c r="D59" s="1573">
        <f>EDATE(C59,-1)</f>
        <v>43252</v>
      </c>
      <c r="E59" s="1573">
        <f>EDATE(D59,-1)</f>
        <v>43221</v>
      </c>
      <c r="F59" s="1573">
        <f t="shared" ref="F59:O59" si="16">EDATE(E59,-1)</f>
        <v>43191</v>
      </c>
      <c r="G59" s="1573">
        <f t="shared" si="16"/>
        <v>43160</v>
      </c>
      <c r="H59" s="1573">
        <f t="shared" si="16"/>
        <v>43132</v>
      </c>
      <c r="I59" s="1573">
        <f t="shared" si="16"/>
        <v>43101</v>
      </c>
      <c r="J59" s="1573">
        <f t="shared" si="16"/>
        <v>43070</v>
      </c>
      <c r="K59" s="1573">
        <f t="shared" si="16"/>
        <v>43040</v>
      </c>
      <c r="L59" s="1573">
        <f t="shared" si="16"/>
        <v>43009</v>
      </c>
      <c r="M59" s="1573">
        <f t="shared" si="16"/>
        <v>42979</v>
      </c>
      <c r="N59" s="1573">
        <f t="shared" si="16"/>
        <v>42948</v>
      </c>
      <c r="O59" s="1573">
        <f t="shared" si="16"/>
        <v>42917</v>
      </c>
      <c r="P59" s="1569"/>
    </row>
    <row r="60" spans="1:29" s="115" customFormat="1" ht="15">
      <c r="A60" s="507"/>
      <c r="B60" s="508"/>
      <c r="C60" s="1571">
        <v>100</v>
      </c>
      <c r="D60" s="510"/>
      <c r="E60" s="510"/>
      <c r="F60" s="510"/>
      <c r="G60" s="510"/>
      <c r="H60" s="510"/>
      <c r="I60" s="510"/>
      <c r="J60" s="510"/>
      <c r="K60" s="510"/>
      <c r="L60" s="510"/>
      <c r="M60" s="511"/>
      <c r="N60" s="510"/>
      <c r="O60" s="511"/>
      <c r="P60" s="2680"/>
    </row>
    <row r="61" spans="1:29" s="115" customFormat="1" ht="15.75" thickBot="1">
      <c r="A61" s="513" t="s">
        <v>2588</v>
      </c>
      <c r="B61" s="514"/>
      <c r="C61" s="515"/>
      <c r="D61" s="516"/>
      <c r="E61" s="516"/>
      <c r="F61" s="516"/>
      <c r="G61" s="516"/>
      <c r="H61" s="516"/>
      <c r="I61" s="516"/>
      <c r="J61" s="516"/>
      <c r="K61" s="516"/>
      <c r="L61" s="516"/>
      <c r="M61" s="517"/>
      <c r="N61" s="516"/>
      <c r="O61" s="517"/>
      <c r="P61" s="2680"/>
      <c r="Q61" s="502"/>
    </row>
    <row r="62" spans="1:29" s="115" customFormat="1" ht="15">
      <c r="A62" s="519" t="s">
        <v>2553</v>
      </c>
      <c r="B62" s="508"/>
      <c r="C62" s="520" t="s">
        <v>2655</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2591</v>
      </c>
      <c r="B64" s="526" t="s">
        <v>2557</v>
      </c>
      <c r="C64" s="527">
        <f>C9</f>
        <v>0</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2"/>
      <c r="Q68" s="502"/>
    </row>
    <row r="69" spans="1:17" ht="15">
      <c r="A69" s="532"/>
      <c r="B69" s="546"/>
      <c r="C69" s="547"/>
      <c r="D69" s="547"/>
      <c r="E69" s="547"/>
      <c r="F69" s="547"/>
      <c r="G69" s="547"/>
      <c r="H69" s="547"/>
      <c r="I69" s="547"/>
      <c r="J69" s="547"/>
      <c r="K69" s="548"/>
      <c r="L69" s="549"/>
      <c r="M69" s="550"/>
      <c r="N69" s="1152"/>
      <c r="O69" s="1152"/>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2"/>
      <c r="O77" s="1152"/>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2"/>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2"/>
      <c r="O79" s="1152"/>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2"/>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2"/>
      <c r="O81" s="1152"/>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2"/>
      <c r="Q82" s="502"/>
    </row>
    <row r="83" spans="1:17" ht="15.75" thickTop="1">
      <c r="A83" s="532"/>
      <c r="B83" s="544" t="s">
        <v>2692</v>
      </c>
      <c r="C83" s="658" t="s">
        <v>2678</v>
      </c>
      <c r="D83" s="658" t="s">
        <v>2679</v>
      </c>
      <c r="E83" s="658" t="s">
        <v>2680</v>
      </c>
      <c r="F83" s="658" t="s">
        <v>2681</v>
      </c>
      <c r="G83" s="658" t="s">
        <v>2682</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2"/>
      <c r="O85" s="1152"/>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2"/>
      <c r="Q86" s="502"/>
    </row>
    <row r="87" spans="1:17" s="115" customFormat="1" ht="27.75" thickTop="1">
      <c r="A87" s="577"/>
      <c r="B87" s="536" t="s">
        <v>2702</v>
      </c>
      <c r="C87" s="552"/>
      <c r="D87" s="552"/>
      <c r="E87" s="552"/>
      <c r="F87" s="552"/>
      <c r="G87" s="552"/>
      <c r="H87" s="552"/>
      <c r="I87" s="552"/>
      <c r="J87" s="552"/>
      <c r="K87" s="552"/>
      <c r="L87" s="578"/>
      <c r="M87" s="579"/>
      <c r="N87" s="1151"/>
      <c r="O87" s="1151"/>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2"/>
      <c r="Q88" s="502"/>
    </row>
    <row r="89" spans="1:17" s="115" customFormat="1" ht="15.75" thickTop="1">
      <c r="A89" s="577"/>
      <c r="B89" s="536" t="str">
        <f>B27</f>
        <v>楼层</v>
      </c>
      <c r="C89" s="552"/>
      <c r="D89" s="552"/>
      <c r="E89" s="552"/>
      <c r="F89" s="2633"/>
      <c r="G89" s="552"/>
      <c r="H89" s="552"/>
      <c r="I89" s="552"/>
      <c r="J89" s="552"/>
      <c r="K89" s="552"/>
      <c r="L89" s="552"/>
      <c r="M89" s="579"/>
      <c r="N89" s="1151"/>
      <c r="O89" s="1151"/>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2566</v>
      </c>
      <c r="B101" s="526" t="s">
        <v>2615</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c r="D104" s="593"/>
      <c r="E104" s="593"/>
      <c r="F104" s="593"/>
      <c r="G104" s="593"/>
      <c r="H104" s="593"/>
      <c r="I104" s="593"/>
      <c r="J104" s="594"/>
      <c r="K104" s="594"/>
      <c r="L104" s="595"/>
      <c r="M104" s="596"/>
      <c r="N104" s="1154"/>
      <c r="O104" s="1154"/>
      <c r="P104" s="2683"/>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3"/>
      <c r="Q105" s="557"/>
    </row>
    <row r="106" spans="1:17" ht="15" thickTop="1">
      <c r="A106" s="597"/>
      <c r="B106" s="536" t="s">
        <v>2617</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2619</v>
      </c>
      <c r="C108" s="552"/>
      <c r="D108" s="552"/>
      <c r="E108" s="552"/>
      <c r="F108" s="581"/>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2703</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2620</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2621</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2704</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2687</v>
      </c>
      <c r="C121" s="552"/>
      <c r="D121" s="552"/>
      <c r="E121" s="552"/>
      <c r="F121" s="581"/>
      <c r="G121" s="553"/>
      <c r="H121" s="553"/>
      <c r="I121" s="553"/>
      <c r="J121" s="553"/>
      <c r="K121" s="553"/>
      <c r="L121" s="554"/>
      <c r="M121" s="555"/>
      <c r="N121" s="1154"/>
      <c r="O121" s="1154"/>
      <c r="P121" s="2683"/>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3"/>
      <c r="Q122" s="557"/>
    </row>
    <row r="123" spans="1:17" ht="15" thickTop="1">
      <c r="A123" s="597"/>
      <c r="B123" s="536" t="s">
        <v>2623</v>
      </c>
      <c r="C123" s="552"/>
      <c r="D123" s="552"/>
      <c r="E123" s="552"/>
      <c r="F123" s="581"/>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111</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鹏瑞利美融加五（北京）置业有限公司：</v>
      </c>
    </row>
    <row r="4" spans="1:1" ht="36">
      <c r="A4" s="1946"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2018年7月13日（评估专业人员实地查勘之日）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2705</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IF(C2="——",ROUND(C43*D3/10000,0),ROUND(C43*D3/10000,0)-D2)</f>
        <v>#DIV/0!</v>
      </c>
      <c r="C2" s="2584"/>
      <c r="D2" s="112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2335</v>
      </c>
      <c r="B3" s="607" t="e">
        <f ca="1">IF(C2="——",C43,ROUND(B2*10000/D3,0))</f>
        <v>#DIV/0!</v>
      </c>
      <c r="C3" s="398" t="s">
        <v>2647</v>
      </c>
      <c r="D3" s="397">
        <f>IF(D1="",'数据-汇总表'!E3,SUMIF('数据-汇总表'!$C19:$C33,D1,'数据-汇总表'!$E19:$E33))</f>
        <v>95896.06</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4" t="s">
        <v>2649</v>
      </c>
      <c r="D4" s="3185"/>
      <c r="E4" s="3186" t="s">
        <v>2650</v>
      </c>
      <c r="F4" s="3187"/>
      <c r="G4" s="3184" t="s">
        <v>2651</v>
      </c>
      <c r="H4" s="3185"/>
      <c r="I4" s="3184" t="s">
        <v>2652</v>
      </c>
      <c r="J4" s="3185"/>
      <c r="K4" s="608" t="s">
        <v>2653</v>
      </c>
      <c r="L4" s="1130"/>
      <c r="M4" s="1131"/>
      <c r="N4" s="1131"/>
      <c r="O4" s="1131"/>
      <c r="P4" s="3188" t="s">
        <v>2654</v>
      </c>
      <c r="Q4" s="3189"/>
      <c r="R4" s="3171" t="s">
        <v>2650</v>
      </c>
      <c r="S4" s="3172"/>
      <c r="T4" s="3171" t="s">
        <v>2651</v>
      </c>
      <c r="U4" s="3172"/>
      <c r="V4" s="3196" t="s">
        <v>2652</v>
      </c>
      <c r="W4" s="3196"/>
      <c r="X4" s="1811"/>
      <c r="Y4" s="3171" t="s">
        <v>2654</v>
      </c>
      <c r="Z4" s="3172"/>
      <c r="AA4" s="3166" t="s">
        <v>2650</v>
      </c>
      <c r="AB4" s="3167" t="s">
        <v>2651</v>
      </c>
      <c r="AC4" s="3166" t="s">
        <v>2652</v>
      </c>
    </row>
    <row r="5" spans="1:29" ht="15">
      <c r="A5" s="402"/>
      <c r="B5" s="403"/>
      <c r="C5" s="3177" t="s">
        <v>2545</v>
      </c>
      <c r="D5" s="3178"/>
      <c r="E5" s="3175" t="s">
        <v>2546</v>
      </c>
      <c r="F5" s="3176"/>
      <c r="G5" s="3177" t="s">
        <v>2547</v>
      </c>
      <c r="H5" s="3178"/>
      <c r="I5" s="3177" t="s">
        <v>2548</v>
      </c>
      <c r="J5" s="3178"/>
      <c r="K5" s="608"/>
      <c r="L5" s="1130"/>
      <c r="M5" s="1131"/>
      <c r="N5" s="1131"/>
      <c r="O5" s="1131"/>
      <c r="P5" s="3190"/>
      <c r="Q5" s="3191"/>
      <c r="R5" s="3173"/>
      <c r="S5" s="3174"/>
      <c r="T5" s="3173"/>
      <c r="U5" s="3174"/>
      <c r="V5" s="3196"/>
      <c r="W5" s="3196"/>
      <c r="X5" s="1811"/>
      <c r="Y5" s="3173"/>
      <c r="Z5" s="3174"/>
      <c r="AA5" s="3167"/>
      <c r="AB5" s="3167"/>
      <c r="AC5" s="3167"/>
    </row>
    <row r="6" spans="1:29" ht="15.75" thickBot="1">
      <c r="A6" s="404"/>
      <c r="B6" s="405"/>
      <c r="C6" s="3179" t="s">
        <v>2549</v>
      </c>
      <c r="D6" s="3180"/>
      <c r="E6" s="3181" t="s">
        <v>2549</v>
      </c>
      <c r="F6" s="3182"/>
      <c r="G6" s="3179" t="s">
        <v>2549</v>
      </c>
      <c r="H6" s="3180"/>
      <c r="I6" s="3179" t="s">
        <v>2549</v>
      </c>
      <c r="J6" s="3180"/>
      <c r="K6" s="608" t="s">
        <v>2550</v>
      </c>
      <c r="L6" s="1130"/>
      <c r="M6" s="1131"/>
      <c r="N6" s="1131"/>
      <c r="O6" s="1131"/>
      <c r="P6" s="3192"/>
      <c r="Q6" s="3193"/>
      <c r="R6" s="3173"/>
      <c r="S6" s="3174"/>
      <c r="T6" s="3194"/>
      <c r="U6" s="3195"/>
      <c r="V6" s="3196"/>
      <c r="W6" s="3196"/>
      <c r="X6" s="1811"/>
      <c r="Y6" s="3194"/>
      <c r="Z6" s="3195"/>
      <c r="AA6" s="3168"/>
      <c r="AB6" s="3168"/>
      <c r="AC6" s="3168"/>
    </row>
    <row r="7" spans="1:29" s="115" customFormat="1" ht="15.75" thickBot="1">
      <c r="A7" s="406" t="s">
        <v>2551</v>
      </c>
      <c r="B7" s="407"/>
      <c r="C7" s="408">
        <f>'数据-取费表'!B2</f>
        <v>43294</v>
      </c>
      <c r="D7" s="409">
        <v>100</v>
      </c>
      <c r="E7" s="410"/>
      <c r="F7" s="411">
        <f>SUMIF(52:52,YEAR(E7)&amp;"-"&amp;MONTH(E7),53:53)</f>
        <v>0</v>
      </c>
      <c r="G7" s="410"/>
      <c r="H7" s="409">
        <f>SUMIF(52:52,YEAR(G7)&amp;"-"&amp;MONTH(G7),53:53)</f>
        <v>0</v>
      </c>
      <c r="I7" s="410"/>
      <c r="J7" s="409">
        <f>SUMIF(52:52,YEAR(I7)&amp;"-"&amp;MONTH(I7),53:53)</f>
        <v>0</v>
      </c>
      <c r="K7" s="609"/>
      <c r="L7" s="1132"/>
      <c r="M7" s="1133"/>
      <c r="N7" s="1133"/>
      <c r="O7" s="1133"/>
      <c r="P7" s="3169" t="s">
        <v>2552</v>
      </c>
      <c r="Q7" s="3197"/>
      <c r="R7" s="768" t="s">
        <v>17</v>
      </c>
      <c r="S7" s="769">
        <f t="shared" ref="S7:S15" si="0">F7</f>
        <v>0</v>
      </c>
      <c r="T7" s="768" t="s">
        <v>17</v>
      </c>
      <c r="U7" s="769">
        <f t="shared" ref="U7:U15" si="1">H7</f>
        <v>0</v>
      </c>
      <c r="V7" s="768" t="s">
        <v>17</v>
      </c>
      <c r="W7" s="769">
        <f t="shared" ref="W7:W15" si="2">J7</f>
        <v>0</v>
      </c>
      <c r="X7" s="770"/>
      <c r="Y7" s="3169" t="s">
        <v>2552</v>
      </c>
      <c r="Z7" s="3170"/>
      <c r="AA7" s="771" t="e">
        <f>D7/F7</f>
        <v>#DIV/0!</v>
      </c>
      <c r="AB7" s="771" t="e">
        <f>D7/H7</f>
        <v>#DIV/0!</v>
      </c>
      <c r="AC7" s="771" t="e">
        <f>D7/J7</f>
        <v>#DIV/0!</v>
      </c>
    </row>
    <row r="8" spans="1:29" s="115" customFormat="1" ht="15.75" thickBot="1">
      <c r="A8" s="406" t="s">
        <v>2553</v>
      </c>
      <c r="B8" s="407"/>
      <c r="C8" s="412" t="s">
        <v>2554</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169" t="s">
        <v>2555</v>
      </c>
      <c r="Q8" s="3170"/>
      <c r="R8" s="768" t="s">
        <v>17</v>
      </c>
      <c r="S8" s="769">
        <f t="shared" si="0"/>
        <v>0</v>
      </c>
      <c r="T8" s="768" t="s">
        <v>17</v>
      </c>
      <c r="U8" s="769">
        <f t="shared" si="1"/>
        <v>0</v>
      </c>
      <c r="V8" s="768" t="s">
        <v>17</v>
      </c>
      <c r="W8" s="769">
        <f t="shared" si="2"/>
        <v>0</v>
      </c>
      <c r="X8" s="770"/>
      <c r="Y8" s="3169" t="s">
        <v>2555</v>
      </c>
      <c r="Z8" s="3170"/>
      <c r="AA8" s="771" t="e">
        <f t="shared" ref="AA8:AA40" si="3">D8/F8</f>
        <v>#DIV/0!</v>
      </c>
      <c r="AB8" s="771" t="e">
        <f t="shared" ref="AB8:AB40" si="4">D8/H8</f>
        <v>#DIV/0!</v>
      </c>
      <c r="AC8" s="771" t="e">
        <f t="shared" ref="AC8:AC40" si="5">D8/J8</f>
        <v>#DIV/0!</v>
      </c>
    </row>
    <row r="9" spans="1:29" s="115" customFormat="1">
      <c r="A9" s="413" t="s">
        <v>2556</v>
      </c>
      <c r="B9" s="71" t="s">
        <v>2557</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83" t="s">
        <v>2558</v>
      </c>
      <c r="Q9" s="1793" t="str">
        <f t="shared" ref="Q9:Q15" si="6">B9</f>
        <v>用途</v>
      </c>
      <c r="R9" s="768" t="s">
        <v>17</v>
      </c>
      <c r="S9" s="769">
        <f t="shared" si="0"/>
        <v>100</v>
      </c>
      <c r="T9" s="768" t="s">
        <v>17</v>
      </c>
      <c r="U9" s="769">
        <f t="shared" si="1"/>
        <v>100</v>
      </c>
      <c r="V9" s="768" t="s">
        <v>17</v>
      </c>
      <c r="W9" s="769">
        <f t="shared" si="2"/>
        <v>100</v>
      </c>
      <c r="X9" s="770"/>
      <c r="Y9" s="3043"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83"/>
      <c r="Q10" s="1793"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420" t="s">
        <v>2561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83"/>
      <c r="Q11" s="1793"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83"/>
      <c r="Q12" s="1793">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83"/>
      <c r="Q13" s="1793">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83"/>
      <c r="Q14" s="1793">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57">
      <c r="A15" s="438" t="s">
        <v>2562</v>
      </c>
      <c r="B15" s="69" t="s">
        <v>2706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98" t="s">
        <v>2563</v>
      </c>
      <c r="Q15" s="1808" t="str">
        <f t="shared" si="6"/>
        <v>产业集聚程度</v>
      </c>
      <c r="R15" s="772" t="s">
        <v>17</v>
      </c>
      <c r="S15" s="773">
        <f t="shared" si="0"/>
        <v>100</v>
      </c>
      <c r="T15" s="772" t="s">
        <v>17</v>
      </c>
      <c r="U15" s="773">
        <f t="shared" si="1"/>
        <v>100</v>
      </c>
      <c r="V15" s="772" t="s">
        <v>17</v>
      </c>
      <c r="W15" s="773">
        <f t="shared" si="2"/>
        <v>100</v>
      </c>
      <c r="X15" s="1811"/>
      <c r="Y15" s="3198" t="s">
        <v>2563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199"/>
      <c r="Q16" s="1808"/>
      <c r="R16" s="772"/>
      <c r="S16" s="773"/>
      <c r="T16" s="772"/>
      <c r="U16" s="773"/>
      <c r="V16" s="772"/>
      <c r="W16" s="773"/>
      <c r="X16" s="1811"/>
      <c r="Y16" s="3199"/>
      <c r="Z16" s="1812"/>
      <c r="AA16" s="1809">
        <v>1</v>
      </c>
      <c r="AB16" s="1809">
        <v>1</v>
      </c>
      <c r="AC16" s="1809">
        <v>1</v>
      </c>
    </row>
    <row r="17" spans="1:29" ht="85.5">
      <c r="A17" s="426"/>
      <c r="B17" s="449" t="s">
        <v>2101</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99"/>
      <c r="Q17" s="1808" t="str">
        <f>B17</f>
        <v>交通便捷度</v>
      </c>
      <c r="R17" s="772" t="s">
        <v>17</v>
      </c>
      <c r="S17" s="773">
        <f>F17</f>
        <v>100</v>
      </c>
      <c r="T17" s="772" t="s">
        <v>17</v>
      </c>
      <c r="U17" s="773">
        <f>H17</f>
        <v>100</v>
      </c>
      <c r="V17" s="772" t="s">
        <v>17</v>
      </c>
      <c r="W17" s="773">
        <f>J17</f>
        <v>100</v>
      </c>
      <c r="X17" s="1811"/>
      <c r="Y17" s="3199"/>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199"/>
      <c r="Q18" s="1808"/>
      <c r="R18" s="772"/>
      <c r="S18" s="773"/>
      <c r="T18" s="772"/>
      <c r="U18" s="773"/>
      <c r="V18" s="772"/>
      <c r="W18" s="773"/>
      <c r="X18" s="1811"/>
      <c r="Y18" s="3199"/>
      <c r="Z18" s="1812"/>
      <c r="AA18" s="1809">
        <v>1</v>
      </c>
      <c r="AB18" s="1809">
        <v>1</v>
      </c>
      <c r="AC18" s="1809">
        <v>1</v>
      </c>
    </row>
    <row r="19" spans="1:29" ht="42.75">
      <c r="A19" s="426"/>
      <c r="B19" s="449" t="s">
        <v>2691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99"/>
      <c r="Q19" s="1808" t="str">
        <f>B19</f>
        <v>公共配套设施</v>
      </c>
      <c r="R19" s="772" t="s">
        <v>17</v>
      </c>
      <c r="S19" s="773">
        <f>F19</f>
        <v>100</v>
      </c>
      <c r="T19" s="772" t="s">
        <v>17</v>
      </c>
      <c r="U19" s="773">
        <f>H19</f>
        <v>100</v>
      </c>
      <c r="V19" s="772" t="s">
        <v>17</v>
      </c>
      <c r="W19" s="773">
        <f>J19</f>
        <v>100</v>
      </c>
      <c r="X19" s="1811"/>
      <c r="Y19" s="3199"/>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199"/>
      <c r="Q20" s="1808"/>
      <c r="R20" s="772"/>
      <c r="S20" s="773"/>
      <c r="T20" s="772"/>
      <c r="U20" s="773"/>
      <c r="V20" s="772"/>
      <c r="W20" s="773"/>
      <c r="X20" s="1811"/>
      <c r="Y20" s="3199"/>
      <c r="Z20" s="1812"/>
      <c r="AA20" s="1809">
        <v>1</v>
      </c>
      <c r="AB20" s="1809">
        <v>1</v>
      </c>
      <c r="AC20" s="1809">
        <v>1</v>
      </c>
    </row>
    <row r="21" spans="1:29" ht="28.5">
      <c r="A21" s="426"/>
      <c r="B21" s="1383" t="s">
        <v>2692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99"/>
      <c r="Q21" s="1808" t="str">
        <f>B21</f>
        <v>基础设施水平</v>
      </c>
      <c r="R21" s="772" t="s">
        <v>17</v>
      </c>
      <c r="S21" s="773">
        <f>F21</f>
        <v>100</v>
      </c>
      <c r="T21" s="772" t="s">
        <v>17</v>
      </c>
      <c r="U21" s="773">
        <f>H21</f>
        <v>100</v>
      </c>
      <c r="V21" s="772" t="s">
        <v>17</v>
      </c>
      <c r="W21" s="773">
        <f>J21</f>
        <v>100</v>
      </c>
      <c r="X21" s="1811"/>
      <c r="Y21" s="3199"/>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199"/>
      <c r="Q22" s="1808"/>
      <c r="R22" s="772"/>
      <c r="S22" s="773"/>
      <c r="T22" s="772"/>
      <c r="U22" s="773"/>
      <c r="V22" s="772"/>
      <c r="W22" s="773"/>
      <c r="X22" s="1811"/>
      <c r="Y22" s="3199"/>
      <c r="Z22" s="1812"/>
      <c r="AA22" s="1809">
        <v>1</v>
      </c>
      <c r="AB22" s="1809">
        <v>1</v>
      </c>
      <c r="AC22" s="1809">
        <v>1</v>
      </c>
    </row>
    <row r="23" spans="1:29" ht="71.25">
      <c r="A23" s="426"/>
      <c r="B23" s="449" t="s">
        <v>2693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99"/>
      <c r="Q23" s="1808" t="str">
        <f>B23</f>
        <v>环境质量</v>
      </c>
      <c r="R23" s="772" t="s">
        <v>17</v>
      </c>
      <c r="S23" s="773">
        <f>F23</f>
        <v>100</v>
      </c>
      <c r="T23" s="772" t="s">
        <v>17</v>
      </c>
      <c r="U23" s="773">
        <f>H23</f>
        <v>100</v>
      </c>
      <c r="V23" s="772" t="s">
        <v>17</v>
      </c>
      <c r="W23" s="773">
        <f>J23</f>
        <v>100</v>
      </c>
      <c r="X23" s="1811"/>
      <c r="Y23" s="3199"/>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199"/>
      <c r="Q24" s="1808"/>
      <c r="R24" s="772"/>
      <c r="S24" s="773"/>
      <c r="T24" s="772"/>
      <c r="U24" s="773"/>
      <c r="V24" s="772"/>
      <c r="W24" s="773"/>
      <c r="X24" s="1811"/>
      <c r="Y24" s="3199"/>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99"/>
      <c r="Q25" s="1808">
        <f>B25</f>
        <v>111</v>
      </c>
      <c r="R25" s="772" t="s">
        <v>17</v>
      </c>
      <c r="S25" s="773">
        <f>F25</f>
        <v>100</v>
      </c>
      <c r="T25" s="772" t="s">
        <v>17</v>
      </c>
      <c r="U25" s="773">
        <f>H25</f>
        <v>100</v>
      </c>
      <c r="V25" s="772" t="s">
        <v>17</v>
      </c>
      <c r="W25" s="773">
        <f>J25</f>
        <v>100</v>
      </c>
      <c r="X25" s="1811"/>
      <c r="Y25" s="3199"/>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99"/>
      <c r="Q26" s="1808">
        <f t="shared" ref="Q26:Q40" si="11">B26</f>
        <v>111</v>
      </c>
      <c r="R26" s="772" t="s">
        <v>17</v>
      </c>
      <c r="S26" s="773">
        <f>F26</f>
        <v>100</v>
      </c>
      <c r="T26" s="772" t="s">
        <v>17</v>
      </c>
      <c r="U26" s="773">
        <f>H26</f>
        <v>100</v>
      </c>
      <c r="V26" s="772" t="s">
        <v>17</v>
      </c>
      <c r="W26" s="773">
        <f>J26</f>
        <v>100</v>
      </c>
      <c r="X26" s="1811"/>
      <c r="Y26" s="3199"/>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99"/>
      <c r="Q27" s="1793">
        <f t="shared" si="11"/>
        <v>111</v>
      </c>
      <c r="R27" s="768" t="s">
        <v>17</v>
      </c>
      <c r="S27" s="769">
        <f>F27</f>
        <v>100</v>
      </c>
      <c r="T27" s="768" t="s">
        <v>17</v>
      </c>
      <c r="U27" s="769">
        <f>H27</f>
        <v>100</v>
      </c>
      <c r="V27" s="768" t="s">
        <v>17</v>
      </c>
      <c r="W27" s="769">
        <f>J27</f>
        <v>100</v>
      </c>
      <c r="X27" s="770"/>
      <c r="Y27" s="3199"/>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99"/>
      <c r="Q28" s="1808">
        <f t="shared" si="11"/>
        <v>111</v>
      </c>
      <c r="R28" s="772" t="s">
        <v>17</v>
      </c>
      <c r="S28" s="773">
        <f t="shared" ref="S28:S40" si="12">F28</f>
        <v>100</v>
      </c>
      <c r="T28" s="772" t="s">
        <v>17</v>
      </c>
      <c r="U28" s="773">
        <f t="shared" ref="U28:U40" si="13">H28</f>
        <v>100</v>
      </c>
      <c r="V28" s="772" t="s">
        <v>17</v>
      </c>
      <c r="W28" s="773">
        <f t="shared" ref="W28:W40" si="14">J28</f>
        <v>100</v>
      </c>
      <c r="X28" s="1811"/>
      <c r="Y28" s="3199"/>
      <c r="Z28" s="1812">
        <f t="shared" ref="Z28:Z40" si="15">Q28</f>
        <v>111</v>
      </c>
      <c r="AA28" s="1809">
        <f t="shared" si="3"/>
        <v>1</v>
      </c>
      <c r="AB28" s="1809">
        <f t="shared" si="4"/>
        <v>1</v>
      </c>
      <c r="AC28" s="1809">
        <f t="shared" si="5"/>
        <v>1</v>
      </c>
    </row>
    <row r="29" spans="1:29" ht="15">
      <c r="A29" s="464" t="s">
        <v>2566</v>
      </c>
      <c r="B29" s="71" t="s">
        <v>2696</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200" t="s">
        <v>2568</v>
      </c>
      <c r="Q29" s="1808" t="str">
        <f t="shared" si="11"/>
        <v>建筑类型</v>
      </c>
      <c r="R29" s="772" t="s">
        <v>17</v>
      </c>
      <c r="S29" s="773">
        <f t="shared" si="12"/>
        <v>100</v>
      </c>
      <c r="T29" s="772" t="s">
        <v>17</v>
      </c>
      <c r="U29" s="773">
        <f t="shared" si="13"/>
        <v>100</v>
      </c>
      <c r="V29" s="772" t="s">
        <v>17</v>
      </c>
      <c r="W29" s="773">
        <f t="shared" si="14"/>
        <v>100</v>
      </c>
      <c r="X29" s="1811"/>
      <c r="Y29" s="3201" t="s">
        <v>2568</v>
      </c>
      <c r="Z29" s="1812" t="str">
        <f t="shared" si="15"/>
        <v>建筑类型</v>
      </c>
      <c r="AA29" s="1809">
        <f t="shared" si="3"/>
        <v>1</v>
      </c>
      <c r="AB29" s="1809">
        <f t="shared" si="4"/>
        <v>1</v>
      </c>
      <c r="AC29" s="1809">
        <f t="shared" si="5"/>
        <v>1</v>
      </c>
    </row>
    <row r="30" spans="1:29" s="469" customFormat="1" ht="15">
      <c r="A30" s="466"/>
      <c r="B30" s="420" t="s">
        <v>2569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01"/>
      <c r="Q30" s="774" t="str">
        <f t="shared" si="11"/>
        <v>项目建筑规模</v>
      </c>
      <c r="R30" s="775" t="s">
        <v>17</v>
      </c>
      <c r="S30" s="776" t="e">
        <f t="shared" si="12"/>
        <v>#N/A</v>
      </c>
      <c r="T30" s="775" t="s">
        <v>17</v>
      </c>
      <c r="U30" s="776" t="e">
        <f t="shared" si="13"/>
        <v>#N/A</v>
      </c>
      <c r="V30" s="775" t="s">
        <v>17</v>
      </c>
      <c r="W30" s="776" t="e">
        <f t="shared" si="14"/>
        <v>#N/A</v>
      </c>
      <c r="X30" s="777"/>
      <c r="Y30" s="3201"/>
      <c r="Z30" s="778" t="str">
        <f t="shared" si="15"/>
        <v>项目建筑规模</v>
      </c>
      <c r="AA30" s="1809" t="e">
        <f t="shared" si="3"/>
        <v>#N/A</v>
      </c>
      <c r="AB30" s="1809" t="e">
        <f t="shared" si="4"/>
        <v>#N/A</v>
      </c>
      <c r="AC30" s="1809"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01"/>
      <c r="Q31" s="1808" t="str">
        <f t="shared" si="11"/>
        <v>建筑结构</v>
      </c>
      <c r="R31" s="772" t="s">
        <v>17</v>
      </c>
      <c r="S31" s="773">
        <f t="shared" si="12"/>
        <v>100</v>
      </c>
      <c r="T31" s="772" t="s">
        <v>17</v>
      </c>
      <c r="U31" s="773">
        <f t="shared" si="13"/>
        <v>100</v>
      </c>
      <c r="V31" s="772" t="s">
        <v>17</v>
      </c>
      <c r="W31" s="773">
        <f t="shared" si="14"/>
        <v>100</v>
      </c>
      <c r="X31" s="1811"/>
      <c r="Y31" s="3201"/>
      <c r="Z31" s="1812" t="str">
        <f t="shared" si="15"/>
        <v>建筑结构</v>
      </c>
      <c r="AA31" s="1809">
        <f t="shared" si="3"/>
        <v>1</v>
      </c>
      <c r="AB31" s="1809">
        <f t="shared" si="4"/>
        <v>1</v>
      </c>
      <c r="AC31" s="1809">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01"/>
      <c r="Q32" s="1808" t="str">
        <f t="shared" si="11"/>
        <v>公共部分装修</v>
      </c>
      <c r="R32" s="772" t="s">
        <v>17</v>
      </c>
      <c r="S32" s="773">
        <f t="shared" si="12"/>
        <v>100</v>
      </c>
      <c r="T32" s="772" t="s">
        <v>17</v>
      </c>
      <c r="U32" s="773">
        <f t="shared" si="13"/>
        <v>100</v>
      </c>
      <c r="V32" s="772" t="s">
        <v>17</v>
      </c>
      <c r="W32" s="773">
        <f t="shared" si="14"/>
        <v>100</v>
      </c>
      <c r="X32" s="1811"/>
      <c r="Y32" s="3201"/>
      <c r="Z32" s="1812" t="str">
        <f t="shared" si="15"/>
        <v>公共部分装修</v>
      </c>
      <c r="AA32" s="1809">
        <f t="shared" si="3"/>
        <v>1</v>
      </c>
      <c r="AB32" s="1809">
        <f t="shared" si="4"/>
        <v>1</v>
      </c>
      <c r="AC32" s="1809">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01"/>
      <c r="Q33" s="1808" t="str">
        <f t="shared" si="11"/>
        <v>成新度</v>
      </c>
      <c r="R33" s="772" t="s">
        <v>17</v>
      </c>
      <c r="S33" s="773" t="e">
        <f t="shared" si="12"/>
        <v>#N/A</v>
      </c>
      <c r="T33" s="772" t="s">
        <v>17</v>
      </c>
      <c r="U33" s="773" t="e">
        <f t="shared" si="13"/>
        <v>#N/A</v>
      </c>
      <c r="V33" s="772" t="s">
        <v>17</v>
      </c>
      <c r="W33" s="773" t="e">
        <f t="shared" si="14"/>
        <v>#N/A</v>
      </c>
      <c r="X33" s="1811"/>
      <c r="Y33" s="3201"/>
      <c r="Z33" s="1812" t="str">
        <f t="shared" si="15"/>
        <v>成新度</v>
      </c>
      <c r="AA33" s="1809" t="e">
        <f t="shared" si="3"/>
        <v>#N/A</v>
      </c>
      <c r="AB33" s="1809" t="e">
        <f t="shared" si="4"/>
        <v>#N/A</v>
      </c>
      <c r="AC33" s="1809" t="e">
        <f t="shared" si="5"/>
        <v>#N/A</v>
      </c>
    </row>
    <row r="34" spans="1:29" s="115" customFormat="1" ht="15">
      <c r="A34" s="471"/>
      <c r="B34" s="420" t="s">
        <v>2698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01"/>
      <c r="Q34" s="1793" t="str">
        <f t="shared" si="11"/>
        <v>物业管理</v>
      </c>
      <c r="R34" s="768" t="s">
        <v>17</v>
      </c>
      <c r="S34" s="769">
        <f t="shared" si="12"/>
        <v>100</v>
      </c>
      <c r="T34" s="768" t="s">
        <v>17</v>
      </c>
      <c r="U34" s="769">
        <f t="shared" si="13"/>
        <v>100</v>
      </c>
      <c r="V34" s="768" t="s">
        <v>17</v>
      </c>
      <c r="W34" s="769">
        <f t="shared" si="14"/>
        <v>100</v>
      </c>
      <c r="X34" s="770"/>
      <c r="Y34" s="3201"/>
      <c r="Z34" s="55" t="str">
        <f t="shared" si="15"/>
        <v>物业管理</v>
      </c>
      <c r="AA34" s="771">
        <f t="shared" si="3"/>
        <v>1</v>
      </c>
      <c r="AB34" s="771">
        <f t="shared" si="4"/>
        <v>1</v>
      </c>
      <c r="AC34" s="771">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01" t="s">
        <v>2568</v>
      </c>
      <c r="Q35" s="1808" t="str">
        <f t="shared" si="11"/>
        <v>市政基础设施</v>
      </c>
      <c r="R35" s="772" t="s">
        <v>17</v>
      </c>
      <c r="S35" s="773">
        <f t="shared" si="12"/>
        <v>100</v>
      </c>
      <c r="T35" s="772" t="s">
        <v>17</v>
      </c>
      <c r="U35" s="773">
        <f t="shared" si="13"/>
        <v>100</v>
      </c>
      <c r="V35" s="772" t="s">
        <v>17</v>
      </c>
      <c r="W35" s="773">
        <f t="shared" si="14"/>
        <v>100</v>
      </c>
      <c r="X35" s="1811"/>
      <c r="Y35" s="3201" t="s">
        <v>2568</v>
      </c>
      <c r="Z35" s="1812" t="str">
        <f t="shared" si="15"/>
        <v>市政基础设施</v>
      </c>
      <c r="AA35" s="1809">
        <f t="shared" si="3"/>
        <v>1</v>
      </c>
      <c r="AB35" s="1809">
        <f t="shared" si="4"/>
        <v>1</v>
      </c>
      <c r="AC35" s="1809">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01"/>
      <c r="Q36" s="1808" t="str">
        <f t="shared" si="11"/>
        <v>内部装修</v>
      </c>
      <c r="R36" s="772" t="s">
        <v>17</v>
      </c>
      <c r="S36" s="773">
        <f t="shared" si="12"/>
        <v>100</v>
      </c>
      <c r="T36" s="772" t="s">
        <v>17</v>
      </c>
      <c r="U36" s="773">
        <f t="shared" si="13"/>
        <v>100</v>
      </c>
      <c r="V36" s="772" t="s">
        <v>17</v>
      </c>
      <c r="W36" s="773">
        <f t="shared" si="14"/>
        <v>100</v>
      </c>
      <c r="X36" s="1811"/>
      <c r="Y36" s="3201"/>
      <c r="Z36" s="1812" t="str">
        <f t="shared" si="15"/>
        <v>内部装修</v>
      </c>
      <c r="AA36" s="1809">
        <f t="shared" si="3"/>
        <v>1</v>
      </c>
      <c r="AB36" s="1809">
        <f t="shared" si="4"/>
        <v>1</v>
      </c>
      <c r="AC36" s="1809">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01"/>
      <c r="Q37" s="1808" t="str">
        <f t="shared" si="11"/>
        <v>内部装修状况</v>
      </c>
      <c r="R37" s="772" t="s">
        <v>17</v>
      </c>
      <c r="S37" s="773">
        <f t="shared" si="12"/>
        <v>100</v>
      </c>
      <c r="T37" s="772" t="s">
        <v>17</v>
      </c>
      <c r="U37" s="773">
        <f t="shared" si="13"/>
        <v>100</v>
      </c>
      <c r="V37" s="772" t="s">
        <v>17</v>
      </c>
      <c r="W37" s="773">
        <f t="shared" si="14"/>
        <v>100</v>
      </c>
      <c r="X37" s="1811"/>
      <c r="Y37" s="3201"/>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01"/>
      <c r="Q38" s="774">
        <f t="shared" si="11"/>
        <v>111</v>
      </c>
      <c r="R38" s="775" t="s">
        <v>17</v>
      </c>
      <c r="S38" s="776">
        <f t="shared" si="12"/>
        <v>100</v>
      </c>
      <c r="T38" s="775" t="s">
        <v>17</v>
      </c>
      <c r="U38" s="776">
        <f t="shared" si="13"/>
        <v>100</v>
      </c>
      <c r="V38" s="775" t="s">
        <v>17</v>
      </c>
      <c r="W38" s="776">
        <f t="shared" si="14"/>
        <v>100</v>
      </c>
      <c r="X38" s="777"/>
      <c r="Y38" s="3201"/>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01"/>
      <c r="Q39" s="1808">
        <f t="shared" si="11"/>
        <v>111</v>
      </c>
      <c r="R39" s="772" t="s">
        <v>17</v>
      </c>
      <c r="S39" s="773">
        <f t="shared" si="12"/>
        <v>100</v>
      </c>
      <c r="T39" s="772" t="s">
        <v>17</v>
      </c>
      <c r="U39" s="773">
        <f t="shared" si="13"/>
        <v>100</v>
      </c>
      <c r="V39" s="772" t="s">
        <v>17</v>
      </c>
      <c r="W39" s="773">
        <f t="shared" si="14"/>
        <v>100</v>
      </c>
      <c r="X39" s="1811"/>
      <c r="Y39" s="3201"/>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1"/>
      <c r="Q40" s="1808">
        <f t="shared" si="11"/>
        <v>111</v>
      </c>
      <c r="R40" s="772" t="s">
        <v>17</v>
      </c>
      <c r="S40" s="773">
        <f t="shared" si="12"/>
        <v>100</v>
      </c>
      <c r="T40" s="772" t="s">
        <v>17</v>
      </c>
      <c r="U40" s="773">
        <f t="shared" si="13"/>
        <v>100</v>
      </c>
      <c r="V40" s="772" t="s">
        <v>17</v>
      </c>
      <c r="W40" s="773">
        <f t="shared" si="14"/>
        <v>100</v>
      </c>
      <c r="X40" s="1811"/>
      <c r="Y40" s="3241"/>
      <c r="Z40" s="1812">
        <f t="shared" si="15"/>
        <v>111</v>
      </c>
      <c r="AA40" s="1809">
        <f t="shared" si="3"/>
        <v>1</v>
      </c>
      <c r="AB40" s="1809">
        <f t="shared" si="4"/>
        <v>1</v>
      </c>
      <c r="AC40" s="1809">
        <f t="shared" si="5"/>
        <v>1</v>
      </c>
    </row>
    <row r="41" spans="1:29" ht="15">
      <c r="A41" s="477" t="s">
        <v>2580</v>
      </c>
      <c r="B41" s="478"/>
      <c r="C41" s="1406" t="s">
        <v>1</v>
      </c>
      <c r="D41" s="1407"/>
      <c r="E41" s="1408"/>
      <c r="F41" s="1409"/>
      <c r="G41" s="1410"/>
      <c r="H41" s="1411"/>
      <c r="I41" s="1408"/>
      <c r="J41" s="1411"/>
      <c r="K41" s="781"/>
      <c r="L41" s="1143"/>
      <c r="M41" s="1144"/>
      <c r="N41" s="1131"/>
      <c r="O41" s="1144"/>
      <c r="P41" s="3183" t="str">
        <f>A41</f>
        <v>成交单价（元/平方米）</v>
      </c>
      <c r="Q41" s="3183"/>
      <c r="R41" s="3237">
        <f>E41</f>
        <v>0</v>
      </c>
      <c r="S41" s="3237"/>
      <c r="T41" s="3237">
        <f>G41</f>
        <v>0</v>
      </c>
      <c r="U41" s="3237"/>
      <c r="V41" s="3237">
        <f>I41</f>
        <v>0</v>
      </c>
      <c r="W41" s="3237"/>
      <c r="X41" s="757"/>
      <c r="Y41" s="779"/>
      <c r="Z41" s="757"/>
      <c r="AA41" s="757"/>
      <c r="AB41" s="757"/>
      <c r="AC41" s="757"/>
    </row>
    <row r="42" spans="1:29" ht="15.75" thickBot="1">
      <c r="A42" s="484" t="s">
        <v>2672</v>
      </c>
      <c r="B42" s="485"/>
      <c r="C42" s="1412" t="e">
        <f>R43</f>
        <v>#DIV/0!</v>
      </c>
      <c r="D42" s="1413"/>
      <c r="E42" s="1414" t="e">
        <f>R42</f>
        <v>#DIV/0!</v>
      </c>
      <c r="F42" s="1414"/>
      <c r="G42" s="1412" t="e">
        <f>T42</f>
        <v>#DIV/0!</v>
      </c>
      <c r="H42" s="1413"/>
      <c r="I42" s="1414" t="e">
        <f>V42</f>
        <v>#DIV/0!</v>
      </c>
      <c r="J42" s="1413"/>
      <c r="K42" s="782"/>
      <c r="L42" s="1143"/>
      <c r="M42" s="1144"/>
      <c r="N42" s="1131"/>
      <c r="O42" s="1144"/>
      <c r="P42" s="3183" t="str">
        <f>A42</f>
        <v>比较价值（元/平方米）</v>
      </c>
      <c r="Q42" s="3183"/>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7"/>
      <c r="Y42" s="757"/>
      <c r="Z42" s="757"/>
      <c r="AA42" s="757"/>
      <c r="AB42" s="757"/>
      <c r="AC42" s="757"/>
    </row>
    <row r="43" spans="1:29" ht="15.75" thickBot="1">
      <c r="A43" s="490" t="s">
        <v>2673</v>
      </c>
      <c r="B43" s="491"/>
      <c r="C43" s="1416" t="e">
        <f>R43</f>
        <v>#DIV/0!</v>
      </c>
      <c r="D43" s="1416"/>
      <c r="E43" s="1416"/>
      <c r="F43" s="1416"/>
      <c r="G43" s="1416"/>
      <c r="H43" s="1416"/>
      <c r="I43" s="1416"/>
      <c r="J43" s="1416"/>
      <c r="K43" s="783"/>
      <c r="L43" s="1143"/>
      <c r="M43" s="1144"/>
      <c r="N43" s="1144"/>
      <c r="O43" s="1144"/>
      <c r="P43" s="3203" t="str">
        <f>A43</f>
        <v>估价对象XX用房的比较价值（楼面单价，元/平方米）</v>
      </c>
      <c r="Q43" s="3204"/>
      <c r="R43" s="3236" t="e">
        <f>IF(F1="售价",ROUND(AVERAGE(R42:V42),0),ROUND(AVERAGE(R42:V42),1))</f>
        <v>#DIV/0!</v>
      </c>
      <c r="S43" s="3236"/>
      <c r="T43" s="3236"/>
      <c r="U43" s="3236"/>
      <c r="V43" s="3236"/>
      <c r="W43" s="3236"/>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1"/>
      <c r="Q51" s="502"/>
    </row>
    <row r="52" spans="1:17" s="506" customFormat="1" ht="15">
      <c r="A52" s="503" t="s">
        <v>2551</v>
      </c>
      <c r="B52" s="504"/>
      <c r="C52" s="1572" t="str">
        <f>YEAR(C7)&amp;"-"&amp;MONTH(C7)</f>
        <v>2018-7</v>
      </c>
      <c r="D52" s="1573">
        <f>EDATE(C52,-1)</f>
        <v>43252</v>
      </c>
      <c r="E52" s="1573">
        <f t="shared" ref="E52:O52" si="16">EDATE(D52,-1)</f>
        <v>43221</v>
      </c>
      <c r="F52" s="1573">
        <f t="shared" si="16"/>
        <v>43191</v>
      </c>
      <c r="G52" s="1573">
        <f t="shared" si="16"/>
        <v>43160</v>
      </c>
      <c r="H52" s="1573">
        <f t="shared" si="16"/>
        <v>43132</v>
      </c>
      <c r="I52" s="1573">
        <f t="shared" si="16"/>
        <v>43101</v>
      </c>
      <c r="J52" s="1573">
        <f t="shared" si="16"/>
        <v>43070</v>
      </c>
      <c r="K52" s="1573">
        <f t="shared" si="16"/>
        <v>43040</v>
      </c>
      <c r="L52" s="1573">
        <f t="shared" si="16"/>
        <v>43009</v>
      </c>
      <c r="M52" s="1573">
        <f t="shared" si="16"/>
        <v>42979</v>
      </c>
      <c r="N52" s="1573">
        <f t="shared" si="16"/>
        <v>42948</v>
      </c>
      <c r="O52" s="1573">
        <f t="shared" si="16"/>
        <v>42917</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2588</v>
      </c>
      <c r="B54" s="514"/>
      <c r="C54" s="515"/>
      <c r="D54" s="516"/>
      <c r="E54" s="516"/>
      <c r="F54" s="516"/>
      <c r="G54" s="516"/>
      <c r="H54" s="516"/>
      <c r="I54" s="516"/>
      <c r="J54" s="516"/>
      <c r="K54" s="516"/>
      <c r="L54" s="516"/>
      <c r="M54" s="517"/>
      <c r="N54" s="516"/>
      <c r="O54" s="518"/>
      <c r="P54" s="502"/>
      <c r="Q54" s="502"/>
    </row>
    <row r="55" spans="1:17" s="115" customFormat="1" ht="15">
      <c r="A55" s="519" t="s">
        <v>2553</v>
      </c>
      <c r="B55" s="508"/>
      <c r="C55" s="520" t="s">
        <v>2655</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2591</v>
      </c>
      <c r="B57" s="526" t="s">
        <v>2557</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1"/>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4"/>
      <c r="B87" s="567"/>
      <c r="C87" s="568"/>
      <c r="D87" s="568"/>
      <c r="E87" s="568"/>
      <c r="F87" s="568"/>
      <c r="G87" s="589"/>
      <c r="H87" s="589"/>
      <c r="I87" s="589"/>
      <c r="J87" s="589"/>
      <c r="K87" s="589"/>
      <c r="L87" s="589"/>
      <c r="M87" s="590"/>
      <c r="N87" s="1153"/>
      <c r="O87" s="1153"/>
      <c r="P87" s="45"/>
      <c r="Q87" s="502"/>
    </row>
    <row r="88" spans="1:17">
      <c r="A88" s="525" t="s">
        <v>2566</v>
      </c>
      <c r="B88" s="526" t="s">
        <v>2615</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2617</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2619</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2621</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2623</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4"/>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0"/>
      <c r="F1" s="2582"/>
      <c r="G1" s="1621" t="s">
        <v>2646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2333</v>
      </c>
      <c r="B2" s="1417" t="e">
        <f ca="1">IF(C2="——",IF(B37="元/平方米",ROUND(C39*D3/10000,0),ROUND(F3*C39/10000,0)),IF(B37="元/平方米",ROUND(C39*D3/10000,0),ROUND(F3*C39/10000,0))-D2)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2335</v>
      </c>
      <c r="B3" s="607" t="e">
        <f ca="1">IF(AND(C2="——",B37="元/平方米"),C39,ROUND(B2*10000/D3,0))</f>
        <v>#DIV/0!</v>
      </c>
      <c r="C3" s="398" t="s">
        <v>2647</v>
      </c>
      <c r="D3" s="397">
        <f>SUMIF('数据-汇总表'!$C19:$C33,D1,'数据-汇总表'!$E19:$E33)</f>
        <v>0</v>
      </c>
      <c r="E3" s="398" t="s">
        <v>2711</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2648</v>
      </c>
      <c r="B4" s="400"/>
      <c r="C4" s="3184" t="s">
        <v>2649</v>
      </c>
      <c r="D4" s="3185"/>
      <c r="E4" s="3186" t="s">
        <v>2650</v>
      </c>
      <c r="F4" s="3187"/>
      <c r="G4" s="3184" t="s">
        <v>2651</v>
      </c>
      <c r="H4" s="3185"/>
      <c r="I4" s="3184" t="s">
        <v>2652</v>
      </c>
      <c r="J4" s="3185"/>
      <c r="K4" s="608" t="s">
        <v>2653</v>
      </c>
      <c r="L4" s="1130"/>
      <c r="M4" s="1131"/>
      <c r="N4" s="1131"/>
      <c r="O4" s="1131"/>
      <c r="P4" s="3188" t="s">
        <v>2654</v>
      </c>
      <c r="Q4" s="3189"/>
      <c r="R4" s="3171" t="s">
        <v>2650</v>
      </c>
      <c r="S4" s="3172"/>
      <c r="T4" s="3171" t="s">
        <v>2651</v>
      </c>
      <c r="U4" s="3172"/>
      <c r="V4" s="3196" t="s">
        <v>2652</v>
      </c>
      <c r="W4" s="3196"/>
      <c r="X4" s="1811"/>
      <c r="Y4" s="3171" t="s">
        <v>2654</v>
      </c>
      <c r="Z4" s="3172"/>
      <c r="AA4" s="3166" t="s">
        <v>2650</v>
      </c>
      <c r="AB4" s="3167" t="s">
        <v>2651</v>
      </c>
      <c r="AC4" s="3166" t="s">
        <v>2652</v>
      </c>
    </row>
    <row r="5" spans="1:29" ht="15">
      <c r="A5" s="402"/>
      <c r="B5" s="403"/>
      <c r="C5" s="3177" t="s">
        <v>2545</v>
      </c>
      <c r="D5" s="3178"/>
      <c r="E5" s="3175" t="s">
        <v>2546</v>
      </c>
      <c r="F5" s="3176"/>
      <c r="G5" s="3177" t="s">
        <v>2547</v>
      </c>
      <c r="H5" s="3178"/>
      <c r="I5" s="3177" t="s">
        <v>2548</v>
      </c>
      <c r="J5" s="3178"/>
      <c r="K5" s="608"/>
      <c r="L5" s="1130"/>
      <c r="M5" s="1131"/>
      <c r="N5" s="1131"/>
      <c r="O5" s="1131"/>
      <c r="P5" s="3190"/>
      <c r="Q5" s="3191"/>
      <c r="R5" s="3173"/>
      <c r="S5" s="3174"/>
      <c r="T5" s="3173"/>
      <c r="U5" s="3174"/>
      <c r="V5" s="3196"/>
      <c r="W5" s="3196"/>
      <c r="X5" s="1811"/>
      <c r="Y5" s="3173"/>
      <c r="Z5" s="3174"/>
      <c r="AA5" s="3167"/>
      <c r="AB5" s="3167"/>
      <c r="AC5" s="3167"/>
    </row>
    <row r="6" spans="1:29" ht="15.75" thickBot="1">
      <c r="A6" s="404"/>
      <c r="B6" s="405"/>
      <c r="C6" s="3179" t="s">
        <v>2549</v>
      </c>
      <c r="D6" s="3180"/>
      <c r="E6" s="3181" t="s">
        <v>2549</v>
      </c>
      <c r="F6" s="3182"/>
      <c r="G6" s="3179" t="s">
        <v>2549</v>
      </c>
      <c r="H6" s="3180"/>
      <c r="I6" s="3179" t="s">
        <v>2549</v>
      </c>
      <c r="J6" s="3180"/>
      <c r="K6" s="608" t="s">
        <v>2550</v>
      </c>
      <c r="L6" s="1130"/>
      <c r="M6" s="1131"/>
      <c r="N6" s="1131"/>
      <c r="O6" s="1131"/>
      <c r="P6" s="3192"/>
      <c r="Q6" s="3193"/>
      <c r="R6" s="3173"/>
      <c r="S6" s="3174"/>
      <c r="T6" s="3194"/>
      <c r="U6" s="3195"/>
      <c r="V6" s="3196"/>
      <c r="W6" s="3196"/>
      <c r="X6" s="1811"/>
      <c r="Y6" s="3194"/>
      <c r="Z6" s="3195"/>
      <c r="AA6" s="3168"/>
      <c r="AB6" s="3168"/>
      <c r="AC6" s="3168"/>
    </row>
    <row r="7" spans="1:29" s="115" customFormat="1" ht="15.75" thickBot="1">
      <c r="A7" s="406" t="s">
        <v>2551</v>
      </c>
      <c r="B7" s="407"/>
      <c r="C7" s="408">
        <f>'数据-取费表'!B2</f>
        <v>43294</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69" t="s">
        <v>2552</v>
      </c>
      <c r="Q7" s="3197"/>
      <c r="R7" s="768" t="s">
        <v>17</v>
      </c>
      <c r="S7" s="769">
        <f t="shared" ref="S7:S14" si="0">F7</f>
        <v>0</v>
      </c>
      <c r="T7" s="768" t="s">
        <v>17</v>
      </c>
      <c r="U7" s="769">
        <f t="shared" ref="U7:U14" si="1">H7</f>
        <v>0</v>
      </c>
      <c r="V7" s="768" t="s">
        <v>17</v>
      </c>
      <c r="W7" s="769">
        <f t="shared" ref="W7:W14" si="2">J7</f>
        <v>0</v>
      </c>
      <c r="X7" s="770"/>
      <c r="Y7" s="3169" t="s">
        <v>2552</v>
      </c>
      <c r="Z7" s="3170"/>
      <c r="AA7" s="771" t="e">
        <f>D7/F7</f>
        <v>#DIV/0!</v>
      </c>
      <c r="AB7" s="771" t="e">
        <f>D7/H7</f>
        <v>#DIV/0!</v>
      </c>
      <c r="AC7" s="771" t="e">
        <f>D7/J7</f>
        <v>#DIV/0!</v>
      </c>
    </row>
    <row r="8" spans="1:29" s="115" customFormat="1" ht="15.75" thickBot="1">
      <c r="A8" s="406" t="s">
        <v>2553</v>
      </c>
      <c r="B8" s="407"/>
      <c r="C8" s="412" t="s">
        <v>2655</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69" t="s">
        <v>2555</v>
      </c>
      <c r="Q8" s="3170"/>
      <c r="R8" s="768" t="s">
        <v>17</v>
      </c>
      <c r="S8" s="769">
        <f t="shared" si="0"/>
        <v>0</v>
      </c>
      <c r="T8" s="768" t="s">
        <v>17</v>
      </c>
      <c r="U8" s="769">
        <f t="shared" si="1"/>
        <v>0</v>
      </c>
      <c r="V8" s="768" t="s">
        <v>17</v>
      </c>
      <c r="W8" s="769">
        <f t="shared" si="2"/>
        <v>0</v>
      </c>
      <c r="X8" s="770"/>
      <c r="Y8" s="3169" t="s">
        <v>2555</v>
      </c>
      <c r="Z8" s="3170"/>
      <c r="AA8" s="771" t="e">
        <f t="shared" ref="AA8:AA36" si="3">D8/F8</f>
        <v>#DIV/0!</v>
      </c>
      <c r="AB8" s="771" t="e">
        <f t="shared" ref="AB8:AB36" si="4">D8/H8</f>
        <v>#DIV/0!</v>
      </c>
      <c r="AC8" s="771" t="e">
        <f t="shared" ref="AC8:AC36" si="5">D8/J8</f>
        <v>#DIV/0!</v>
      </c>
    </row>
    <row r="9" spans="1:29" s="115" customFormat="1">
      <c r="A9" s="68" t="s">
        <v>2556</v>
      </c>
      <c r="B9" s="638" t="s">
        <v>2557</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83" t="s">
        <v>2558</v>
      </c>
      <c r="Q9" s="1793" t="str">
        <f t="shared" ref="Q9:Q14" si="6">B9</f>
        <v>用途</v>
      </c>
      <c r="R9" s="768" t="s">
        <v>17</v>
      </c>
      <c r="S9" s="769">
        <f t="shared" si="0"/>
        <v>100</v>
      </c>
      <c r="T9" s="768" t="s">
        <v>17</v>
      </c>
      <c r="U9" s="769">
        <f t="shared" si="1"/>
        <v>100</v>
      </c>
      <c r="V9" s="768" t="s">
        <v>17</v>
      </c>
      <c r="W9" s="769">
        <f t="shared" si="2"/>
        <v>100</v>
      </c>
      <c r="X9" s="770"/>
      <c r="Y9" s="3043" t="s">
        <v>2559</v>
      </c>
      <c r="Z9" s="55" t="str">
        <f t="shared" ref="Z9:Z14" si="7">Q9</f>
        <v>用途</v>
      </c>
      <c r="AA9" s="771">
        <f t="shared" si="3"/>
        <v>1</v>
      </c>
      <c r="AB9" s="771">
        <f t="shared" si="4"/>
        <v>1</v>
      </c>
      <c r="AC9" s="771">
        <f t="shared" si="5"/>
        <v>1</v>
      </c>
    </row>
    <row r="10" spans="1:29" s="425" customFormat="1" ht="27">
      <c r="A10" s="639"/>
      <c r="B10" s="640" t="s">
        <v>2560</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83"/>
      <c r="Q10" s="1793"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83"/>
      <c r="Q11" s="1793">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83"/>
      <c r="Q12" s="1793">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83"/>
      <c r="Q13" s="1793">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85.5">
      <c r="A14" s="399" t="s">
        <v>2562</v>
      </c>
      <c r="B14" s="627" t="s">
        <v>2712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98" t="s">
        <v>2563</v>
      </c>
      <c r="Q14" s="1808" t="str">
        <f t="shared" si="6"/>
        <v>交通便捷度</v>
      </c>
      <c r="R14" s="772" t="s">
        <v>17</v>
      </c>
      <c r="S14" s="773">
        <f t="shared" si="0"/>
        <v>100</v>
      </c>
      <c r="T14" s="772" t="s">
        <v>17</v>
      </c>
      <c r="U14" s="773">
        <f t="shared" si="1"/>
        <v>100</v>
      </c>
      <c r="V14" s="772" t="s">
        <v>17</v>
      </c>
      <c r="W14" s="773">
        <f t="shared" si="2"/>
        <v>100</v>
      </c>
      <c r="X14" s="1811"/>
      <c r="Y14" s="3198" t="s">
        <v>2563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199"/>
      <c r="Q15" s="1808"/>
      <c r="R15" s="772"/>
      <c r="S15" s="773"/>
      <c r="T15" s="772"/>
      <c r="U15" s="773"/>
      <c r="V15" s="772"/>
      <c r="W15" s="773"/>
      <c r="X15" s="1811"/>
      <c r="Y15" s="3199"/>
      <c r="Z15" s="1812"/>
      <c r="AA15" s="1809">
        <v>1</v>
      </c>
      <c r="AB15" s="1809">
        <v>1</v>
      </c>
      <c r="AC15" s="1809">
        <v>1</v>
      </c>
    </row>
    <row r="16" spans="1:29" ht="42.75">
      <c r="A16" s="402"/>
      <c r="B16" s="629" t="s">
        <v>2691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99"/>
      <c r="Q16" s="1808" t="str">
        <f>B16</f>
        <v>公共配套设施</v>
      </c>
      <c r="R16" s="772" t="s">
        <v>17</v>
      </c>
      <c r="S16" s="773">
        <f>F16</f>
        <v>100</v>
      </c>
      <c r="T16" s="772" t="s">
        <v>17</v>
      </c>
      <c r="U16" s="773">
        <f>H16</f>
        <v>100</v>
      </c>
      <c r="V16" s="772" t="s">
        <v>17</v>
      </c>
      <c r="W16" s="773">
        <f>J16</f>
        <v>100</v>
      </c>
      <c r="X16" s="1811"/>
      <c r="Y16" s="3199"/>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199"/>
      <c r="Q17" s="1808"/>
      <c r="R17" s="772"/>
      <c r="S17" s="773"/>
      <c r="T17" s="772"/>
      <c r="U17" s="773"/>
      <c r="V17" s="772"/>
      <c r="W17" s="773"/>
      <c r="X17" s="1811"/>
      <c r="Y17" s="3199"/>
      <c r="Z17" s="1812"/>
      <c r="AA17" s="1809">
        <v>1</v>
      </c>
      <c r="AB17" s="1809">
        <v>1</v>
      </c>
      <c r="AC17" s="1809">
        <v>1</v>
      </c>
    </row>
    <row r="18" spans="1:29" ht="28.5">
      <c r="A18" s="402"/>
      <c r="B18" s="631" t="s">
        <v>2692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99"/>
      <c r="Q18" s="1808" t="str">
        <f>B18</f>
        <v>基础设施水平</v>
      </c>
      <c r="R18" s="772" t="s">
        <v>17</v>
      </c>
      <c r="S18" s="773">
        <f>F18</f>
        <v>100</v>
      </c>
      <c r="T18" s="772" t="s">
        <v>17</v>
      </c>
      <c r="U18" s="773">
        <f>H18</f>
        <v>100</v>
      </c>
      <c r="V18" s="772" t="s">
        <v>17</v>
      </c>
      <c r="W18" s="773">
        <f>J18</f>
        <v>100</v>
      </c>
      <c r="X18" s="1811"/>
      <c r="Y18" s="3199"/>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199"/>
      <c r="Q19" s="1808"/>
      <c r="R19" s="772"/>
      <c r="S19" s="773"/>
      <c r="T19" s="772"/>
      <c r="U19" s="773"/>
      <c r="V19" s="772"/>
      <c r="W19" s="773"/>
      <c r="X19" s="1811"/>
      <c r="Y19" s="3199"/>
      <c r="Z19" s="1812"/>
      <c r="AA19" s="1809">
        <v>1</v>
      </c>
      <c r="AB19" s="1809">
        <v>1</v>
      </c>
      <c r="AC19" s="1809">
        <v>1</v>
      </c>
    </row>
    <row r="20" spans="1:29" ht="57">
      <c r="A20" s="402"/>
      <c r="B20" s="629" t="s">
        <v>2713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99"/>
      <c r="Q20" s="1808" t="str">
        <f>B20</f>
        <v>自然及人文环境</v>
      </c>
      <c r="R20" s="772" t="s">
        <v>17</v>
      </c>
      <c r="S20" s="773">
        <f>F20</f>
        <v>100</v>
      </c>
      <c r="T20" s="772" t="s">
        <v>17</v>
      </c>
      <c r="U20" s="773">
        <f>H20</f>
        <v>100</v>
      </c>
      <c r="V20" s="772" t="s">
        <v>17</v>
      </c>
      <c r="W20" s="773">
        <f>J20</f>
        <v>100</v>
      </c>
      <c r="X20" s="1811"/>
      <c r="Y20" s="3199"/>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199"/>
      <c r="Q21" s="1808"/>
      <c r="R21" s="772"/>
      <c r="S21" s="773"/>
      <c r="T21" s="772"/>
      <c r="U21" s="773"/>
      <c r="V21" s="772"/>
      <c r="W21" s="773"/>
      <c r="X21" s="1811"/>
      <c r="Y21" s="3199"/>
      <c r="Z21" s="1812"/>
      <c r="AA21" s="1809">
        <v>1</v>
      </c>
      <c r="AB21" s="1809">
        <v>1</v>
      </c>
      <c r="AC21" s="1809">
        <v>1</v>
      </c>
    </row>
    <row r="22" spans="1:29" ht="15">
      <c r="A22" s="402"/>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99"/>
      <c r="Q22" s="1808" t="str">
        <f>B22</f>
        <v>楼层</v>
      </c>
      <c r="R22" s="772" t="s">
        <v>17</v>
      </c>
      <c r="S22" s="773">
        <f>F22</f>
        <v>100</v>
      </c>
      <c r="T22" s="772" t="s">
        <v>17</v>
      </c>
      <c r="U22" s="773">
        <f>H22</f>
        <v>100</v>
      </c>
      <c r="V22" s="772" t="s">
        <v>17</v>
      </c>
      <c r="W22" s="773">
        <f>J22</f>
        <v>100</v>
      </c>
      <c r="X22" s="1811"/>
      <c r="Y22" s="3199"/>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99"/>
      <c r="Q23" s="1808">
        <f>B23</f>
        <v>111</v>
      </c>
      <c r="R23" s="772" t="s">
        <v>17</v>
      </c>
      <c r="S23" s="773">
        <f>F23</f>
        <v>100</v>
      </c>
      <c r="T23" s="772" t="s">
        <v>17</v>
      </c>
      <c r="U23" s="773">
        <f>H23</f>
        <v>100</v>
      </c>
      <c r="V23" s="772" t="s">
        <v>17</v>
      </c>
      <c r="W23" s="773">
        <f>J23</f>
        <v>100</v>
      </c>
      <c r="X23" s="1811"/>
      <c r="Y23" s="3199"/>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99"/>
      <c r="Q24" s="1808">
        <f t="shared" ref="Q24:Q36" si="11">B24</f>
        <v>111</v>
      </c>
      <c r="R24" s="772" t="s">
        <v>17</v>
      </c>
      <c r="S24" s="773">
        <f>F24</f>
        <v>100</v>
      </c>
      <c r="T24" s="772" t="s">
        <v>17</v>
      </c>
      <c r="U24" s="773">
        <f>H24</f>
        <v>100</v>
      </c>
      <c r="V24" s="772" t="s">
        <v>17</v>
      </c>
      <c r="W24" s="773">
        <f>J24</f>
        <v>100</v>
      </c>
      <c r="X24" s="1811"/>
      <c r="Y24" s="3199"/>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99"/>
      <c r="Q25" s="1793">
        <f t="shared" si="11"/>
        <v>111</v>
      </c>
      <c r="R25" s="768" t="s">
        <v>17</v>
      </c>
      <c r="S25" s="769">
        <f>F25</f>
        <v>100</v>
      </c>
      <c r="T25" s="768" t="s">
        <v>17</v>
      </c>
      <c r="U25" s="769">
        <f>H25</f>
        <v>100</v>
      </c>
      <c r="V25" s="768" t="s">
        <v>17</v>
      </c>
      <c r="W25" s="769">
        <f>J25</f>
        <v>100</v>
      </c>
      <c r="X25" s="770"/>
      <c r="Y25" s="3199"/>
      <c r="Z25" s="55">
        <f>Q25</f>
        <v>111</v>
      </c>
      <c r="AA25" s="1809">
        <f>D25/F25</f>
        <v>1</v>
      </c>
      <c r="AB25" s="1809">
        <f>D25/H25</f>
        <v>1</v>
      </c>
      <c r="AC25" s="1809">
        <f>D25/J25</f>
        <v>1</v>
      </c>
    </row>
    <row r="26" spans="1:29" ht="15">
      <c r="A26" s="650" t="s">
        <v>2566</v>
      </c>
      <c r="B26" s="70" t="s">
        <v>2715</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00" t="s">
        <v>2568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1" t="s">
        <v>2568</v>
      </c>
      <c r="Z26" s="1812" t="str">
        <f t="shared" ref="Z26:Z36" si="15">Q26</f>
        <v>配套类型</v>
      </c>
      <c r="AA26" s="1809">
        <f t="shared" si="3"/>
        <v>1</v>
      </c>
      <c r="AB26" s="1809">
        <f t="shared" si="4"/>
        <v>1</v>
      </c>
      <c r="AC26" s="1809">
        <f t="shared" si="5"/>
        <v>1</v>
      </c>
    </row>
    <row r="27" spans="1:29" s="469" customFormat="1" ht="15">
      <c r="A27" s="651"/>
      <c r="B27" s="652" t="s">
        <v>2716</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01"/>
      <c r="Q27" s="774" t="str">
        <f t="shared" si="11"/>
        <v>项目停车位配比</v>
      </c>
      <c r="R27" s="775" t="s">
        <v>17</v>
      </c>
      <c r="S27" s="776">
        <f t="shared" si="12"/>
        <v>100</v>
      </c>
      <c r="T27" s="775" t="s">
        <v>17</v>
      </c>
      <c r="U27" s="776">
        <f t="shared" si="13"/>
        <v>100</v>
      </c>
      <c r="V27" s="775" t="s">
        <v>17</v>
      </c>
      <c r="W27" s="776">
        <f t="shared" si="14"/>
        <v>100</v>
      </c>
      <c r="X27" s="777"/>
      <c r="Y27" s="3201"/>
      <c r="Z27" s="778" t="str">
        <f t="shared" si="15"/>
        <v>项目停车位配比</v>
      </c>
      <c r="AA27" s="1809">
        <f t="shared" si="3"/>
        <v>1</v>
      </c>
      <c r="AB27" s="1809">
        <f t="shared" si="4"/>
        <v>1</v>
      </c>
      <c r="AC27" s="1809">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01"/>
      <c r="Q28" s="1808" t="str">
        <f t="shared" si="11"/>
        <v>公共部分装修</v>
      </c>
      <c r="R28" s="772" t="s">
        <v>17</v>
      </c>
      <c r="S28" s="773">
        <f t="shared" si="12"/>
        <v>100</v>
      </c>
      <c r="T28" s="772" t="s">
        <v>17</v>
      </c>
      <c r="U28" s="773">
        <f t="shared" si="13"/>
        <v>100</v>
      </c>
      <c r="V28" s="772" t="s">
        <v>17</v>
      </c>
      <c r="W28" s="773">
        <f t="shared" si="14"/>
        <v>100</v>
      </c>
      <c r="X28" s="1811"/>
      <c r="Y28" s="3201"/>
      <c r="Z28" s="1812" t="str">
        <f t="shared" si="15"/>
        <v>公共部分装修</v>
      </c>
      <c r="AA28" s="1809">
        <f t="shared" si="3"/>
        <v>1</v>
      </c>
      <c r="AB28" s="1809">
        <f t="shared" si="4"/>
        <v>1</v>
      </c>
      <c r="AC28" s="1809">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01"/>
      <c r="Q29" s="1808" t="str">
        <f t="shared" si="11"/>
        <v>成新率</v>
      </c>
      <c r="R29" s="772" t="s">
        <v>17</v>
      </c>
      <c r="S29" s="773" t="e">
        <f t="shared" si="12"/>
        <v>#N/A</v>
      </c>
      <c r="T29" s="772" t="s">
        <v>17</v>
      </c>
      <c r="U29" s="773" t="e">
        <f t="shared" si="13"/>
        <v>#N/A</v>
      </c>
      <c r="V29" s="772" t="s">
        <v>17</v>
      </c>
      <c r="W29" s="773" t="e">
        <f t="shared" si="14"/>
        <v>#N/A</v>
      </c>
      <c r="X29" s="1811"/>
      <c r="Y29" s="3201"/>
      <c r="Z29" s="1812" t="str">
        <f t="shared" si="15"/>
        <v>成新率</v>
      </c>
      <c r="AA29" s="1809" t="e">
        <f t="shared" si="3"/>
        <v>#N/A</v>
      </c>
      <c r="AB29" s="1809" t="e">
        <f t="shared" si="4"/>
        <v>#N/A</v>
      </c>
      <c r="AC29" s="1809"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01"/>
      <c r="Q30" s="1808" t="str">
        <f t="shared" si="11"/>
        <v>物业等级</v>
      </c>
      <c r="R30" s="772" t="s">
        <v>17</v>
      </c>
      <c r="S30" s="773">
        <f t="shared" si="12"/>
        <v>100</v>
      </c>
      <c r="T30" s="772" t="s">
        <v>17</v>
      </c>
      <c r="U30" s="773">
        <f t="shared" si="13"/>
        <v>100</v>
      </c>
      <c r="V30" s="772" t="s">
        <v>17</v>
      </c>
      <c r="W30" s="773">
        <f t="shared" si="14"/>
        <v>100</v>
      </c>
      <c r="X30" s="1811"/>
      <c r="Y30" s="3201"/>
      <c r="Z30" s="1812" t="str">
        <f t="shared" si="15"/>
        <v>物业等级</v>
      </c>
      <c r="AA30" s="1809">
        <f t="shared" si="3"/>
        <v>1</v>
      </c>
      <c r="AB30" s="1809">
        <f t="shared" si="4"/>
        <v>1</v>
      </c>
      <c r="AC30" s="1809">
        <f t="shared" si="5"/>
        <v>1</v>
      </c>
    </row>
    <row r="31" spans="1:29" s="115" customFormat="1" ht="15">
      <c r="A31" s="656"/>
      <c r="B31" s="652" t="s">
        <v>2720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01"/>
      <c r="Q31" s="1793" t="str">
        <f t="shared" si="11"/>
        <v>停车位面积</v>
      </c>
      <c r="R31" s="768" t="s">
        <v>17</v>
      </c>
      <c r="S31" s="769" t="e">
        <f t="shared" si="12"/>
        <v>#N/A</v>
      </c>
      <c r="T31" s="768" t="s">
        <v>17</v>
      </c>
      <c r="U31" s="769" t="e">
        <f t="shared" si="13"/>
        <v>#N/A</v>
      </c>
      <c r="V31" s="768" t="s">
        <v>17</v>
      </c>
      <c r="W31" s="769" t="e">
        <f t="shared" si="14"/>
        <v>#N/A</v>
      </c>
      <c r="X31" s="770"/>
      <c r="Y31" s="3201"/>
      <c r="Z31" s="55" t="str">
        <f t="shared" si="15"/>
        <v>停车位面积</v>
      </c>
      <c r="AA31" s="771" t="e">
        <f t="shared" si="3"/>
        <v>#N/A</v>
      </c>
      <c r="AB31" s="771" t="e">
        <f t="shared" si="4"/>
        <v>#N/A</v>
      </c>
      <c r="AC31" s="771"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01" t="s">
        <v>2568</v>
      </c>
      <c r="Q32" s="1808" t="str">
        <f t="shared" si="11"/>
        <v>车位类型</v>
      </c>
      <c r="R32" s="772" t="s">
        <v>17</v>
      </c>
      <c r="S32" s="773">
        <f t="shared" si="12"/>
        <v>100</v>
      </c>
      <c r="T32" s="772" t="s">
        <v>17</v>
      </c>
      <c r="U32" s="773">
        <f t="shared" si="13"/>
        <v>100</v>
      </c>
      <c r="V32" s="772" t="s">
        <v>17</v>
      </c>
      <c r="W32" s="773">
        <f t="shared" si="14"/>
        <v>100</v>
      </c>
      <c r="X32" s="1811"/>
      <c r="Y32" s="3201" t="s">
        <v>2568</v>
      </c>
      <c r="Z32" s="1812" t="str">
        <f t="shared" si="15"/>
        <v>车位类型</v>
      </c>
      <c r="AA32" s="1809">
        <f t="shared" si="3"/>
        <v>1</v>
      </c>
      <c r="AB32" s="1809">
        <f t="shared" si="4"/>
        <v>1</v>
      </c>
      <c r="AC32" s="1809">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01"/>
      <c r="Q33" s="1808" t="str">
        <f t="shared" si="11"/>
        <v>是否直接入户</v>
      </c>
      <c r="R33" s="772" t="s">
        <v>17</v>
      </c>
      <c r="S33" s="773">
        <f t="shared" si="12"/>
        <v>100</v>
      </c>
      <c r="T33" s="772" t="s">
        <v>17</v>
      </c>
      <c r="U33" s="773">
        <f t="shared" si="13"/>
        <v>100</v>
      </c>
      <c r="V33" s="772" t="s">
        <v>17</v>
      </c>
      <c r="W33" s="773">
        <f t="shared" si="14"/>
        <v>100</v>
      </c>
      <c r="X33" s="1811"/>
      <c r="Y33" s="3201"/>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01"/>
      <c r="Q34" s="1808">
        <f t="shared" si="11"/>
        <v>111</v>
      </c>
      <c r="R34" s="772" t="s">
        <v>17</v>
      </c>
      <c r="S34" s="773">
        <f t="shared" si="12"/>
        <v>100</v>
      </c>
      <c r="T34" s="772" t="s">
        <v>17</v>
      </c>
      <c r="U34" s="773">
        <f t="shared" si="13"/>
        <v>100</v>
      </c>
      <c r="V34" s="772" t="s">
        <v>17</v>
      </c>
      <c r="W34" s="773">
        <f t="shared" si="14"/>
        <v>100</v>
      </c>
      <c r="X34" s="1811"/>
      <c r="Y34" s="3201"/>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01"/>
      <c r="Q35" s="774">
        <f t="shared" si="11"/>
        <v>111</v>
      </c>
      <c r="R35" s="775" t="s">
        <v>17</v>
      </c>
      <c r="S35" s="776">
        <f t="shared" si="12"/>
        <v>100</v>
      </c>
      <c r="T35" s="775" t="s">
        <v>17</v>
      </c>
      <c r="U35" s="776">
        <f t="shared" si="13"/>
        <v>100</v>
      </c>
      <c r="V35" s="775" t="s">
        <v>17</v>
      </c>
      <c r="W35" s="776">
        <f t="shared" si="14"/>
        <v>100</v>
      </c>
      <c r="X35" s="777"/>
      <c r="Y35" s="3201"/>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01"/>
      <c r="Q36" s="1808">
        <f t="shared" si="11"/>
        <v>111</v>
      </c>
      <c r="R36" s="772" t="s">
        <v>17</v>
      </c>
      <c r="S36" s="773">
        <f t="shared" si="12"/>
        <v>100</v>
      </c>
      <c r="T36" s="772" t="s">
        <v>17</v>
      </c>
      <c r="U36" s="773">
        <f t="shared" si="13"/>
        <v>100</v>
      </c>
      <c r="V36" s="772" t="s">
        <v>17</v>
      </c>
      <c r="W36" s="773">
        <f t="shared" si="14"/>
        <v>100</v>
      </c>
      <c r="X36" s="1811"/>
      <c r="Y36" s="3201"/>
      <c r="Z36" s="1812">
        <f t="shared" si="15"/>
        <v>111</v>
      </c>
      <c r="AA36" s="1809">
        <f t="shared" si="3"/>
        <v>1</v>
      </c>
      <c r="AB36" s="1809">
        <f t="shared" si="4"/>
        <v>1</v>
      </c>
      <c r="AC36" s="1809">
        <f t="shared" si="5"/>
        <v>1</v>
      </c>
    </row>
    <row r="37" spans="1:29" ht="15">
      <c r="A37" s="477" t="s">
        <v>2723</v>
      </c>
      <c r="B37" s="2693" t="s">
        <v>2724</v>
      </c>
      <c r="C37" s="1406" t="s">
        <v>1</v>
      </c>
      <c r="D37" s="1407"/>
      <c r="E37" s="1408"/>
      <c r="F37" s="1409"/>
      <c r="G37" s="1410"/>
      <c r="H37" s="1411"/>
      <c r="I37" s="1408"/>
      <c r="J37" s="1411"/>
      <c r="K37" s="617"/>
      <c r="L37" s="1143"/>
      <c r="M37" s="1144"/>
      <c r="N37" s="1131"/>
      <c r="O37" s="1144"/>
      <c r="P37" s="3183" t="str">
        <f>A37</f>
        <v>成交单价</v>
      </c>
      <c r="Q37" s="3183"/>
      <c r="R37" s="3237">
        <f>E37</f>
        <v>0</v>
      </c>
      <c r="S37" s="3237"/>
      <c r="T37" s="3237">
        <f>G37</f>
        <v>0</v>
      </c>
      <c r="U37" s="3237"/>
      <c r="V37" s="3237">
        <f>I37</f>
        <v>0</v>
      </c>
      <c r="W37" s="3237"/>
      <c r="X37" s="757"/>
      <c r="Y37" s="779"/>
      <c r="Z37" s="757"/>
      <c r="AA37" s="757"/>
      <c r="AB37" s="757"/>
      <c r="AC37" s="757"/>
    </row>
    <row r="38" spans="1:29" ht="15.75" thickBot="1">
      <c r="A38" s="484" t="s">
        <v>2725</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83" t="str">
        <f>A38</f>
        <v>比较价值（元/平方米）</v>
      </c>
      <c r="Q38" s="3183"/>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7"/>
      <c r="Y38" s="757"/>
      <c r="Z38" s="757"/>
      <c r="AA38" s="757"/>
      <c r="AB38" s="757"/>
      <c r="AC38" s="757"/>
    </row>
    <row r="39" spans="1:29" ht="15.75" thickBot="1">
      <c r="A39" s="490" t="s">
        <v>2726</v>
      </c>
      <c r="B39" s="491"/>
      <c r="C39" s="1416" t="e">
        <f>R39</f>
        <v>#DIV/0!</v>
      </c>
      <c r="D39" s="1416"/>
      <c r="E39" s="1416"/>
      <c r="F39" s="1416"/>
      <c r="G39" s="1416"/>
      <c r="H39" s="1416"/>
      <c r="I39" s="1416"/>
      <c r="J39" s="1416"/>
      <c r="K39" s="619"/>
      <c r="L39" s="1143"/>
      <c r="M39" s="1144"/>
      <c r="N39" s="1144"/>
      <c r="O39" s="1144"/>
      <c r="P39" s="3203" t="str">
        <f>A39</f>
        <v>估价对象XX用房的比较价值（楼面单价，元/平方米）</v>
      </c>
      <c r="Q39" s="3204"/>
      <c r="R39" s="3236" t="e">
        <f>IF(F1="售价",ROUND(AVERAGE(R38:V38),0),ROUND(AVERAGE(R38:V38),1))</f>
        <v>#DIV/0!</v>
      </c>
      <c r="S39" s="3236"/>
      <c r="T39" s="3236"/>
      <c r="U39" s="3236"/>
      <c r="V39" s="3236"/>
      <c r="W39" s="3236"/>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2731</v>
      </c>
      <c r="B48" s="504"/>
      <c r="C48" s="1572" t="str">
        <f>YEAR(C7)&amp;"-"&amp;MONTH(C7)</f>
        <v>2018-7</v>
      </c>
      <c r="D48" s="1573">
        <f>EDATE(C48,-1)</f>
        <v>43252</v>
      </c>
      <c r="E48" s="1573">
        <f t="shared" ref="E48:O48" si="16">EDATE(D48,-1)</f>
        <v>43221</v>
      </c>
      <c r="F48" s="1573">
        <f t="shared" si="16"/>
        <v>43191</v>
      </c>
      <c r="G48" s="1573">
        <f t="shared" si="16"/>
        <v>43160</v>
      </c>
      <c r="H48" s="1573">
        <f t="shared" si="16"/>
        <v>43132</v>
      </c>
      <c r="I48" s="1573">
        <f t="shared" si="16"/>
        <v>43101</v>
      </c>
      <c r="J48" s="1573">
        <f t="shared" si="16"/>
        <v>43070</v>
      </c>
      <c r="K48" s="1573">
        <f t="shared" si="16"/>
        <v>43040</v>
      </c>
      <c r="L48" s="1573">
        <f t="shared" si="16"/>
        <v>43009</v>
      </c>
      <c r="M48" s="1573">
        <f t="shared" si="16"/>
        <v>42979</v>
      </c>
      <c r="N48" s="1573">
        <f t="shared" si="16"/>
        <v>42948</v>
      </c>
      <c r="O48" s="1573">
        <f t="shared" si="16"/>
        <v>42917</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2553</v>
      </c>
      <c r="B51" s="508"/>
      <c r="C51" s="520" t="s">
        <v>2655</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2591</v>
      </c>
      <c r="B53" s="526" t="s">
        <v>2557</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2606</v>
      </c>
      <c r="C65" s="576" t="s">
        <v>2600</v>
      </c>
      <c r="D65" s="576" t="s">
        <v>2601</v>
      </c>
      <c r="E65" s="576" t="s">
        <v>2602</v>
      </c>
      <c r="F65" s="576" t="s">
        <v>2603</v>
      </c>
      <c r="G65" s="576" t="s">
        <v>2604</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2692</v>
      </c>
      <c r="C67" s="658" t="s">
        <v>2678</v>
      </c>
      <c r="D67" s="658" t="s">
        <v>2679</v>
      </c>
      <c r="E67" s="658" t="s">
        <v>2680</v>
      </c>
      <c r="F67" s="658" t="s">
        <v>2681</v>
      </c>
      <c r="G67" s="658" t="s">
        <v>2682</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2612</v>
      </c>
      <c r="C69" s="576" t="s">
        <v>2600</v>
      </c>
      <c r="D69" s="576" t="s">
        <v>2601</v>
      </c>
      <c r="E69" s="576" t="s">
        <v>2602</v>
      </c>
      <c r="F69" s="576" t="s">
        <v>2603</v>
      </c>
      <c r="G69" s="576" t="s">
        <v>2604</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2732</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2566</v>
      </c>
      <c r="B79" s="526" t="s">
        <v>2733</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2734</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2619</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2736</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2738</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2739</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IF(C2="——",ROUND(C37*D3/10000,0),ROUND(C37*D3/10000,0)-D2)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IF(C2="——",C37,ROUND(B2*10000/D3,0))</f>
        <v>#DIV/0!</v>
      </c>
      <c r="C3" s="398" t="s">
        <v>2647</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4" t="s">
        <v>2649</v>
      </c>
      <c r="D4" s="3185"/>
      <c r="E4" s="3186" t="s">
        <v>2650</v>
      </c>
      <c r="F4" s="3187"/>
      <c r="G4" s="3184" t="s">
        <v>2651</v>
      </c>
      <c r="H4" s="3185"/>
      <c r="I4" s="3184" t="s">
        <v>2652</v>
      </c>
      <c r="J4" s="3185"/>
      <c r="K4" s="608" t="s">
        <v>2653</v>
      </c>
      <c r="L4" s="1130"/>
      <c r="M4" s="1131"/>
      <c r="N4" s="1131"/>
      <c r="O4" s="1131"/>
      <c r="P4" s="3188" t="s">
        <v>2654</v>
      </c>
      <c r="Q4" s="3189"/>
      <c r="R4" s="3171" t="s">
        <v>2650</v>
      </c>
      <c r="S4" s="3172"/>
      <c r="T4" s="3171" t="s">
        <v>2651</v>
      </c>
      <c r="U4" s="3172"/>
      <c r="V4" s="3196" t="s">
        <v>2652</v>
      </c>
      <c r="W4" s="3196"/>
      <c r="X4" s="1811"/>
      <c r="Y4" s="3171" t="s">
        <v>2654</v>
      </c>
      <c r="Z4" s="3172"/>
      <c r="AA4" s="3166" t="s">
        <v>2650</v>
      </c>
      <c r="AB4" s="3167" t="s">
        <v>2651</v>
      </c>
      <c r="AC4" s="3166" t="s">
        <v>2652</v>
      </c>
    </row>
    <row r="5" spans="1:29" ht="15">
      <c r="A5" s="402"/>
      <c r="B5" s="403"/>
      <c r="C5" s="3177" t="s">
        <v>2545</v>
      </c>
      <c r="D5" s="3178"/>
      <c r="E5" s="3175" t="s">
        <v>2546</v>
      </c>
      <c r="F5" s="3176"/>
      <c r="G5" s="3177" t="s">
        <v>2547</v>
      </c>
      <c r="H5" s="3178"/>
      <c r="I5" s="3177" t="s">
        <v>2548</v>
      </c>
      <c r="J5" s="3178"/>
      <c r="K5" s="608"/>
      <c r="L5" s="1130"/>
      <c r="M5" s="1131"/>
      <c r="N5" s="1131"/>
      <c r="O5" s="1131"/>
      <c r="P5" s="3190"/>
      <c r="Q5" s="3191"/>
      <c r="R5" s="3173"/>
      <c r="S5" s="3174"/>
      <c r="T5" s="3173"/>
      <c r="U5" s="3174"/>
      <c r="V5" s="3196"/>
      <c r="W5" s="3196"/>
      <c r="X5" s="1811"/>
      <c r="Y5" s="3173"/>
      <c r="Z5" s="3174"/>
      <c r="AA5" s="3167"/>
      <c r="AB5" s="3167"/>
      <c r="AC5" s="3167"/>
    </row>
    <row r="6" spans="1:29" ht="15.75" thickBot="1">
      <c r="A6" s="404"/>
      <c r="B6" s="405"/>
      <c r="C6" s="3179" t="s">
        <v>2549</v>
      </c>
      <c r="D6" s="3180"/>
      <c r="E6" s="3181" t="s">
        <v>2549</v>
      </c>
      <c r="F6" s="3182"/>
      <c r="G6" s="3179" t="s">
        <v>2549</v>
      </c>
      <c r="H6" s="3180"/>
      <c r="I6" s="3179" t="s">
        <v>2549</v>
      </c>
      <c r="J6" s="3180"/>
      <c r="K6" s="608" t="s">
        <v>2550</v>
      </c>
      <c r="L6" s="1130"/>
      <c r="M6" s="1131"/>
      <c r="N6" s="1131"/>
      <c r="O6" s="1131"/>
      <c r="P6" s="3192"/>
      <c r="Q6" s="3193"/>
      <c r="R6" s="3173"/>
      <c r="S6" s="3174"/>
      <c r="T6" s="3194"/>
      <c r="U6" s="3195"/>
      <c r="V6" s="3196"/>
      <c r="W6" s="3196"/>
      <c r="X6" s="1811"/>
      <c r="Y6" s="3194"/>
      <c r="Z6" s="3195"/>
      <c r="AA6" s="3168"/>
      <c r="AB6" s="3168"/>
      <c r="AC6" s="3168"/>
    </row>
    <row r="7" spans="1:29" s="115" customFormat="1" ht="15.75" thickBot="1">
      <c r="A7" s="406" t="s">
        <v>2551</v>
      </c>
      <c r="B7" s="407"/>
      <c r="C7" s="408">
        <f>'数据-取费表'!B2</f>
        <v>43294</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169" t="s">
        <v>2552</v>
      </c>
      <c r="Q7" s="3197"/>
      <c r="R7" s="768" t="s">
        <v>17</v>
      </c>
      <c r="S7" s="769">
        <f t="shared" ref="S7:S14" si="0">F7</f>
        <v>0</v>
      </c>
      <c r="T7" s="768" t="s">
        <v>17</v>
      </c>
      <c r="U7" s="769">
        <f t="shared" ref="U7:U14" si="1">H7</f>
        <v>0</v>
      </c>
      <c r="V7" s="768" t="s">
        <v>17</v>
      </c>
      <c r="W7" s="769">
        <f t="shared" ref="W7:W14" si="2">J7</f>
        <v>0</v>
      </c>
      <c r="X7" s="770"/>
      <c r="Y7" s="3169" t="s">
        <v>2552</v>
      </c>
      <c r="Z7" s="3170"/>
      <c r="AA7" s="771" t="e">
        <f>D7/F7</f>
        <v>#DIV/0!</v>
      </c>
      <c r="AB7" s="771" t="e">
        <f>D7/H7</f>
        <v>#DIV/0!</v>
      </c>
      <c r="AC7" s="771" t="e">
        <f>D7/J7</f>
        <v>#DIV/0!</v>
      </c>
    </row>
    <row r="8" spans="1:29" s="115" customFormat="1" ht="15.75" thickBot="1">
      <c r="A8" s="406" t="s">
        <v>2553</v>
      </c>
      <c r="B8" s="407"/>
      <c r="C8" s="412" t="s">
        <v>2655</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69" t="s">
        <v>2555</v>
      </c>
      <c r="Q8" s="3170"/>
      <c r="R8" s="768" t="s">
        <v>17</v>
      </c>
      <c r="S8" s="769">
        <f t="shared" si="0"/>
        <v>0</v>
      </c>
      <c r="T8" s="768" t="s">
        <v>17</v>
      </c>
      <c r="U8" s="769">
        <f t="shared" si="1"/>
        <v>0</v>
      </c>
      <c r="V8" s="768" t="s">
        <v>17</v>
      </c>
      <c r="W8" s="769">
        <f t="shared" si="2"/>
        <v>0</v>
      </c>
      <c r="X8" s="770"/>
      <c r="Y8" s="3169" t="s">
        <v>2555</v>
      </c>
      <c r="Z8" s="3170"/>
      <c r="AA8" s="771" t="e">
        <f t="shared" ref="AA8:AA34" si="3">D8/F8</f>
        <v>#DIV/0!</v>
      </c>
      <c r="AB8" s="771" t="e">
        <f t="shared" ref="AB8:AB34" si="4">D8/H8</f>
        <v>#DIV/0!</v>
      </c>
      <c r="AC8" s="771" t="e">
        <f t="shared" ref="AC8:AC34" si="5">D8/J8</f>
        <v>#DIV/0!</v>
      </c>
    </row>
    <row r="9" spans="1:29" s="115" customFormat="1">
      <c r="A9" s="413" t="s">
        <v>2556</v>
      </c>
      <c r="B9" s="71" t="s">
        <v>2557</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83" t="s">
        <v>2558</v>
      </c>
      <c r="Q9" s="1793" t="str">
        <f t="shared" ref="Q9:Q14" si="6">B9</f>
        <v>用途</v>
      </c>
      <c r="R9" s="768" t="s">
        <v>17</v>
      </c>
      <c r="S9" s="769">
        <f t="shared" si="0"/>
        <v>100</v>
      </c>
      <c r="T9" s="768" t="s">
        <v>17</v>
      </c>
      <c r="U9" s="769">
        <f t="shared" si="1"/>
        <v>100</v>
      </c>
      <c r="V9" s="768" t="s">
        <v>17</v>
      </c>
      <c r="W9" s="769">
        <f t="shared" si="2"/>
        <v>100</v>
      </c>
      <c r="X9" s="770"/>
      <c r="Y9" s="3043" t="s">
        <v>2559</v>
      </c>
      <c r="Z9" s="55" t="str">
        <f t="shared" ref="Z9:Z14" si="7">Q9</f>
        <v>用途</v>
      </c>
      <c r="AA9" s="771">
        <f t="shared" si="3"/>
        <v>1</v>
      </c>
      <c r="AB9" s="771">
        <f t="shared" si="4"/>
        <v>1</v>
      </c>
      <c r="AC9" s="771">
        <f t="shared" si="5"/>
        <v>1</v>
      </c>
    </row>
    <row r="10" spans="1:29" s="425" customFormat="1" ht="27">
      <c r="A10" s="419"/>
      <c r="B10" s="420" t="s">
        <v>2560</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83"/>
      <c r="Q10" s="1793" t="str">
        <f t="shared" si="6"/>
        <v>土地使用年限（年）</v>
      </c>
      <c r="R10" s="768" t="s">
        <v>17</v>
      </c>
      <c r="S10" s="769">
        <f t="shared" si="0"/>
        <v>100</v>
      </c>
      <c r="T10" s="768" t="s">
        <v>17</v>
      </c>
      <c r="U10" s="769">
        <f t="shared" si="1"/>
        <v>100</v>
      </c>
      <c r="V10" s="768" t="s">
        <v>17</v>
      </c>
      <c r="W10" s="769">
        <f t="shared" si="2"/>
        <v>100</v>
      </c>
      <c r="X10" s="770"/>
      <c r="Y10" s="3043"/>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83"/>
      <c r="Q11" s="1793">
        <f t="shared" si="6"/>
        <v>111</v>
      </c>
      <c r="R11" s="768" t="s">
        <v>17</v>
      </c>
      <c r="S11" s="769">
        <f t="shared" si="0"/>
        <v>100</v>
      </c>
      <c r="T11" s="768" t="s">
        <v>17</v>
      </c>
      <c r="U11" s="769">
        <f t="shared" si="1"/>
        <v>100</v>
      </c>
      <c r="V11" s="768" t="s">
        <v>17</v>
      </c>
      <c r="W11" s="769">
        <f t="shared" si="2"/>
        <v>100</v>
      </c>
      <c r="X11" s="770"/>
      <c r="Y11" s="3043"/>
      <c r="Z11" s="55">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83"/>
      <c r="Q12" s="1793">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83"/>
      <c r="Q13" s="1793">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85.5">
      <c r="A14" s="438" t="s">
        <v>2562</v>
      </c>
      <c r="B14" s="69" t="s">
        <v>2712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98" t="s">
        <v>2563</v>
      </c>
      <c r="Q14" s="1808" t="str">
        <f t="shared" si="6"/>
        <v>交通便捷度</v>
      </c>
      <c r="R14" s="772" t="s">
        <v>17</v>
      </c>
      <c r="S14" s="773">
        <f t="shared" si="0"/>
        <v>100</v>
      </c>
      <c r="T14" s="772" t="s">
        <v>17</v>
      </c>
      <c r="U14" s="773">
        <f t="shared" si="1"/>
        <v>100</v>
      </c>
      <c r="V14" s="772" t="s">
        <v>17</v>
      </c>
      <c r="W14" s="773">
        <f t="shared" si="2"/>
        <v>100</v>
      </c>
      <c r="X14" s="1811"/>
      <c r="Y14" s="3198" t="s">
        <v>2563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199"/>
      <c r="Q15" s="1808"/>
      <c r="R15" s="772"/>
      <c r="S15" s="773"/>
      <c r="T15" s="772"/>
      <c r="U15" s="773"/>
      <c r="V15" s="772"/>
      <c r="W15" s="773"/>
      <c r="X15" s="1811"/>
      <c r="Y15" s="3199"/>
      <c r="Z15" s="1812"/>
      <c r="AA15" s="1809">
        <v>1</v>
      </c>
      <c r="AB15" s="1809">
        <v>1</v>
      </c>
      <c r="AC15" s="1809">
        <v>1</v>
      </c>
    </row>
    <row r="16" spans="1:29" ht="42.75">
      <c r="A16" s="426"/>
      <c r="B16" s="449" t="s">
        <v>2691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99"/>
      <c r="Q16" s="1808" t="str">
        <f>B16</f>
        <v>公共配套设施</v>
      </c>
      <c r="R16" s="772" t="s">
        <v>17</v>
      </c>
      <c r="S16" s="773">
        <f>F16</f>
        <v>100</v>
      </c>
      <c r="T16" s="772" t="s">
        <v>17</v>
      </c>
      <c r="U16" s="773">
        <f>H16</f>
        <v>100</v>
      </c>
      <c r="V16" s="772" t="s">
        <v>17</v>
      </c>
      <c r="W16" s="773">
        <f>J16</f>
        <v>100</v>
      </c>
      <c r="X16" s="1811"/>
      <c r="Y16" s="3199"/>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199"/>
      <c r="Q17" s="1808"/>
      <c r="R17" s="772"/>
      <c r="S17" s="773"/>
      <c r="T17" s="772"/>
      <c r="U17" s="773"/>
      <c r="V17" s="772"/>
      <c r="W17" s="773"/>
      <c r="X17" s="1811"/>
      <c r="Y17" s="3199"/>
      <c r="Z17" s="1812"/>
      <c r="AA17" s="1809">
        <v>1</v>
      </c>
      <c r="AB17" s="1809">
        <v>1</v>
      </c>
      <c r="AC17" s="1809">
        <v>1</v>
      </c>
    </row>
    <row r="18" spans="1:29" ht="28.5">
      <c r="A18" s="426"/>
      <c r="B18" s="1383" t="s">
        <v>2692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99"/>
      <c r="Q18" s="1808" t="str">
        <f>B18</f>
        <v>基础设施水平</v>
      </c>
      <c r="R18" s="772" t="s">
        <v>17</v>
      </c>
      <c r="S18" s="773">
        <f>F18</f>
        <v>100</v>
      </c>
      <c r="T18" s="772" t="s">
        <v>17</v>
      </c>
      <c r="U18" s="773">
        <f>H18</f>
        <v>100</v>
      </c>
      <c r="V18" s="772" t="s">
        <v>17</v>
      </c>
      <c r="W18" s="773">
        <f>J18</f>
        <v>100</v>
      </c>
      <c r="X18" s="1811"/>
      <c r="Y18" s="3199"/>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199"/>
      <c r="Q19" s="1808"/>
      <c r="R19" s="772"/>
      <c r="S19" s="773"/>
      <c r="T19" s="772"/>
      <c r="U19" s="773"/>
      <c r="V19" s="772"/>
      <c r="W19" s="773"/>
      <c r="X19" s="1811"/>
      <c r="Y19" s="3199"/>
      <c r="Z19" s="1812"/>
      <c r="AA19" s="1809">
        <v>1</v>
      </c>
      <c r="AB19" s="1809">
        <v>1</v>
      </c>
      <c r="AC19" s="1809">
        <v>1</v>
      </c>
    </row>
    <row r="20" spans="1:29" ht="57">
      <c r="A20" s="426"/>
      <c r="B20" s="449" t="s">
        <v>2713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99"/>
      <c r="Q20" s="1808" t="str">
        <f>B20</f>
        <v>自然及人文环境</v>
      </c>
      <c r="R20" s="772" t="s">
        <v>17</v>
      </c>
      <c r="S20" s="773">
        <f>F20</f>
        <v>100</v>
      </c>
      <c r="T20" s="772" t="s">
        <v>17</v>
      </c>
      <c r="U20" s="773">
        <f>H20</f>
        <v>100</v>
      </c>
      <c r="V20" s="772" t="s">
        <v>17</v>
      </c>
      <c r="W20" s="773">
        <f>J20</f>
        <v>100</v>
      </c>
      <c r="X20" s="1811"/>
      <c r="Y20" s="3199"/>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199"/>
      <c r="Q21" s="1808"/>
      <c r="R21" s="772"/>
      <c r="S21" s="773"/>
      <c r="T21" s="772"/>
      <c r="U21" s="773"/>
      <c r="V21" s="772"/>
      <c r="W21" s="773"/>
      <c r="X21" s="1811"/>
      <c r="Y21" s="3199"/>
      <c r="Z21" s="1812"/>
      <c r="AA21" s="1809">
        <v>1</v>
      </c>
      <c r="AB21" s="1809">
        <v>1</v>
      </c>
      <c r="AC21" s="1809">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99"/>
      <c r="Q22" s="1808" t="str">
        <f>B22</f>
        <v>楼层</v>
      </c>
      <c r="R22" s="772" t="s">
        <v>17</v>
      </c>
      <c r="S22" s="773">
        <f>F22</f>
        <v>100</v>
      </c>
      <c r="T22" s="772" t="s">
        <v>17</v>
      </c>
      <c r="U22" s="773">
        <f>H22</f>
        <v>100</v>
      </c>
      <c r="V22" s="772" t="s">
        <v>17</v>
      </c>
      <c r="W22" s="773">
        <f>J22</f>
        <v>100</v>
      </c>
      <c r="X22" s="1811"/>
      <c r="Y22" s="3199"/>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99"/>
      <c r="Q23" s="1808">
        <f>B23</f>
        <v>111</v>
      </c>
      <c r="R23" s="772" t="s">
        <v>17</v>
      </c>
      <c r="S23" s="773">
        <f>F23</f>
        <v>100</v>
      </c>
      <c r="T23" s="772" t="s">
        <v>17</v>
      </c>
      <c r="U23" s="773">
        <f>H23</f>
        <v>100</v>
      </c>
      <c r="V23" s="772" t="s">
        <v>17</v>
      </c>
      <c r="W23" s="773">
        <f>J23</f>
        <v>100</v>
      </c>
      <c r="X23" s="1811"/>
      <c r="Y23" s="3199"/>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99"/>
      <c r="Q24" s="1808">
        <f t="shared" ref="Q24:Q34" si="11">B24</f>
        <v>111</v>
      </c>
      <c r="R24" s="772" t="s">
        <v>17</v>
      </c>
      <c r="S24" s="773">
        <f>F24</f>
        <v>100</v>
      </c>
      <c r="T24" s="772" t="s">
        <v>17</v>
      </c>
      <c r="U24" s="773">
        <f>H24</f>
        <v>100</v>
      </c>
      <c r="V24" s="772" t="s">
        <v>17</v>
      </c>
      <c r="W24" s="773">
        <f>J24</f>
        <v>100</v>
      </c>
      <c r="X24" s="1811"/>
      <c r="Y24" s="3199"/>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199"/>
      <c r="Q25" s="1793">
        <f t="shared" si="11"/>
        <v>111</v>
      </c>
      <c r="R25" s="768" t="s">
        <v>17</v>
      </c>
      <c r="S25" s="769">
        <f>F25</f>
        <v>100</v>
      </c>
      <c r="T25" s="768" t="s">
        <v>17</v>
      </c>
      <c r="U25" s="769">
        <f>H25</f>
        <v>100</v>
      </c>
      <c r="V25" s="768" t="s">
        <v>17</v>
      </c>
      <c r="W25" s="769">
        <f>J25</f>
        <v>100</v>
      </c>
      <c r="X25" s="770"/>
      <c r="Y25" s="3199"/>
      <c r="Z25" s="55">
        <f>Q25</f>
        <v>111</v>
      </c>
      <c r="AA25" s="1809">
        <f>D25/F25</f>
        <v>1</v>
      </c>
      <c r="AB25" s="1809">
        <f>D25/H25</f>
        <v>1</v>
      </c>
      <c r="AC25" s="1809">
        <f>D25/J25</f>
        <v>1</v>
      </c>
    </row>
    <row r="26" spans="1:29" ht="15">
      <c r="A26" s="464" t="s">
        <v>2566</v>
      </c>
      <c r="B26" s="71" t="s">
        <v>2717</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200" t="s">
        <v>2568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1" t="s">
        <v>2568</v>
      </c>
      <c r="Z26" s="1812" t="str">
        <f t="shared" ref="Z26:Z34" si="15">Q26</f>
        <v>公共部分装修</v>
      </c>
      <c r="AA26" s="1809">
        <f t="shared" si="3"/>
        <v>1</v>
      </c>
      <c r="AB26" s="1809">
        <f t="shared" si="4"/>
        <v>1</v>
      </c>
      <c r="AC26" s="1809">
        <f t="shared" si="5"/>
        <v>1</v>
      </c>
    </row>
    <row r="27" spans="1:29" s="469" customFormat="1" ht="15">
      <c r="A27" s="466"/>
      <c r="B27" s="420" t="s">
        <v>2718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01"/>
      <c r="Q27" s="774" t="str">
        <f t="shared" si="11"/>
        <v>成新率</v>
      </c>
      <c r="R27" s="775" t="s">
        <v>17</v>
      </c>
      <c r="S27" s="776" t="e">
        <f t="shared" si="12"/>
        <v>#N/A</v>
      </c>
      <c r="T27" s="775" t="s">
        <v>17</v>
      </c>
      <c r="U27" s="776" t="e">
        <f t="shared" si="13"/>
        <v>#N/A</v>
      </c>
      <c r="V27" s="775" t="s">
        <v>17</v>
      </c>
      <c r="W27" s="776" t="e">
        <f t="shared" si="14"/>
        <v>#N/A</v>
      </c>
      <c r="X27" s="777"/>
      <c r="Y27" s="3201"/>
      <c r="Z27" s="778" t="str">
        <f t="shared" si="15"/>
        <v>成新率</v>
      </c>
      <c r="AA27" s="1809" t="e">
        <f t="shared" si="3"/>
        <v>#N/A</v>
      </c>
      <c r="AB27" s="1809" t="e">
        <f t="shared" si="4"/>
        <v>#N/A</v>
      </c>
      <c r="AC27" s="1809"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01"/>
      <c r="Q28" s="1808" t="str">
        <f t="shared" si="11"/>
        <v>物业等级</v>
      </c>
      <c r="R28" s="772" t="s">
        <v>17</v>
      </c>
      <c r="S28" s="773">
        <f t="shared" si="12"/>
        <v>100</v>
      </c>
      <c r="T28" s="772" t="s">
        <v>17</v>
      </c>
      <c r="U28" s="773">
        <f t="shared" si="13"/>
        <v>100</v>
      </c>
      <c r="V28" s="772" t="s">
        <v>17</v>
      </c>
      <c r="W28" s="773">
        <f t="shared" si="14"/>
        <v>100</v>
      </c>
      <c r="X28" s="1811"/>
      <c r="Y28" s="3201"/>
      <c r="Z28" s="1812" t="str">
        <f t="shared" si="15"/>
        <v>物业等级</v>
      </c>
      <c r="AA28" s="1809">
        <f t="shared" si="3"/>
        <v>1</v>
      </c>
      <c r="AB28" s="1809">
        <f t="shared" si="4"/>
        <v>1</v>
      </c>
      <c r="AC28" s="1809">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01"/>
      <c r="Q29" s="1808" t="str">
        <f t="shared" si="11"/>
        <v>有无电梯</v>
      </c>
      <c r="R29" s="772" t="s">
        <v>17</v>
      </c>
      <c r="S29" s="773">
        <f t="shared" si="12"/>
        <v>100</v>
      </c>
      <c r="T29" s="772" t="s">
        <v>17</v>
      </c>
      <c r="U29" s="773">
        <f t="shared" si="13"/>
        <v>100</v>
      </c>
      <c r="V29" s="772" t="s">
        <v>17</v>
      </c>
      <c r="W29" s="773">
        <f t="shared" si="14"/>
        <v>100</v>
      </c>
      <c r="X29" s="1811"/>
      <c r="Y29" s="3201"/>
      <c r="Z29" s="1812" t="str">
        <f t="shared" si="15"/>
        <v>有无电梯</v>
      </c>
      <c r="AA29" s="1809">
        <f t="shared" si="3"/>
        <v>1</v>
      </c>
      <c r="AB29" s="1809">
        <f t="shared" si="4"/>
        <v>1</v>
      </c>
      <c r="AC29" s="1809">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01"/>
      <c r="Q30" s="1808" t="str">
        <f t="shared" si="11"/>
        <v>建筑面积</v>
      </c>
      <c r="R30" s="772" t="s">
        <v>17</v>
      </c>
      <c r="S30" s="773" t="e">
        <f t="shared" si="12"/>
        <v>#N/A</v>
      </c>
      <c r="T30" s="772" t="s">
        <v>17</v>
      </c>
      <c r="U30" s="773" t="e">
        <f t="shared" si="13"/>
        <v>#N/A</v>
      </c>
      <c r="V30" s="772" t="s">
        <v>17</v>
      </c>
      <c r="W30" s="773" t="e">
        <f t="shared" si="14"/>
        <v>#N/A</v>
      </c>
      <c r="X30" s="1811"/>
      <c r="Y30" s="3201"/>
      <c r="Z30" s="1812" t="str">
        <f t="shared" si="15"/>
        <v>建筑面积</v>
      </c>
      <c r="AA30" s="1809" t="e">
        <f t="shared" si="3"/>
        <v>#N/A</v>
      </c>
      <c r="AB30" s="1809" t="e">
        <f t="shared" si="4"/>
        <v>#N/A</v>
      </c>
      <c r="AC30" s="1809" t="e">
        <f t="shared" si="5"/>
        <v>#N/A</v>
      </c>
    </row>
    <row r="31" spans="1:29" s="115" customFormat="1" ht="15">
      <c r="A31" s="471"/>
      <c r="B31" s="420" t="s">
        <v>2742</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01"/>
      <c r="Q31" s="1793" t="str">
        <f t="shared" si="11"/>
        <v>是否封闭</v>
      </c>
      <c r="R31" s="768" t="s">
        <v>17</v>
      </c>
      <c r="S31" s="769">
        <f t="shared" si="12"/>
        <v>100</v>
      </c>
      <c r="T31" s="768" t="s">
        <v>17</v>
      </c>
      <c r="U31" s="769">
        <f t="shared" si="13"/>
        <v>100</v>
      </c>
      <c r="V31" s="768" t="s">
        <v>17</v>
      </c>
      <c r="W31" s="769">
        <f t="shared" si="14"/>
        <v>100</v>
      </c>
      <c r="X31" s="770"/>
      <c r="Y31" s="3201"/>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01" t="s">
        <v>2568</v>
      </c>
      <c r="Q32" s="1808">
        <f t="shared" si="11"/>
        <v>111</v>
      </c>
      <c r="R32" s="772" t="s">
        <v>17</v>
      </c>
      <c r="S32" s="773">
        <f t="shared" si="12"/>
        <v>100</v>
      </c>
      <c r="T32" s="772" t="s">
        <v>17</v>
      </c>
      <c r="U32" s="773">
        <f t="shared" si="13"/>
        <v>100</v>
      </c>
      <c r="V32" s="772" t="s">
        <v>17</v>
      </c>
      <c r="W32" s="773">
        <f t="shared" si="14"/>
        <v>100</v>
      </c>
      <c r="X32" s="1811"/>
      <c r="Y32" s="3201" t="s">
        <v>2568</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01"/>
      <c r="Q33" s="1808">
        <f t="shared" si="11"/>
        <v>111</v>
      </c>
      <c r="R33" s="772" t="s">
        <v>17</v>
      </c>
      <c r="S33" s="773">
        <f t="shared" si="12"/>
        <v>100</v>
      </c>
      <c r="T33" s="772" t="s">
        <v>17</v>
      </c>
      <c r="U33" s="773">
        <f t="shared" si="13"/>
        <v>100</v>
      </c>
      <c r="V33" s="772" t="s">
        <v>17</v>
      </c>
      <c r="W33" s="773">
        <f t="shared" si="14"/>
        <v>100</v>
      </c>
      <c r="X33" s="1811"/>
      <c r="Y33" s="3201"/>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201"/>
      <c r="Q34" s="1808">
        <f t="shared" si="11"/>
        <v>111</v>
      </c>
      <c r="R34" s="772" t="s">
        <v>17</v>
      </c>
      <c r="S34" s="773">
        <f t="shared" si="12"/>
        <v>100</v>
      </c>
      <c r="T34" s="772" t="s">
        <v>17</v>
      </c>
      <c r="U34" s="773">
        <f t="shared" si="13"/>
        <v>100</v>
      </c>
      <c r="V34" s="772" t="s">
        <v>17</v>
      </c>
      <c r="W34" s="773">
        <f t="shared" si="14"/>
        <v>100</v>
      </c>
      <c r="X34" s="1811"/>
      <c r="Y34" s="3201"/>
      <c r="Z34" s="1812">
        <f t="shared" si="15"/>
        <v>111</v>
      </c>
      <c r="AA34" s="1809">
        <f t="shared" si="3"/>
        <v>1</v>
      </c>
      <c r="AB34" s="1809">
        <f t="shared" si="4"/>
        <v>1</v>
      </c>
      <c r="AC34" s="1809">
        <f t="shared" si="5"/>
        <v>1</v>
      </c>
    </row>
    <row r="35" spans="1:29" ht="15">
      <c r="A35" s="477" t="s">
        <v>2580</v>
      </c>
      <c r="B35" s="478"/>
      <c r="C35" s="1406" t="s">
        <v>1</v>
      </c>
      <c r="D35" s="1407"/>
      <c r="E35" s="1408"/>
      <c r="F35" s="1409"/>
      <c r="G35" s="1410"/>
      <c r="H35" s="1411"/>
      <c r="I35" s="1408"/>
      <c r="J35" s="1411"/>
      <c r="K35" s="781"/>
      <c r="L35" s="1143"/>
      <c r="M35" s="1144"/>
      <c r="N35" s="1131"/>
      <c r="O35" s="1144"/>
      <c r="P35" s="3183" t="str">
        <f>A35</f>
        <v>成交单价（元/平方米）</v>
      </c>
      <c r="Q35" s="3183"/>
      <c r="R35" s="3237">
        <f>E35</f>
        <v>0</v>
      </c>
      <c r="S35" s="3237"/>
      <c r="T35" s="3237">
        <f>G35</f>
        <v>0</v>
      </c>
      <c r="U35" s="3237"/>
      <c r="V35" s="3237">
        <f>I35</f>
        <v>0</v>
      </c>
      <c r="W35" s="3237"/>
      <c r="X35" s="757"/>
      <c r="Y35" s="779"/>
      <c r="Z35" s="757"/>
      <c r="AA35" s="757"/>
      <c r="AB35" s="757"/>
      <c r="AC35" s="757"/>
    </row>
    <row r="36" spans="1:29" ht="15.75" thickBot="1">
      <c r="A36" s="484" t="s">
        <v>2672</v>
      </c>
      <c r="B36" s="485"/>
      <c r="C36" s="1412" t="e">
        <f>R37</f>
        <v>#DIV/0!</v>
      </c>
      <c r="D36" s="1413"/>
      <c r="E36" s="1414" t="e">
        <f>R36</f>
        <v>#DIV/0!</v>
      </c>
      <c r="F36" s="1414"/>
      <c r="G36" s="1412" t="e">
        <f>T36</f>
        <v>#DIV/0!</v>
      </c>
      <c r="H36" s="1413"/>
      <c r="I36" s="1414" t="e">
        <f>V36</f>
        <v>#DIV/0!</v>
      </c>
      <c r="J36" s="1413"/>
      <c r="K36" s="782"/>
      <c r="L36" s="1143"/>
      <c r="M36" s="1144"/>
      <c r="N36" s="1131"/>
      <c r="O36" s="1144"/>
      <c r="P36" s="3183" t="str">
        <f>A36</f>
        <v>比较价值（元/平方米）</v>
      </c>
      <c r="Q36" s="3183"/>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7"/>
      <c r="Y36" s="757"/>
      <c r="Z36" s="757"/>
      <c r="AA36" s="757"/>
      <c r="AB36" s="757"/>
      <c r="AC36" s="757"/>
    </row>
    <row r="37" spans="1:29" ht="15.75" thickBot="1">
      <c r="A37" s="490" t="s">
        <v>2673</v>
      </c>
      <c r="B37" s="491"/>
      <c r="C37" s="1416" t="e">
        <f>R37</f>
        <v>#DIV/0!</v>
      </c>
      <c r="D37" s="1416"/>
      <c r="E37" s="1416"/>
      <c r="F37" s="1416"/>
      <c r="G37" s="1416"/>
      <c r="H37" s="1416"/>
      <c r="I37" s="1416"/>
      <c r="J37" s="1416"/>
      <c r="K37" s="783"/>
      <c r="L37" s="1143"/>
      <c r="M37" s="1144"/>
      <c r="N37" s="1144"/>
      <c r="O37" s="1144"/>
      <c r="P37" s="3203" t="str">
        <f>A37</f>
        <v>估价对象XX用房的比较价值（楼面单价，元/平方米）</v>
      </c>
      <c r="Q37" s="3204"/>
      <c r="R37" s="3236" t="e">
        <f>IF(F1="售价",ROUND(AVERAGE(R36:V36),0),ROUND(AVERAGE(R36:V36),1))</f>
        <v>#DIV/0!</v>
      </c>
      <c r="S37" s="3236"/>
      <c r="T37" s="3236"/>
      <c r="U37" s="3236"/>
      <c r="V37" s="3236"/>
      <c r="W37" s="3236"/>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2" t="str">
        <f>YEAR(C7)&amp;"-"&amp;MONTH(C7)</f>
        <v>2018-7</v>
      </c>
      <c r="D46" s="1573">
        <f>EDATE(C46,-1)</f>
        <v>43252</v>
      </c>
      <c r="E46" s="1573">
        <f t="shared" ref="E46:O46" si="16">EDATE(D46,-1)</f>
        <v>43221</v>
      </c>
      <c r="F46" s="1573">
        <f t="shared" si="16"/>
        <v>43191</v>
      </c>
      <c r="G46" s="1573">
        <f t="shared" si="16"/>
        <v>43160</v>
      </c>
      <c r="H46" s="1573">
        <f t="shared" si="16"/>
        <v>43132</v>
      </c>
      <c r="I46" s="1573">
        <f t="shared" si="16"/>
        <v>43101</v>
      </c>
      <c r="J46" s="1573">
        <f t="shared" si="16"/>
        <v>43070</v>
      </c>
      <c r="K46" s="1573">
        <f t="shared" si="16"/>
        <v>43040</v>
      </c>
      <c r="L46" s="1573">
        <f t="shared" si="16"/>
        <v>43009</v>
      </c>
      <c r="M46" s="1573">
        <f t="shared" si="16"/>
        <v>42979</v>
      </c>
      <c r="N46" s="1573">
        <f t="shared" si="16"/>
        <v>42948</v>
      </c>
      <c r="O46" s="1573">
        <f t="shared" si="16"/>
        <v>42917</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2588</v>
      </c>
      <c r="B48" s="514"/>
      <c r="C48" s="515"/>
      <c r="D48" s="516"/>
      <c r="E48" s="516"/>
      <c r="F48" s="516"/>
      <c r="G48" s="516"/>
      <c r="H48" s="516"/>
      <c r="I48" s="516"/>
      <c r="J48" s="516"/>
      <c r="K48" s="516"/>
      <c r="L48" s="516"/>
      <c r="M48" s="517"/>
      <c r="N48" s="516"/>
      <c r="O48" s="518"/>
      <c r="P48" s="502"/>
      <c r="Q48" s="502"/>
    </row>
    <row r="49" spans="1:17" s="115" customFormat="1" ht="15">
      <c r="A49" s="519" t="s">
        <v>2553</v>
      </c>
      <c r="B49" s="508"/>
      <c r="C49" s="520" t="s">
        <v>2655</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2591</v>
      </c>
      <c r="B51" s="526" t="s">
        <v>2557</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1"/>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2732</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2566</v>
      </c>
      <c r="B77" s="526" t="s">
        <v>2619</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2736</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2744</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70" zoomScaleNormal="70" zoomScaleSheetLayoutView="90" workbookViewId="0">
      <selection activeCell="D18" sqref="D1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1377</v>
      </c>
      <c r="D1" s="1818" t="s">
        <v>3061</v>
      </c>
      <c r="E1" s="1819" t="s">
        <v>1387</v>
      </c>
      <c r="F1" s="1282">
        <f ca="1">J53</f>
        <v>32.840000000000003</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98871</v>
      </c>
      <c r="C2" s="1843" t="s">
        <v>1516</v>
      </c>
      <c r="D2" s="1843"/>
      <c r="E2" s="1844"/>
      <c r="F2" s="1845"/>
      <c r="G2" s="1846"/>
      <c r="H2" s="1838"/>
      <c r="I2" s="1838"/>
      <c r="J2" s="1838"/>
      <c r="K2" s="1839"/>
      <c r="L2" s="1838"/>
      <c r="M2" s="1838"/>
    </row>
    <row r="3" spans="1:37" ht="18" customHeight="1" thickBot="1">
      <c r="A3" s="1847" t="s">
        <v>1517</v>
      </c>
      <c r="B3" s="1848">
        <f ca="1">IF(ISERROR(B2*10000/F43),0,ROUND(B2*10000/F43,0))</f>
        <v>25468</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7406</v>
      </c>
      <c r="D5" s="1820" t="s">
        <v>1402</v>
      </c>
      <c r="E5" s="1292"/>
      <c r="F5" s="1293"/>
      <c r="G5" s="1849"/>
      <c r="H5" s="342">
        <v>1</v>
      </c>
      <c r="I5" s="343" t="s">
        <v>1401</v>
      </c>
      <c r="J5" s="1291">
        <f ca="1">J6+J10+J12</f>
        <v>0</v>
      </c>
      <c r="K5" s="1820" t="s">
        <v>1402</v>
      </c>
      <c r="L5" s="1292"/>
      <c r="M5" s="1293"/>
    </row>
    <row r="6" spans="1:37" ht="18" customHeight="1">
      <c r="A6" s="1290" t="s">
        <v>1035</v>
      </c>
      <c r="B6" s="3211" t="s">
        <v>1403</v>
      </c>
      <c r="C6" s="1295">
        <f ca="1">ROUND(F6*F8*F7*(1-F9)/10000,0)</f>
        <v>7397</v>
      </c>
      <c r="D6" s="162" t="s">
        <v>3033</v>
      </c>
      <c r="E6" s="345" t="s">
        <v>1405</v>
      </c>
      <c r="F6" s="346">
        <f ca="1">INDIRECT("'数据-取费表'!u"&amp;$G$1)</f>
        <v>5.8</v>
      </c>
      <c r="G6" s="1849"/>
      <c r="H6" s="1290" t="s">
        <v>1035</v>
      </c>
      <c r="I6" s="3211" t="s">
        <v>1403</v>
      </c>
      <c r="J6" s="344">
        <f ca="1">ROUND(M6*M8*M7*(1-M9)/10000,0)</f>
        <v>0</v>
      </c>
      <c r="K6" s="162" t="s">
        <v>3032</v>
      </c>
      <c r="L6" s="345" t="s">
        <v>1405</v>
      </c>
      <c r="M6" s="346">
        <f ca="1">INDIRECT("'数据-取费表'!z"&amp;$G$1)</f>
        <v>0</v>
      </c>
    </row>
    <row r="7" spans="1:37" ht="18" customHeight="1">
      <c r="A7" s="1294"/>
      <c r="B7" s="3212"/>
      <c r="C7" s="1296"/>
      <c r="D7" s="350"/>
      <c r="E7" s="2948" t="s">
        <v>1406</v>
      </c>
      <c r="F7" s="346">
        <f ca="1">IF(INDIRECT("'数据-取费表'!ah"&amp;$G$1)="",INDIRECT("'数据-取费表'!k"&amp;$G$1),INDIRECT("'数据-取费表'!ah"&amp;$G$1))</f>
        <v>38821.839999999997</v>
      </c>
      <c r="G7" s="1849"/>
      <c r="H7" s="347"/>
      <c r="I7" s="3212"/>
      <c r="J7" s="349"/>
      <c r="K7" s="350"/>
      <c r="L7" s="345" t="s">
        <v>1406</v>
      </c>
      <c r="M7" s="346">
        <f ca="1">F7</f>
        <v>38821.839999999997</v>
      </c>
    </row>
    <row r="8" spans="1:37" ht="18" customHeight="1">
      <c r="A8" s="347"/>
      <c r="B8" s="3212"/>
      <c r="C8" s="349"/>
      <c r="D8" s="350"/>
      <c r="E8" s="345" t="s">
        <v>1407</v>
      </c>
      <c r="F8" s="346">
        <f ca="1">INDIRECT("'数据-取费表'!ai"&amp;$G$1)</f>
        <v>365</v>
      </c>
      <c r="G8" s="1849"/>
      <c r="H8" s="347"/>
      <c r="I8" s="3212"/>
      <c r="J8" s="349"/>
      <c r="K8" s="350"/>
      <c r="L8" s="345" t="s">
        <v>1407</v>
      </c>
      <c r="M8" s="346">
        <f ca="1">INDIRECT("'数据-取费表'!ai"&amp;$G$1)</f>
        <v>365</v>
      </c>
    </row>
    <row r="9" spans="1:37" ht="18" customHeight="1">
      <c r="A9" s="347"/>
      <c r="B9" s="3213"/>
      <c r="C9" s="349"/>
      <c r="D9" s="350"/>
      <c r="E9" s="345" t="s">
        <v>1408</v>
      </c>
      <c r="F9" s="355">
        <f ca="1">INDIRECT("'数据-取费表'!w"&amp;$G$1)</f>
        <v>0.1</v>
      </c>
      <c r="G9" s="1849"/>
      <c r="H9" s="347"/>
      <c r="I9" s="3213"/>
      <c r="J9" s="349"/>
      <c r="K9" s="350"/>
      <c r="L9" s="356" t="s">
        <v>1408</v>
      </c>
      <c r="M9" s="357">
        <f ca="1">INDIRECT("'数据-取费表'!ab"&amp;$G$1)</f>
        <v>0</v>
      </c>
    </row>
    <row r="10" spans="1:37" ht="18" customHeight="1">
      <c r="A10" s="1290" t="s">
        <v>1039</v>
      </c>
      <c r="B10" s="1821" t="s">
        <v>1409</v>
      </c>
      <c r="C10" s="359">
        <f ca="1">ROUND(IF(F10="押一",C6/12*F11,IF(F10="押二",C6/12*2*F11,IF(F10="押三",C6/12*3*F11,C11*F11))),0)</f>
        <v>9</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26642</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16592</v>
      </c>
      <c r="D14" s="2942" t="s">
        <v>1418</v>
      </c>
      <c r="E14" s="2940"/>
      <c r="F14" s="362"/>
      <c r="G14" s="1849"/>
      <c r="H14" s="1201" t="s">
        <v>1035</v>
      </c>
      <c r="I14" s="345" t="s">
        <v>1419</v>
      </c>
      <c r="J14" s="24">
        <f ca="1">C29</f>
        <v>26642</v>
      </c>
      <c r="K14" s="2947"/>
      <c r="L14" s="979"/>
      <c r="M14" s="980"/>
    </row>
    <row r="15" spans="1:37" s="1856" customFormat="1" ht="18" customHeight="1" thickBot="1">
      <c r="A15" s="1201" t="s">
        <v>1036</v>
      </c>
      <c r="B15" s="345" t="s">
        <v>1420</v>
      </c>
      <c r="C15" s="24">
        <f ca="1">ROUND(C14*F15,0)</f>
        <v>498</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624</v>
      </c>
      <c r="K16" s="1336" t="s">
        <v>1425</v>
      </c>
      <c r="L16" s="2943"/>
      <c r="M16" s="1293"/>
    </row>
    <row r="17" spans="1:37" s="1856" customFormat="1" ht="18" customHeight="1">
      <c r="A17" s="1201" t="s">
        <v>1390</v>
      </c>
      <c r="B17" s="345" t="s">
        <v>1426</v>
      </c>
      <c r="C17" s="24">
        <f ca="1">ROUND(F17*(F43+INDIRECT("'数据-取费表'!S"&amp;$G$1))/10000,0)</f>
        <v>861</v>
      </c>
      <c r="D17" s="345" t="s">
        <v>1427</v>
      </c>
      <c r="E17" s="345" t="s">
        <v>1428</v>
      </c>
      <c r="F17" s="26">
        <f>'数据-取费表'!B35</f>
        <v>200</v>
      </c>
      <c r="G17" s="1852"/>
      <c r="H17" s="1201" t="s">
        <v>1035</v>
      </c>
      <c r="I17" s="345" t="s">
        <v>1429</v>
      </c>
      <c r="J17" s="24">
        <f ca="1">ROUND(IF(项目基本情况!B11="自然人",J5*M17,J18+J19+J20),1)</f>
        <v>224.8</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249</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18200</v>
      </c>
      <c r="D19" s="138" t="s">
        <v>1436</v>
      </c>
      <c r="E19" s="2946"/>
      <c r="F19" s="26"/>
      <c r="G19" s="1849"/>
      <c r="H19" s="1201" t="s">
        <v>1036</v>
      </c>
      <c r="I19" s="345" t="s">
        <v>1437</v>
      </c>
      <c r="J19" s="24">
        <f ca="1">IF(K19="按租金收入计税",ROUND(J5*M19,2),ROUND(C29*M19*0.7,2))</f>
        <v>223.79</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364</v>
      </c>
      <c r="D20" s="367" t="s">
        <v>1440</v>
      </c>
      <c r="E20" s="345" t="s">
        <v>1422</v>
      </c>
      <c r="F20" s="365">
        <f>'数据-取费表'!B37</f>
        <v>0.02</v>
      </c>
      <c r="G20" s="1852"/>
      <c r="H20" s="1201" t="s">
        <v>1389</v>
      </c>
      <c r="I20" s="162" t="s">
        <v>1441</v>
      </c>
      <c r="J20" s="25">
        <f ca="1">ROUND(M20*M21/10000,2)</f>
        <v>1.05</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7027.15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399.6</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1338</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-624</v>
      </c>
      <c r="K25" s="1344" t="s">
        <v>1464</v>
      </c>
      <c r="L25" s="1345"/>
      <c r="M25" s="1346"/>
    </row>
    <row r="26" spans="1:37">
      <c r="A26" s="1201" t="s">
        <v>1034</v>
      </c>
      <c r="B26" s="345" t="s">
        <v>1465</v>
      </c>
      <c r="C26" s="24">
        <f ca="1">ROUND((C19+C20)*F26,0)</f>
        <v>4641</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6.5000000000000002E-2</v>
      </c>
    </row>
    <row r="27" spans="1:37" ht="18" customHeight="1">
      <c r="A27" s="1201" t="s">
        <v>1036</v>
      </c>
      <c r="B27" s="345" t="s">
        <v>1471</v>
      </c>
      <c r="C27" s="24">
        <f ca="1">ROUND(F21*F26,4)</f>
        <v>5.0000000000000001E-3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26642</v>
      </c>
      <c r="D29" s="1341"/>
      <c r="E29" s="1339"/>
      <c r="F29" s="1342"/>
      <c r="G29" s="1852"/>
      <c r="H29" s="378" t="s">
        <v>1033</v>
      </c>
      <c r="I29" s="379" t="s">
        <v>1479</v>
      </c>
      <c r="J29" s="380">
        <f ca="1">ROUND(J26/(1+F40)^F41,0)</f>
        <v>0</v>
      </c>
      <c r="K29" s="381" t="s">
        <v>1480</v>
      </c>
      <c r="L29" s="382"/>
      <c r="M29" s="383">
        <f ca="1">INDIRECT("'数据-取费表'!k"&amp;$G$1)</f>
        <v>38821.839999999997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1879</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1277.7</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387.93</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888.72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1.05</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7027.15</v>
      </c>
      <c r="G35" s="1849"/>
      <c r="H35" s="743"/>
      <c r="I35" s="1858"/>
      <c r="J35" s="1859"/>
      <c r="K35" s="1860"/>
      <c r="L35" s="1857"/>
      <c r="M35" s="1857"/>
    </row>
    <row r="36" spans="1:18" ht="18" customHeight="1">
      <c r="A36" s="1351" t="s">
        <v>1039</v>
      </c>
      <c r="B36" s="345" t="s">
        <v>1449</v>
      </c>
      <c r="C36" s="24">
        <f ca="1">ROUND(C29*F36,1)</f>
        <v>399.6</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53.3</v>
      </c>
      <c r="D37" s="2941" t="s">
        <v>1454</v>
      </c>
      <c r="E37" s="345" t="s">
        <v>1422</v>
      </c>
      <c r="F37" s="374">
        <f ca="1">INDIRECT("'数据-取费表'!Al"&amp;$G$1)</f>
        <v>2E-3</v>
      </c>
      <c r="G37" s="1849"/>
      <c r="H37" s="1857"/>
      <c r="I37" s="1858"/>
      <c r="J37" s="1859"/>
      <c r="K37" s="749"/>
      <c r="L37" s="1857"/>
      <c r="M37" s="1857"/>
    </row>
    <row r="38" spans="1:18" ht="18" customHeight="1" thickBot="1">
      <c r="A38" s="1338" t="s">
        <v>1392</v>
      </c>
      <c r="B38" s="1339" t="s">
        <v>1439</v>
      </c>
      <c r="C38" s="1340">
        <f ca="1">ROUND(C5*F38,1)</f>
        <v>148.1</v>
      </c>
      <c r="D38" s="1341" t="s">
        <v>1459</v>
      </c>
      <c r="E38" s="1339" t="s">
        <v>1422</v>
      </c>
      <c r="F38" s="1335">
        <f ca="1">INDIRECT("'数据-取费表'!Am"&amp;$G$1)</f>
        <v>0.02</v>
      </c>
      <c r="G38" s="1849"/>
      <c r="H38" s="1857"/>
      <c r="I38" s="1858"/>
      <c r="J38" s="1859"/>
      <c r="K38" s="1863"/>
      <c r="L38" s="1857"/>
      <c r="M38" s="1857"/>
    </row>
    <row r="39" spans="1:18" ht="24.6" customHeight="1" thickTop="1">
      <c r="A39" s="1328" t="s">
        <v>1031</v>
      </c>
      <c r="B39" s="1343" t="s">
        <v>1463</v>
      </c>
      <c r="C39" s="353">
        <f ca="1">C5-C30</f>
        <v>5527</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98871</v>
      </c>
      <c r="D40" s="368" t="s">
        <v>1469</v>
      </c>
      <c r="E40" s="345" t="s">
        <v>1470</v>
      </c>
      <c r="F40" s="355">
        <f ca="1">INDIRECT("'数据-取费表'!I"&amp;$G$1)</f>
        <v>6.5000000000000002E-2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32.840000000000003</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25468</v>
      </c>
      <c r="D43" s="381" t="s">
        <v>1488</v>
      </c>
      <c r="E43" s="382" t="s">
        <v>1489</v>
      </c>
      <c r="F43" s="383">
        <f ca="1">INDIRECT("'数据-取费表'!k"&amp;$G$1)</f>
        <v>38821.839999999997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-135050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40</v>
      </c>
      <c r="M47" s="1836" t="str">
        <f>IF(ISNUMBER(FIND("住宅",C1)),"住宅","非住宅")</f>
        <v>非住宅</v>
      </c>
      <c r="O47" s="1882" t="s">
        <v>1040</v>
      </c>
      <c r="P47" s="1883" t="s">
        <v>1528</v>
      </c>
      <c r="Q47" s="1884">
        <f ca="1">C40+J29</f>
        <v>98871</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34.840000000000003</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26642</v>
      </c>
      <c r="R49" s="1884" t="s">
        <v>1529</v>
      </c>
    </row>
    <row r="50" spans="1:18" s="1840" customFormat="1" ht="13.5" thickBot="1">
      <c r="A50" s="1195"/>
      <c r="B50" s="1198"/>
      <c r="C50" s="1367"/>
      <c r="D50" s="1172"/>
      <c r="E50" s="1276" t="s">
        <v>1406</v>
      </c>
      <c r="F50" s="1277">
        <f ca="1">F7</f>
        <v>38821.839999999997</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50132</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32.840000000000003</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32.840000000000003</v>
      </c>
      <c r="K53" s="3209" t="s">
        <v>1548</v>
      </c>
      <c r="L53" s="3210"/>
      <c r="O53" s="1882" t="s">
        <v>1046</v>
      </c>
      <c r="P53" s="1883" t="s">
        <v>1549</v>
      </c>
      <c r="Q53" s="1884">
        <f ca="1">Q47+Q48</f>
        <v>98871</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26642</v>
      </c>
      <c r="D56" s="1912"/>
      <c r="E56" s="1913"/>
      <c r="F56" s="1905"/>
      <c r="I56" s="1914" t="s">
        <v>1554</v>
      </c>
      <c r="J56" s="1915" t="s">
        <v>3053</v>
      </c>
      <c r="K56" s="1885" t="s">
        <v>1555</v>
      </c>
      <c r="L56" s="1888" t="str">
        <f ca="1">IF(L48&lt;J51,"——",L48-J53)</f>
        <v>——</v>
      </c>
      <c r="O56" s="1882" t="s">
        <v>1040</v>
      </c>
      <c r="P56" s="1883" t="s">
        <v>1528</v>
      </c>
      <c r="Q56" s="1884">
        <f ca="1">C40+J29</f>
        <v>98871</v>
      </c>
      <c r="R56" s="1884" t="s">
        <v>1529</v>
      </c>
    </row>
    <row r="57" spans="1:18" s="1840" customFormat="1" ht="24.75" thickBot="1">
      <c r="A57" s="1916"/>
      <c r="B57" s="1169" t="s">
        <v>1478</v>
      </c>
      <c r="C57" s="280">
        <f ca="1">C29</f>
        <v>26642</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2692</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2239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2237.9299999999998</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1.05</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98871</v>
      </c>
      <c r="R62" s="1884" t="s">
        <v>1047</v>
      </c>
    </row>
    <row r="63" spans="1:18" s="1840" customFormat="1" ht="13.5" thickBot="1">
      <c r="A63" s="370"/>
      <c r="B63" s="1175"/>
      <c r="C63" s="29"/>
      <c r="D63" s="1185"/>
      <c r="E63" s="1169" t="s">
        <v>1447</v>
      </c>
      <c r="F63" s="346">
        <f t="shared" ca="1" si="0"/>
        <v>7027.15</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399.6</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53.3</v>
      </c>
      <c r="D65" s="1183" t="s">
        <v>1454</v>
      </c>
      <c r="E65" s="1169" t="s">
        <v>1422</v>
      </c>
      <c r="F65" s="374">
        <f t="shared" ca="1" si="0"/>
        <v>2E-3</v>
      </c>
      <c r="I65" s="1927" t="s">
        <v>1579</v>
      </c>
      <c r="J65" s="1928">
        <v>40</v>
      </c>
      <c r="K65" s="1928">
        <v>30</v>
      </c>
      <c r="L65" s="1928">
        <v>50</v>
      </c>
      <c r="M65" s="1930">
        <v>0.02</v>
      </c>
      <c r="O65" s="1882" t="s">
        <v>1040</v>
      </c>
      <c r="P65" s="1883" t="s">
        <v>1528</v>
      </c>
      <c r="Q65" s="1884">
        <f ca="1">C40+J29</f>
        <v>98871</v>
      </c>
      <c r="R65" s="1884" t="s">
        <v>1529</v>
      </c>
    </row>
    <row r="66" spans="1:18" s="1840" customFormat="1" ht="16.5" thickBot="1">
      <c r="A66" s="1201" t="s">
        <v>1504</v>
      </c>
      <c r="B66" s="1169" t="s">
        <v>1439</v>
      </c>
      <c r="C66" s="24">
        <f ca="1">ROUND(C48*F66,1)</f>
        <v>0</v>
      </c>
      <c r="D66" s="1183" t="s">
        <v>1459</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-2692</v>
      </c>
      <c r="D67" s="1182" t="s">
        <v>1464</v>
      </c>
      <c r="E67" s="1187"/>
      <c r="F67" s="1188"/>
      <c r="O67" s="1892" t="s">
        <v>1042</v>
      </c>
      <c r="P67" s="1883" t="s">
        <v>1562</v>
      </c>
      <c r="Q67" s="1931">
        <f ca="1">L51</f>
        <v>50132</v>
      </c>
      <c r="R67" s="1884" t="s">
        <v>1582</v>
      </c>
    </row>
    <row r="68" spans="1:18" s="1840" customFormat="1" ht="16.5" thickBot="1">
      <c r="A68" s="1166" t="s">
        <v>1032</v>
      </c>
      <c r="B68" s="1167" t="s">
        <v>1485</v>
      </c>
      <c r="C68" s="344">
        <f ca="1">ROUND(C67*(1-((1+F70)/(1+F68))^F69)/(F68-F70),0)</f>
        <v>-36179</v>
      </c>
      <c r="D68" s="1184" t="s">
        <v>1469</v>
      </c>
      <c r="E68" s="1169" t="s">
        <v>1470</v>
      </c>
      <c r="F68" s="355">
        <f ca="1">F40</f>
        <v>6.5000000000000002E-2</v>
      </c>
      <c r="O68" s="1892" t="s">
        <v>1043</v>
      </c>
      <c r="P68" s="1932" t="s">
        <v>1583</v>
      </c>
      <c r="Q68" s="1884">
        <f ca="1">ROUND(Q69-Q70*Q71,0)</f>
        <v>3262</v>
      </c>
      <c r="R68" s="1884" t="s">
        <v>1051</v>
      </c>
    </row>
    <row r="69" spans="1:18" s="1840" customFormat="1" ht="13.5" thickBot="1">
      <c r="A69" s="1170"/>
      <c r="B69" s="1171"/>
      <c r="C69" s="349"/>
      <c r="D69" s="1189" t="s">
        <v>1473</v>
      </c>
      <c r="E69" s="1169" t="s">
        <v>1474</v>
      </c>
      <c r="F69" s="377">
        <f ca="1">F41</f>
        <v>32.840000000000003</v>
      </c>
      <c r="O69" s="1892" t="s">
        <v>1048</v>
      </c>
      <c r="P69" s="1932" t="s">
        <v>1584</v>
      </c>
      <c r="Q69" s="1884">
        <f ca="1">C39</f>
        <v>5527</v>
      </c>
      <c r="R69" s="1884" t="s">
        <v>1529</v>
      </c>
    </row>
    <row r="70" spans="1:18" s="1840" customFormat="1" ht="13.5" thickBot="1">
      <c r="A70" s="1173"/>
      <c r="B70" s="1174"/>
      <c r="C70" s="353"/>
      <c r="D70" s="1185"/>
      <c r="E70" s="1169" t="s">
        <v>1477</v>
      </c>
      <c r="F70" s="1274"/>
      <c r="O70" s="1892" t="s">
        <v>1049</v>
      </c>
      <c r="P70" s="1932" t="s">
        <v>1585</v>
      </c>
      <c r="Q70" s="1884">
        <f ca="1">C13</f>
        <v>26642</v>
      </c>
      <c r="R70" s="1884" t="s">
        <v>1529</v>
      </c>
    </row>
    <row r="71" spans="1:18" s="1840" customFormat="1" ht="13.5" thickBot="1">
      <c r="A71" s="1190" t="s">
        <v>1033</v>
      </c>
      <c r="B71" s="1191" t="s">
        <v>1487</v>
      </c>
      <c r="C71" s="380">
        <f ca="1">ROUND(C68*10000/F71,0)</f>
        <v>-9319</v>
      </c>
      <c r="D71" s="1192" t="s">
        <v>1488</v>
      </c>
      <c r="E71" s="1193" t="s">
        <v>1489</v>
      </c>
      <c r="F71" s="383">
        <f ca="1">F43</f>
        <v>38821.839999999997</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2265</v>
      </c>
      <c r="D75" s="1840"/>
      <c r="E75" s="1840"/>
      <c r="F75" s="1840"/>
      <c r="K75" s="1866"/>
      <c r="L75" s="1840"/>
      <c r="O75" s="1882" t="s">
        <v>1046</v>
      </c>
      <c r="P75" s="1883" t="s">
        <v>1549</v>
      </c>
      <c r="Q75" s="1884">
        <f ca="1">Q65+Q66</f>
        <v>98871</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0.59000000000000008</v>
      </c>
    </row>
    <row r="80" spans="1:18">
      <c r="B80" s="384" t="s">
        <v>1511</v>
      </c>
      <c r="C80" s="316">
        <f ca="1">ROUND(C75/C39,3)</f>
        <v>0.41</v>
      </c>
    </row>
    <row r="81" spans="2:3">
      <c r="B81" s="312" t="s">
        <v>1512</v>
      </c>
      <c r="C81" s="280"/>
    </row>
    <row r="82" spans="2:3">
      <c r="B82" s="315" t="s">
        <v>1513</v>
      </c>
      <c r="C82" s="317">
        <f ca="1">1-C83</f>
        <v>0.73099999999999998</v>
      </c>
    </row>
    <row r="83" spans="2:3">
      <c r="B83" s="315" t="s">
        <v>1514</v>
      </c>
      <c r="C83" s="316">
        <f ca="1">ROUND(C13/C40,3)</f>
        <v>0.26900000000000002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48</v>
      </c>
      <c r="D1" s="1818" t="s">
        <v>3061</v>
      </c>
      <c r="E1" s="1819" t="s">
        <v>1387</v>
      </c>
      <c r="F1" s="1282">
        <f ca="1">J53</f>
        <v>42.85</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4364</v>
      </c>
      <c r="C2" s="1843" t="s">
        <v>1516</v>
      </c>
      <c r="D2" s="1843"/>
      <c r="E2" s="1844"/>
      <c r="F2" s="1845"/>
      <c r="G2" s="1846"/>
      <c r="H2" s="1838"/>
      <c r="I2" s="1838"/>
      <c r="J2" s="1838"/>
      <c r="K2" s="1839"/>
      <c r="L2" s="1838"/>
      <c r="M2" s="1838"/>
    </row>
    <row r="3" spans="1:37" ht="18" customHeight="1" thickBot="1">
      <c r="A3" s="1847" t="s">
        <v>1517</v>
      </c>
      <c r="B3" s="1848">
        <f ca="1">IF(ISERROR(B2*10000/F43),0,ROUND(B2*10000/F43,0))</f>
        <v>2342</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485</v>
      </c>
      <c r="D5" s="1820" t="s">
        <v>1402</v>
      </c>
      <c r="E5" s="1292"/>
      <c r="F5" s="1293"/>
      <c r="G5" s="1849"/>
      <c r="H5" s="342">
        <v>1</v>
      </c>
      <c r="I5" s="343" t="s">
        <v>1401</v>
      </c>
      <c r="J5" s="1291">
        <f ca="1">J6+J10+J12</f>
        <v>0</v>
      </c>
      <c r="K5" s="1820" t="s">
        <v>1402</v>
      </c>
      <c r="L5" s="1292"/>
      <c r="M5" s="1293"/>
    </row>
    <row r="6" spans="1:37" ht="18" customHeight="1">
      <c r="A6" s="1290" t="s">
        <v>1035</v>
      </c>
      <c r="B6" s="3211" t="s">
        <v>1403</v>
      </c>
      <c r="C6" s="1295">
        <f ca="1">ROUND(F6*F8*F7*(1-F9)/10000,0)</f>
        <v>485</v>
      </c>
      <c r="D6" s="162" t="s">
        <v>3033</v>
      </c>
      <c r="E6" s="345" t="s">
        <v>1405</v>
      </c>
      <c r="F6" s="346">
        <f ca="1">INDIRECT("'数据-取费表'!u"&amp;$G$1)</f>
        <v>800</v>
      </c>
      <c r="G6" s="1849"/>
      <c r="H6" s="1290" t="s">
        <v>1035</v>
      </c>
      <c r="I6" s="3211" t="s">
        <v>1403</v>
      </c>
      <c r="J6" s="344">
        <f ca="1">ROUND(M6*M8*M7*(1-M9)/10000,0)</f>
        <v>0</v>
      </c>
      <c r="K6" s="162" t="s">
        <v>3032</v>
      </c>
      <c r="L6" s="345" t="s">
        <v>1405</v>
      </c>
      <c r="M6" s="346">
        <f ca="1">INDIRECT("'数据-取费表'!z"&amp;$G$1)</f>
        <v>0</v>
      </c>
    </row>
    <row r="7" spans="1:37" ht="18" customHeight="1">
      <c r="A7" s="1294"/>
      <c r="B7" s="3212"/>
      <c r="C7" s="1296"/>
      <c r="D7" s="350"/>
      <c r="E7" s="2948" t="s">
        <v>1406</v>
      </c>
      <c r="F7" s="346">
        <f ca="1">IF(INDIRECT("'数据-取费表'!ah"&amp;$G$1)="",INDIRECT("'数据-取费表'!k"&amp;$G$1),INDIRECT("'数据-取费表'!ah"&amp;$G$1))</f>
        <v>532</v>
      </c>
      <c r="G7" s="1849"/>
      <c r="H7" s="347"/>
      <c r="I7" s="3212"/>
      <c r="J7" s="349"/>
      <c r="K7" s="350"/>
      <c r="L7" s="345" t="s">
        <v>1406</v>
      </c>
      <c r="M7" s="346">
        <f ca="1">F7</f>
        <v>532</v>
      </c>
    </row>
    <row r="8" spans="1:37" ht="18" customHeight="1">
      <c r="A8" s="347"/>
      <c r="B8" s="3212"/>
      <c r="C8" s="349"/>
      <c r="D8" s="350"/>
      <c r="E8" s="345" t="s">
        <v>1407</v>
      </c>
      <c r="F8" s="346">
        <f ca="1">INDIRECT("'数据-取费表'!ai"&amp;$G$1)</f>
        <v>12</v>
      </c>
      <c r="G8" s="1849"/>
      <c r="H8" s="347"/>
      <c r="I8" s="3212"/>
      <c r="J8" s="349"/>
      <c r="K8" s="350"/>
      <c r="L8" s="345" t="s">
        <v>1407</v>
      </c>
      <c r="M8" s="346">
        <f ca="1">INDIRECT("'数据-取费表'!ai"&amp;$G$1)</f>
        <v>12</v>
      </c>
    </row>
    <row r="9" spans="1:37" ht="18" customHeight="1">
      <c r="A9" s="347"/>
      <c r="B9" s="3213"/>
      <c r="C9" s="349"/>
      <c r="D9" s="350"/>
      <c r="E9" s="345" t="s">
        <v>1408</v>
      </c>
      <c r="F9" s="355">
        <f ca="1">INDIRECT("'数据-取费表'!w"&amp;$G$1)</f>
        <v>0.05</v>
      </c>
      <c r="G9" s="1849"/>
      <c r="H9" s="347"/>
      <c r="I9" s="3213"/>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3042</v>
      </c>
      <c r="E10" s="356" t="s">
        <v>1410</v>
      </c>
      <c r="F10" s="1365"/>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8778</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6099</v>
      </c>
      <c r="D14" s="2942" t="s">
        <v>1418</v>
      </c>
      <c r="E14" s="2940"/>
      <c r="F14" s="362"/>
      <c r="G14" s="1849"/>
      <c r="H14" s="1201" t="s">
        <v>1035</v>
      </c>
      <c r="I14" s="345" t="s">
        <v>1419</v>
      </c>
      <c r="J14" s="24">
        <f ca="1">C29</f>
        <v>8778</v>
      </c>
      <c r="K14" s="2947"/>
      <c r="L14" s="979"/>
      <c r="M14" s="980"/>
    </row>
    <row r="15" spans="1:37" s="1856" customFormat="1" ht="18" customHeight="1" thickBot="1">
      <c r="A15" s="1201" t="s">
        <v>1036</v>
      </c>
      <c r="B15" s="345" t="s">
        <v>1420</v>
      </c>
      <c r="C15" s="24">
        <f ca="1">ROUND(C14*F15,0)</f>
        <v>183</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206</v>
      </c>
      <c r="K16" s="1336" t="s">
        <v>1425</v>
      </c>
      <c r="L16" s="2943"/>
      <c r="M16" s="1293"/>
    </row>
    <row r="17" spans="1:37" s="1856" customFormat="1" ht="18" customHeight="1">
      <c r="A17" s="1201" t="s">
        <v>1390</v>
      </c>
      <c r="B17" s="345" t="s">
        <v>1426</v>
      </c>
      <c r="C17" s="24">
        <f ca="1">ROUND(F17*(F43+INDIRECT("'数据-取费表'!S"&amp;$G$1))/10000,0)</f>
        <v>413</v>
      </c>
      <c r="D17" s="345" t="s">
        <v>1427</v>
      </c>
      <c r="E17" s="345" t="s">
        <v>1428</v>
      </c>
      <c r="F17" s="26">
        <f>'数据-取费表'!B35</f>
        <v>200</v>
      </c>
      <c r="G17" s="1852"/>
      <c r="H17" s="1201" t="s">
        <v>1035</v>
      </c>
      <c r="I17" s="345" t="s">
        <v>1429</v>
      </c>
      <c r="J17" s="24">
        <f ca="1">ROUND(IF(项目基本情况!B11="自然人",J5*M17,J18+J19+J20),1)</f>
        <v>74.3</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91</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6786</v>
      </c>
      <c r="D19" s="138" t="s">
        <v>1436</v>
      </c>
      <c r="E19" s="2946"/>
      <c r="F19" s="26"/>
      <c r="G19" s="1849"/>
      <c r="H19" s="1201" t="s">
        <v>1036</v>
      </c>
      <c r="I19" s="345" t="s">
        <v>1437</v>
      </c>
      <c r="J19" s="24">
        <f ca="1">IF(K19="按租金收入计税",ROUND(J5*M19,2),ROUND(C29*M19*0.7,2))</f>
        <v>73.739999999999995</v>
      </c>
      <c r="K19" s="1826" t="s">
        <v>1438</v>
      </c>
      <c r="L19" s="345" t="s">
        <v>1422</v>
      </c>
      <c r="M19" s="365">
        <f>IF(K19="按租金收入计税",'数据-取费表'!B51,'数据-取费表'!B50)</f>
        <v>1.2E-2</v>
      </c>
    </row>
    <row r="20" spans="1:37" s="1856" customFormat="1" ht="18" customHeight="1">
      <c r="A20" s="1201" t="s">
        <v>1039</v>
      </c>
      <c r="B20" s="345" t="s">
        <v>1439</v>
      </c>
      <c r="C20" s="24">
        <f ca="1">ROUND(C19*F20,0)</f>
        <v>136</v>
      </c>
      <c r="D20" s="367" t="s">
        <v>1440</v>
      </c>
      <c r="E20" s="345" t="s">
        <v>1422</v>
      </c>
      <c r="F20" s="365">
        <f>'数据-取费表'!B37</f>
        <v>0.02</v>
      </c>
      <c r="G20" s="1852"/>
      <c r="H20" s="1201" t="s">
        <v>1389</v>
      </c>
      <c r="I20" s="162" t="s">
        <v>1441</v>
      </c>
      <c r="J20" s="25">
        <f ca="1">ROUND(M20*M21/10000,2)</f>
        <v>0.51</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3372.5099999999998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131.69999999999999</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499</v>
      </c>
      <c r="D23" s="373" t="str">
        <f>IF(F23&lt;=1,"(建造成本+管理费用)×利率×(建设周期÷2)","(建造成本+管理费用)×((1+利率)^(建设周期÷2)-1)")</f>
        <v>(建造成本+管理费用)×((1+利率)^(建设周期÷2)-1)</v>
      </c>
      <c r="E23" s="345" t="s">
        <v>1452</v>
      </c>
      <c r="F23" s="369">
        <f>'数据-取费表'!B20</f>
        <v>3</v>
      </c>
      <c r="G23" s="1852"/>
      <c r="H23" s="1201" t="s">
        <v>1075</v>
      </c>
      <c r="I23" s="345" t="s">
        <v>1453</v>
      </c>
      <c r="J23" s="24">
        <f ca="1">ROUND(J13*M23,1)</f>
        <v>0</v>
      </c>
      <c r="K23" s="2941"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1.4E-3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-206</v>
      </c>
      <c r="K25" s="1344" t="s">
        <v>1464</v>
      </c>
      <c r="L25" s="1345"/>
      <c r="M25" s="1346"/>
    </row>
    <row r="26" spans="1:37">
      <c r="A26" s="1201" t="s">
        <v>1034</v>
      </c>
      <c r="B26" s="345" t="s">
        <v>1465</v>
      </c>
      <c r="C26" s="24">
        <f ca="1">ROUND((C19+C20)*F26,0)</f>
        <v>692</v>
      </c>
      <c r="D26" s="367" t="s">
        <v>1466</v>
      </c>
      <c r="E26" s="356" t="s">
        <v>1467</v>
      </c>
      <c r="F26" s="355">
        <f ca="1">INDIRECT("'数据-取费表'!q"&amp;$G$1)</f>
        <v>0.1</v>
      </c>
      <c r="G26" s="1849"/>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4">
        <f ca="1">ROUND(F21*F26,4)</f>
        <v>2E-3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8778</v>
      </c>
      <c r="D29" s="1341"/>
      <c r="E29" s="1339"/>
      <c r="F29" s="1342"/>
      <c r="G29" s="1852"/>
      <c r="H29" s="378" t="s">
        <v>1033</v>
      </c>
      <c r="I29" s="379" t="s">
        <v>1479</v>
      </c>
      <c r="J29" s="380">
        <f ca="1">ROUND(J26/(1+F40)^F41,0)</f>
        <v>0</v>
      </c>
      <c r="K29" s="381" t="s">
        <v>1480</v>
      </c>
      <c r="L29" s="382"/>
      <c r="M29" s="383">
        <f ca="1">INDIRECT("'数据-取费表'!k"&amp;$G$1)</f>
        <v>18631.560000000001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236</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84.1</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25.4</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58.2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0.51</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3372.5099999999998</v>
      </c>
      <c r="G35" s="1849"/>
      <c r="H35" s="743"/>
      <c r="I35" s="1858"/>
      <c r="J35" s="1859"/>
      <c r="K35" s="1860"/>
      <c r="L35" s="1857"/>
      <c r="M35" s="1857"/>
    </row>
    <row r="36" spans="1:18" ht="18" customHeight="1">
      <c r="A36" s="1351" t="s">
        <v>1039</v>
      </c>
      <c r="B36" s="345" t="s">
        <v>1449</v>
      </c>
      <c r="C36" s="24">
        <f ca="1">ROUND(C29*F36,1)</f>
        <v>131.69999999999999</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13.2</v>
      </c>
      <c r="D37" s="2941" t="s">
        <v>1454</v>
      </c>
      <c r="E37" s="345" t="s">
        <v>1422</v>
      </c>
      <c r="F37" s="374">
        <f ca="1">INDIRECT("'数据-取费表'!Al"&amp;$G$1)</f>
        <v>1.5E-3</v>
      </c>
      <c r="G37" s="1849"/>
      <c r="H37" s="1857"/>
      <c r="I37" s="1858"/>
      <c r="J37" s="1859"/>
      <c r="K37" s="749"/>
      <c r="L37" s="1857"/>
      <c r="M37" s="1857"/>
    </row>
    <row r="38" spans="1:18" ht="18" customHeight="1" thickBot="1">
      <c r="A38" s="1338" t="s">
        <v>1392</v>
      </c>
      <c r="B38" s="1339" t="s">
        <v>1439</v>
      </c>
      <c r="C38" s="1340">
        <f ca="1">ROUND(C5*F38,1)</f>
        <v>7.3</v>
      </c>
      <c r="D38" s="1341" t="s">
        <v>1459</v>
      </c>
      <c r="E38" s="1339" t="s">
        <v>1422</v>
      </c>
      <c r="F38" s="1335">
        <f ca="1">INDIRECT("'数据-取费表'!Am"&amp;$G$1)</f>
        <v>1.4999999999999999E-2</v>
      </c>
      <c r="G38" s="1849"/>
      <c r="H38" s="1857"/>
      <c r="I38" s="1858"/>
      <c r="J38" s="1859"/>
      <c r="K38" s="1863"/>
      <c r="L38" s="1857"/>
      <c r="M38" s="1857"/>
    </row>
    <row r="39" spans="1:18" ht="24.6" customHeight="1" thickTop="1">
      <c r="A39" s="1328" t="s">
        <v>1031</v>
      </c>
      <c r="B39" s="1343" t="s">
        <v>1463</v>
      </c>
      <c r="C39" s="353">
        <f ca="1">C5-C30</f>
        <v>249</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4364</v>
      </c>
      <c r="D40" s="368" t="s">
        <v>1469</v>
      </c>
      <c r="E40" s="345" t="s">
        <v>1470</v>
      </c>
      <c r="F40" s="355">
        <f ca="1">INDIRECT("'数据-取费表'!I"&amp;$G$1)</f>
        <v>0.05</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42.85</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f ca="1">ROUND(C40*10000/F43,0)</f>
        <v>2342</v>
      </c>
      <c r="D43" s="381" t="s">
        <v>1488</v>
      </c>
      <c r="E43" s="382" t="s">
        <v>1489</v>
      </c>
      <c r="F43" s="383">
        <f ca="1">INDIRECT("'数据-取费表'!k"&amp;$G$1)</f>
        <v>18631.560000000001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-19841</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4364</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8778</v>
      </c>
      <c r="R49" s="1884" t="s">
        <v>1529</v>
      </c>
    </row>
    <row r="50" spans="1:18" s="1840" customFormat="1" ht="13.5" thickBot="1">
      <c r="A50" s="1195"/>
      <c r="B50" s="1198"/>
      <c r="C50" s="1367"/>
      <c r="D50" s="1172"/>
      <c r="E50" s="1276" t="s">
        <v>1406</v>
      </c>
      <c r="F50" s="1277">
        <f ca="1">F7</f>
        <v>532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12</v>
      </c>
      <c r="I51" s="1896" t="s">
        <v>1540</v>
      </c>
      <c r="J51" s="1897">
        <f>IF(J49="",J50,J49+J50-YEAR('数据-取费表'!B2))</f>
        <v>60</v>
      </c>
      <c r="K51" s="1898" t="s">
        <v>1541</v>
      </c>
      <c r="L51" s="1899">
        <f ca="1">ROUND(-PV(INDIRECT("'数据-取费表'!h"&amp;$G$1),L48,(C39-C13*C76),0),0)</f>
        <v>-9513</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42.85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42.85</v>
      </c>
      <c r="K53" s="3209" t="s">
        <v>1548</v>
      </c>
      <c r="L53" s="3210"/>
      <c r="O53" s="1882" t="s">
        <v>1046</v>
      </c>
      <c r="P53" s="1883" t="s">
        <v>1549</v>
      </c>
      <c r="Q53" s="1884">
        <f ca="1">Q47+Q48</f>
        <v>4364</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8778</v>
      </c>
      <c r="D56" s="1912"/>
      <c r="E56" s="1913"/>
      <c r="F56" s="1905"/>
      <c r="I56" s="1914" t="s">
        <v>1554</v>
      </c>
      <c r="J56" s="1915" t="s">
        <v>3053</v>
      </c>
      <c r="K56" s="1885" t="s">
        <v>1555</v>
      </c>
      <c r="L56" s="1888" t="str">
        <f ca="1">IF(L48&lt;J51,"——",L48-J53)</f>
        <v>——</v>
      </c>
      <c r="O56" s="1882" t="s">
        <v>1040</v>
      </c>
      <c r="P56" s="1883" t="s">
        <v>1528</v>
      </c>
      <c r="Q56" s="1884">
        <f ca="1">C40+J29</f>
        <v>4364</v>
      </c>
      <c r="R56" s="1884" t="s">
        <v>1529</v>
      </c>
    </row>
    <row r="57" spans="1:18" s="1840" customFormat="1" ht="24.75" thickBot="1">
      <c r="A57" s="1916"/>
      <c r="B57" s="1169" t="s">
        <v>1478</v>
      </c>
      <c r="C57" s="280">
        <f ca="1">C29</f>
        <v>8778</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883</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737.9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737.35</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0.51</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4364</v>
      </c>
      <c r="R62" s="1884" t="s">
        <v>1047</v>
      </c>
    </row>
    <row r="63" spans="1:18" s="1840" customFormat="1" ht="13.5" thickBot="1">
      <c r="A63" s="370"/>
      <c r="B63" s="1175"/>
      <c r="C63" s="29"/>
      <c r="D63" s="1185"/>
      <c r="E63" s="1169" t="s">
        <v>1447</v>
      </c>
      <c r="F63" s="346">
        <f t="shared" ca="1" si="0"/>
        <v>3372.5099999999998</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131.69999999999999</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13.2</v>
      </c>
      <c r="D65" s="1183" t="s">
        <v>1454</v>
      </c>
      <c r="E65" s="1169" t="s">
        <v>1422</v>
      </c>
      <c r="F65" s="374">
        <f t="shared" ca="1" si="0"/>
        <v>1.5E-3</v>
      </c>
      <c r="I65" s="1927" t="s">
        <v>1579</v>
      </c>
      <c r="J65" s="1928">
        <v>40</v>
      </c>
      <c r="K65" s="1928">
        <v>30</v>
      </c>
      <c r="L65" s="1928">
        <v>50</v>
      </c>
      <c r="M65" s="1930">
        <v>0.02</v>
      </c>
      <c r="O65" s="1882" t="s">
        <v>1040</v>
      </c>
      <c r="P65" s="1883" t="s">
        <v>1528</v>
      </c>
      <c r="Q65" s="1884">
        <f ca="1">C40+J29</f>
        <v>4364</v>
      </c>
      <c r="R65" s="1884" t="s">
        <v>1529</v>
      </c>
    </row>
    <row r="66" spans="1:18" s="1840" customFormat="1" ht="16.5" thickBot="1">
      <c r="A66" s="1201" t="s">
        <v>1504</v>
      </c>
      <c r="B66" s="1169" t="s">
        <v>1439</v>
      </c>
      <c r="C66" s="24">
        <f ca="1">ROUND(C48*F66,1)</f>
        <v>0</v>
      </c>
      <c r="D66" s="1183" t="s">
        <v>1459</v>
      </c>
      <c r="E66" s="1169" t="s">
        <v>1422</v>
      </c>
      <c r="F66" s="355">
        <f t="shared" ca="1" si="0"/>
        <v>1.4999999999999999E-2</v>
      </c>
      <c r="O66" s="1882" t="s">
        <v>1041</v>
      </c>
      <c r="P66" s="1883" t="s">
        <v>1558</v>
      </c>
      <c r="Q66" s="1884">
        <f ca="1">L60</f>
        <v>0</v>
      </c>
      <c r="R66" s="1884" t="s">
        <v>1581</v>
      </c>
    </row>
    <row r="67" spans="1:18" s="1840" customFormat="1" ht="16.5" thickBot="1">
      <c r="A67" s="1176" t="s">
        <v>1031</v>
      </c>
      <c r="B67" s="1186" t="s">
        <v>1463</v>
      </c>
      <c r="C67" s="359">
        <f ca="1">C48-C58</f>
        <v>-883</v>
      </c>
      <c r="D67" s="1182" t="s">
        <v>1464</v>
      </c>
      <c r="E67" s="1187"/>
      <c r="F67" s="1188"/>
      <c r="O67" s="1892" t="s">
        <v>1042</v>
      </c>
      <c r="P67" s="1883" t="s">
        <v>1562</v>
      </c>
      <c r="Q67" s="1931">
        <f ca="1">L51</f>
        <v>-9513</v>
      </c>
      <c r="R67" s="1884" t="s">
        <v>1582</v>
      </c>
    </row>
    <row r="68" spans="1:18" s="1840" customFormat="1" ht="16.5" thickBot="1">
      <c r="A68" s="1166" t="s">
        <v>1032</v>
      </c>
      <c r="B68" s="1167" t="s">
        <v>1485</v>
      </c>
      <c r="C68" s="344">
        <f ca="1">ROUND(C67*(1-((1+F70)/(1+F68))^F69)/(F68-F70),0)</f>
        <v>-15477</v>
      </c>
      <c r="D68" s="1184" t="s">
        <v>1469</v>
      </c>
      <c r="E68" s="1169" t="s">
        <v>1470</v>
      </c>
      <c r="F68" s="355">
        <f ca="1">F40</f>
        <v>0.05</v>
      </c>
      <c r="O68" s="1892" t="s">
        <v>1043</v>
      </c>
      <c r="P68" s="1932" t="s">
        <v>1583</v>
      </c>
      <c r="Q68" s="1884">
        <f ca="1">ROUND(Q69-Q70*Q71,0)</f>
        <v>-497</v>
      </c>
      <c r="R68" s="1884" t="s">
        <v>1051</v>
      </c>
    </row>
    <row r="69" spans="1:18" s="1840" customFormat="1" ht="13.5" thickBot="1">
      <c r="A69" s="1170"/>
      <c r="B69" s="1171"/>
      <c r="C69" s="349"/>
      <c r="D69" s="1189" t="s">
        <v>1473</v>
      </c>
      <c r="E69" s="1169" t="s">
        <v>1474</v>
      </c>
      <c r="F69" s="377">
        <f ca="1">F41</f>
        <v>42.85</v>
      </c>
      <c r="O69" s="1892" t="s">
        <v>1048</v>
      </c>
      <c r="P69" s="1932" t="s">
        <v>1584</v>
      </c>
      <c r="Q69" s="1884">
        <f ca="1">C39</f>
        <v>249</v>
      </c>
      <c r="R69" s="1884" t="s">
        <v>1529</v>
      </c>
    </row>
    <row r="70" spans="1:18" s="1840" customFormat="1" ht="13.5" thickBot="1">
      <c r="A70" s="1173"/>
      <c r="B70" s="1174"/>
      <c r="C70" s="353"/>
      <c r="D70" s="1185"/>
      <c r="E70" s="1169" t="s">
        <v>1477</v>
      </c>
      <c r="F70" s="1274"/>
      <c r="O70" s="1892" t="s">
        <v>1049</v>
      </c>
      <c r="P70" s="1932" t="s">
        <v>1585</v>
      </c>
      <c r="Q70" s="1884">
        <f ca="1">C13</f>
        <v>8778</v>
      </c>
      <c r="R70" s="1884" t="s">
        <v>1529</v>
      </c>
    </row>
    <row r="71" spans="1:18" s="1840" customFormat="1" ht="13.5" thickBot="1">
      <c r="A71" s="1190" t="s">
        <v>1033</v>
      </c>
      <c r="B71" s="1191" t="s">
        <v>1487</v>
      </c>
      <c r="C71" s="380">
        <f ca="1">ROUND(C68*10000/F71,0)</f>
        <v>-8307</v>
      </c>
      <c r="D71" s="1192" t="s">
        <v>1488</v>
      </c>
      <c r="E71" s="1193" t="s">
        <v>1489</v>
      </c>
      <c r="F71" s="383">
        <f ca="1">F43</f>
        <v>18631.560000000001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746</v>
      </c>
      <c r="D75" s="1840"/>
      <c r="E75" s="1840"/>
      <c r="F75" s="1840"/>
      <c r="K75" s="1866"/>
      <c r="L75" s="1840"/>
      <c r="O75" s="1882" t="s">
        <v>1046</v>
      </c>
      <c r="P75" s="1883" t="s">
        <v>1549</v>
      </c>
      <c r="Q75" s="1884">
        <f ca="1">Q65+Q66</f>
        <v>4364</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-1.996</v>
      </c>
    </row>
    <row r="80" spans="1:18">
      <c r="B80" s="384" t="s">
        <v>1511</v>
      </c>
      <c r="C80" s="316">
        <f ca="1">ROUND(C75/C39,3)</f>
        <v>2.996</v>
      </c>
    </row>
    <row r="81" spans="2:3">
      <c r="B81" s="312" t="s">
        <v>1512</v>
      </c>
      <c r="C81" s="280"/>
    </row>
    <row r="82" spans="2:3">
      <c r="B82" s="315" t="s">
        <v>1513</v>
      </c>
      <c r="C82" s="317">
        <f ca="1">1-C83</f>
        <v>-1.0110000000000001</v>
      </c>
    </row>
    <row r="83" spans="2:3">
      <c r="B83" s="315" t="s">
        <v>1514</v>
      </c>
      <c r="C83" s="316">
        <f ca="1">ROUND(C13/C40,3)</f>
        <v>2.0110000000000001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2747</v>
      </c>
      <c r="B1" s="393"/>
      <c r="C1" s="394" t="s">
        <v>2798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2333</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ROUND(IF(D3="",B2*10000/'数据-汇总表'!E3,B2*10000/D3),0)</f>
        <v>#DIV/0!</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4" t="s">
        <v>2649</v>
      </c>
      <c r="D4" s="3185"/>
      <c r="E4" s="3186" t="s">
        <v>2650</v>
      </c>
      <c r="F4" s="3187"/>
      <c r="G4" s="3184" t="s">
        <v>2651</v>
      </c>
      <c r="H4" s="3185"/>
      <c r="I4" s="3184" t="s">
        <v>2652</v>
      </c>
      <c r="J4" s="3185"/>
      <c r="K4" s="608" t="s">
        <v>2653</v>
      </c>
      <c r="L4" s="1130"/>
      <c r="M4" s="1131"/>
      <c r="N4" s="1131"/>
      <c r="O4" s="1131"/>
      <c r="P4" s="3188" t="s">
        <v>2654</v>
      </c>
      <c r="Q4" s="3189"/>
      <c r="R4" s="3171" t="s">
        <v>2650</v>
      </c>
      <c r="S4" s="3172"/>
      <c r="T4" s="3171" t="s">
        <v>2651</v>
      </c>
      <c r="U4" s="3172"/>
      <c r="V4" s="3196" t="s">
        <v>2652</v>
      </c>
      <c r="W4" s="3196"/>
      <c r="X4" s="1811"/>
      <c r="Y4" s="3171" t="s">
        <v>2654</v>
      </c>
      <c r="Z4" s="3172"/>
      <c r="AA4" s="3166" t="s">
        <v>2650</v>
      </c>
      <c r="AB4" s="3167" t="s">
        <v>2651</v>
      </c>
      <c r="AC4" s="3166" t="s">
        <v>2652</v>
      </c>
    </row>
    <row r="5" spans="1:29" ht="15">
      <c r="A5" s="402"/>
      <c r="B5" s="403"/>
      <c r="C5" s="3177" t="s">
        <v>2545</v>
      </c>
      <c r="D5" s="3178"/>
      <c r="E5" s="3175" t="s">
        <v>2546</v>
      </c>
      <c r="F5" s="3176"/>
      <c r="G5" s="3177" t="s">
        <v>2547</v>
      </c>
      <c r="H5" s="3178"/>
      <c r="I5" s="3177" t="s">
        <v>2548</v>
      </c>
      <c r="J5" s="3178"/>
      <c r="K5" s="608"/>
      <c r="L5" s="1130"/>
      <c r="M5" s="1131"/>
      <c r="N5" s="1131"/>
      <c r="O5" s="1131"/>
      <c r="P5" s="3190"/>
      <c r="Q5" s="3191"/>
      <c r="R5" s="3173"/>
      <c r="S5" s="3174"/>
      <c r="T5" s="3173"/>
      <c r="U5" s="3174"/>
      <c r="V5" s="3196"/>
      <c r="W5" s="3196"/>
      <c r="X5" s="1811"/>
      <c r="Y5" s="3173"/>
      <c r="Z5" s="3174"/>
      <c r="AA5" s="3167"/>
      <c r="AB5" s="3167"/>
      <c r="AC5" s="3167"/>
    </row>
    <row r="6" spans="1:29" ht="15.75" thickBot="1">
      <c r="A6" s="404"/>
      <c r="B6" s="405"/>
      <c r="C6" s="3259" t="s">
        <v>2799</v>
      </c>
      <c r="D6" s="3260"/>
      <c r="E6" s="3261" t="s">
        <v>2799</v>
      </c>
      <c r="F6" s="3262"/>
      <c r="G6" s="3259" t="s">
        <v>2799</v>
      </c>
      <c r="H6" s="3260"/>
      <c r="I6" s="3259" t="s">
        <v>2799</v>
      </c>
      <c r="J6" s="3260"/>
      <c r="K6" s="608" t="s">
        <v>2550</v>
      </c>
      <c r="L6" s="1130"/>
      <c r="M6" s="1131"/>
      <c r="N6" s="1131"/>
      <c r="O6" s="1131"/>
      <c r="P6" s="3192"/>
      <c r="Q6" s="3193"/>
      <c r="R6" s="3173"/>
      <c r="S6" s="3174"/>
      <c r="T6" s="3194"/>
      <c r="U6" s="3195"/>
      <c r="V6" s="3196"/>
      <c r="W6" s="3196"/>
      <c r="X6" s="1811"/>
      <c r="Y6" s="3194"/>
      <c r="Z6" s="3195"/>
      <c r="AA6" s="3168"/>
      <c r="AB6" s="3168"/>
      <c r="AC6" s="3168"/>
    </row>
    <row r="7" spans="1:29" s="115" customFormat="1" ht="15.75" thickBot="1">
      <c r="A7" s="406" t="s">
        <v>2551</v>
      </c>
      <c r="B7" s="407"/>
      <c r="C7" s="408">
        <f>'数据-取费表'!B2</f>
        <v>43294</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169" t="s">
        <v>2552</v>
      </c>
      <c r="Q7" s="3197"/>
      <c r="R7" s="768" t="s">
        <v>17</v>
      </c>
      <c r="S7" s="769">
        <f t="shared" ref="S7:S15" si="0">F7</f>
        <v>0</v>
      </c>
      <c r="T7" s="768" t="s">
        <v>17</v>
      </c>
      <c r="U7" s="769">
        <f t="shared" ref="U7:U15" si="1">H7</f>
        <v>0</v>
      </c>
      <c r="V7" s="768" t="s">
        <v>17</v>
      </c>
      <c r="W7" s="769">
        <f t="shared" ref="W7:W15" si="2">J7</f>
        <v>0</v>
      </c>
      <c r="X7" s="770"/>
      <c r="Y7" s="3169" t="s">
        <v>2552</v>
      </c>
      <c r="Z7" s="3170"/>
      <c r="AA7" s="771" t="e">
        <f>D7/F7</f>
        <v>#DIV/0!</v>
      </c>
      <c r="AB7" s="771" t="e">
        <f>D7/H7</f>
        <v>#DIV/0!</v>
      </c>
      <c r="AC7" s="771" t="e">
        <f>D7/J7</f>
        <v>#DIV/0!</v>
      </c>
    </row>
    <row r="8" spans="1:29" s="115" customFormat="1" ht="15.75" thickBot="1">
      <c r="A8" s="406" t="s">
        <v>2553</v>
      </c>
      <c r="B8" s="407"/>
      <c r="C8" s="412" t="s">
        <v>2554</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169" t="s">
        <v>2555</v>
      </c>
      <c r="Q8" s="3170"/>
      <c r="R8" s="768" t="s">
        <v>17</v>
      </c>
      <c r="S8" s="769">
        <f t="shared" si="0"/>
        <v>0</v>
      </c>
      <c r="T8" s="768" t="s">
        <v>17</v>
      </c>
      <c r="U8" s="769">
        <f t="shared" si="1"/>
        <v>0</v>
      </c>
      <c r="V8" s="768" t="s">
        <v>17</v>
      </c>
      <c r="W8" s="769">
        <f t="shared" si="2"/>
        <v>0</v>
      </c>
      <c r="X8" s="770"/>
      <c r="Y8" s="3169" t="s">
        <v>2555</v>
      </c>
      <c r="Z8" s="3170"/>
      <c r="AA8" s="771" t="e">
        <f t="shared" ref="AA8:AA40" si="3">D8/F8</f>
        <v>#DIV/0!</v>
      </c>
      <c r="AB8" s="771" t="e">
        <f t="shared" ref="AB8:AB40" si="4">D8/H8</f>
        <v>#DIV/0!</v>
      </c>
      <c r="AC8" s="771" t="e">
        <f t="shared" ref="AC8:AC40" si="5">D8/J8</f>
        <v>#DIV/0!</v>
      </c>
    </row>
    <row r="9" spans="1:29" s="115" customFormat="1">
      <c r="A9" s="413" t="s">
        <v>2556</v>
      </c>
      <c r="B9" s="71" t="s">
        <v>2557</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83" t="s">
        <v>2558</v>
      </c>
      <c r="Q9" s="1793" t="str">
        <f t="shared" ref="Q9:Q15" si="6">B9</f>
        <v>用途</v>
      </c>
      <c r="R9" s="768" t="s">
        <v>17</v>
      </c>
      <c r="S9" s="769">
        <f t="shared" si="0"/>
        <v>100</v>
      </c>
      <c r="T9" s="768" t="s">
        <v>17</v>
      </c>
      <c r="U9" s="769">
        <f t="shared" si="1"/>
        <v>100</v>
      </c>
      <c r="V9" s="768" t="s">
        <v>17</v>
      </c>
      <c r="W9" s="769">
        <f t="shared" si="2"/>
        <v>100</v>
      </c>
      <c r="X9" s="770"/>
      <c r="Y9" s="3043" t="s">
        <v>2559</v>
      </c>
      <c r="Z9" s="55" t="str">
        <f t="shared" ref="Z9:Z15" si="7">Q9</f>
        <v>用途</v>
      </c>
      <c r="AA9" s="771">
        <f t="shared" si="3"/>
        <v>1</v>
      </c>
      <c r="AB9" s="771">
        <f t="shared" si="4"/>
        <v>1</v>
      </c>
      <c r="AC9" s="771">
        <f t="shared" si="5"/>
        <v>1</v>
      </c>
    </row>
    <row r="10" spans="1:29" s="425" customFormat="1" ht="27">
      <c r="A10" s="419"/>
      <c r="B10" s="420" t="s">
        <v>2560</v>
      </c>
      <c r="C10" s="430"/>
      <c r="D10" s="134">
        <v>100</v>
      </c>
      <c r="E10" s="430"/>
      <c r="F10" s="134">
        <f>ROUND(100/'数据-取费表'!G16,0)</f>
        <v>104</v>
      </c>
      <c r="G10" s="430"/>
      <c r="H10" s="134">
        <f>ROUND(100/'数据-取费表'!G16,0)</f>
        <v>104</v>
      </c>
      <c r="I10" s="430"/>
      <c r="J10" s="134">
        <f>ROUND(100/'数据-取费表'!G16,0)</f>
        <v>104</v>
      </c>
      <c r="K10" s="670"/>
      <c r="L10" s="1135"/>
      <c r="M10" s="1136"/>
      <c r="N10" s="1136"/>
      <c r="O10" s="1137"/>
      <c r="P10" s="3183"/>
      <c r="Q10" s="1793" t="str">
        <f t="shared" si="6"/>
        <v>土地使用年限（年）</v>
      </c>
      <c r="R10" s="768" t="s">
        <v>17</v>
      </c>
      <c r="S10" s="769">
        <f t="shared" si="0"/>
        <v>104</v>
      </c>
      <c r="T10" s="768" t="s">
        <v>17</v>
      </c>
      <c r="U10" s="769">
        <f t="shared" si="1"/>
        <v>104</v>
      </c>
      <c r="V10" s="768" t="s">
        <v>17</v>
      </c>
      <c r="W10" s="769">
        <f t="shared" si="2"/>
        <v>104</v>
      </c>
      <c r="X10" s="770"/>
      <c r="Y10" s="3043"/>
      <c r="Z10" s="55" t="str">
        <f t="shared" si="7"/>
        <v>土地使用年限（年）</v>
      </c>
      <c r="AA10" s="771">
        <f t="shared" si="3"/>
        <v>0.96153846153846156</v>
      </c>
      <c r="AB10" s="771">
        <f t="shared" si="4"/>
        <v>0.96153846153846156</v>
      </c>
      <c r="AC10" s="771">
        <f t="shared" si="5"/>
        <v>0.96153846153846156</v>
      </c>
    </row>
    <row r="11" spans="1:29" ht="15">
      <c r="A11" s="426"/>
      <c r="B11" s="420" t="s">
        <v>2561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83"/>
      <c r="Q11" s="1793" t="str">
        <f t="shared" si="6"/>
        <v>容积率</v>
      </c>
      <c r="R11" s="768" t="s">
        <v>17</v>
      </c>
      <c r="S11" s="769" t="e">
        <f t="shared" si="0"/>
        <v>#N/A</v>
      </c>
      <c r="T11" s="768" t="s">
        <v>17</v>
      </c>
      <c r="U11" s="769" t="e">
        <f t="shared" si="1"/>
        <v>#N/A</v>
      </c>
      <c r="V11" s="768" t="s">
        <v>17</v>
      </c>
      <c r="W11" s="769" t="e">
        <f t="shared" si="2"/>
        <v>#N/A</v>
      </c>
      <c r="X11" s="770"/>
      <c r="Y11" s="3043"/>
      <c r="Z11" s="55"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83"/>
      <c r="Q12" s="1793">
        <f t="shared" si="6"/>
        <v>111</v>
      </c>
      <c r="R12" s="768" t="s">
        <v>17</v>
      </c>
      <c r="S12" s="769">
        <f t="shared" si="0"/>
        <v>100</v>
      </c>
      <c r="T12" s="768" t="s">
        <v>17</v>
      </c>
      <c r="U12" s="769">
        <f t="shared" si="1"/>
        <v>100</v>
      </c>
      <c r="V12" s="768" t="s">
        <v>17</v>
      </c>
      <c r="W12" s="769">
        <f t="shared" si="2"/>
        <v>100</v>
      </c>
      <c r="X12" s="770"/>
      <c r="Y12" s="3043"/>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83"/>
      <c r="Q13" s="1793">
        <f t="shared" si="6"/>
        <v>111</v>
      </c>
      <c r="R13" s="768" t="s">
        <v>17</v>
      </c>
      <c r="S13" s="769">
        <f t="shared" si="0"/>
        <v>100</v>
      </c>
      <c r="T13" s="768" t="s">
        <v>17</v>
      </c>
      <c r="U13" s="769">
        <f t="shared" si="1"/>
        <v>100</v>
      </c>
      <c r="V13" s="768" t="s">
        <v>17</v>
      </c>
      <c r="W13" s="769">
        <f t="shared" si="2"/>
        <v>100</v>
      </c>
      <c r="X13" s="770"/>
      <c r="Y13" s="3043"/>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83"/>
      <c r="Q14" s="1793">
        <f t="shared" si="6"/>
        <v>111</v>
      </c>
      <c r="R14" s="768" t="s">
        <v>17</v>
      </c>
      <c r="S14" s="769">
        <f t="shared" si="0"/>
        <v>100</v>
      </c>
      <c r="T14" s="768" t="s">
        <v>17</v>
      </c>
      <c r="U14" s="769">
        <f t="shared" si="1"/>
        <v>100</v>
      </c>
      <c r="V14" s="768" t="s">
        <v>17</v>
      </c>
      <c r="W14" s="769">
        <f t="shared" si="2"/>
        <v>100</v>
      </c>
      <c r="X14" s="770"/>
      <c r="Y14" s="3043"/>
      <c r="Z14" s="55">
        <f t="shared" si="7"/>
        <v>111</v>
      </c>
      <c r="AA14" s="771">
        <f t="shared" si="3"/>
        <v>1</v>
      </c>
      <c r="AB14" s="771">
        <f t="shared" si="4"/>
        <v>1</v>
      </c>
      <c r="AC14" s="771">
        <f t="shared" si="5"/>
        <v>1</v>
      </c>
    </row>
    <row r="15" spans="1:29" ht="57">
      <c r="A15" s="438" t="s">
        <v>2562</v>
      </c>
      <c r="B15" s="627" t="s">
        <v>2800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98" t="s">
        <v>2563</v>
      </c>
      <c r="Q15" s="1808" t="str">
        <f t="shared" si="6"/>
        <v>产业集聚程度</v>
      </c>
      <c r="R15" s="772" t="s">
        <v>17</v>
      </c>
      <c r="S15" s="773">
        <f t="shared" si="0"/>
        <v>100</v>
      </c>
      <c r="T15" s="772" t="s">
        <v>17</v>
      </c>
      <c r="U15" s="773">
        <f t="shared" si="1"/>
        <v>100</v>
      </c>
      <c r="V15" s="772" t="s">
        <v>17</v>
      </c>
      <c r="W15" s="773">
        <f t="shared" si="2"/>
        <v>100</v>
      </c>
      <c r="X15" s="1811"/>
      <c r="Y15" s="3198" t="s">
        <v>2563</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199"/>
      <c r="Q16" s="1808"/>
      <c r="R16" s="772"/>
      <c r="S16" s="773"/>
      <c r="T16" s="772"/>
      <c r="U16" s="773"/>
      <c r="V16" s="772"/>
      <c r="W16" s="773"/>
      <c r="X16" s="1811"/>
      <c r="Y16" s="3199"/>
      <c r="Z16" s="1812"/>
      <c r="AA16" s="1809">
        <v>1</v>
      </c>
      <c r="AB16" s="1809">
        <v>1</v>
      </c>
      <c r="AC16" s="1809">
        <v>1</v>
      </c>
    </row>
    <row r="17" spans="1:29" ht="85.5">
      <c r="A17" s="426"/>
      <c r="B17" s="629" t="s">
        <v>2712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99"/>
      <c r="Q17" s="1808" t="str">
        <f>B17</f>
        <v>交通便捷度</v>
      </c>
      <c r="R17" s="772" t="s">
        <v>17</v>
      </c>
      <c r="S17" s="773">
        <f>F17</f>
        <v>100</v>
      </c>
      <c r="T17" s="772" t="s">
        <v>17</v>
      </c>
      <c r="U17" s="773">
        <f>H17</f>
        <v>100</v>
      </c>
      <c r="V17" s="772" t="s">
        <v>17</v>
      </c>
      <c r="W17" s="773">
        <f>J17</f>
        <v>100</v>
      </c>
      <c r="X17" s="1811"/>
      <c r="Y17" s="3199"/>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199"/>
      <c r="Q18" s="1808"/>
      <c r="R18" s="772"/>
      <c r="S18" s="773"/>
      <c r="T18" s="772"/>
      <c r="U18" s="773"/>
      <c r="V18" s="772"/>
      <c r="W18" s="773"/>
      <c r="X18" s="1811"/>
      <c r="Y18" s="3199"/>
      <c r="Z18" s="1812"/>
      <c r="AA18" s="1809">
        <v>1</v>
      </c>
      <c r="AB18" s="1809">
        <v>1</v>
      </c>
      <c r="AC18" s="1809">
        <v>1</v>
      </c>
    </row>
    <row r="19" spans="1:29" ht="15">
      <c r="A19" s="426"/>
      <c r="B19" s="629" t="s">
        <v>2751</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99"/>
      <c r="Q19" s="1808" t="str">
        <f t="shared" ref="Q19:Q33" si="8">B19</f>
        <v>区域土地利用方向</v>
      </c>
      <c r="R19" s="772" t="s">
        <v>17</v>
      </c>
      <c r="S19" s="773">
        <f>F19</f>
        <v>100</v>
      </c>
      <c r="T19" s="772" t="s">
        <v>17</v>
      </c>
      <c r="U19" s="773">
        <f>H19</f>
        <v>100</v>
      </c>
      <c r="V19" s="772" t="s">
        <v>17</v>
      </c>
      <c r="W19" s="773">
        <f>J19</f>
        <v>100</v>
      </c>
      <c r="X19" s="1811"/>
      <c r="Y19" s="3199"/>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199"/>
      <c r="Q20" s="1808"/>
      <c r="R20" s="772"/>
      <c r="S20" s="773"/>
      <c r="T20" s="772"/>
      <c r="U20" s="773"/>
      <c r="V20" s="772"/>
      <c r="W20" s="773"/>
      <c r="X20" s="1811"/>
      <c r="Y20" s="3199"/>
      <c r="Z20" s="1812"/>
      <c r="AA20" s="1809"/>
      <c r="AB20" s="1809"/>
      <c r="AC20" s="1809"/>
    </row>
    <row r="21" spans="1:29" ht="71.25">
      <c r="A21" s="402"/>
      <c r="B21" s="629" t="s">
        <v>2801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99"/>
      <c r="Q21" s="1808" t="str">
        <f t="shared" si="8"/>
        <v>环境状况</v>
      </c>
      <c r="R21" s="772" t="s">
        <v>17</v>
      </c>
      <c r="S21" s="773">
        <f>F21</f>
        <v>100</v>
      </c>
      <c r="T21" s="772" t="s">
        <v>17</v>
      </c>
      <c r="U21" s="773">
        <f>H21</f>
        <v>100</v>
      </c>
      <c r="V21" s="772" t="s">
        <v>17</v>
      </c>
      <c r="W21" s="773">
        <f>J21</f>
        <v>100</v>
      </c>
      <c r="X21" s="1811"/>
      <c r="Y21" s="3199"/>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199"/>
      <c r="Q22" s="1808"/>
      <c r="R22" s="772"/>
      <c r="S22" s="773"/>
      <c r="T22" s="772"/>
      <c r="U22" s="773"/>
      <c r="V22" s="772"/>
      <c r="W22" s="773"/>
      <c r="X22" s="1811"/>
      <c r="Y22" s="3199"/>
      <c r="Z22" s="1812"/>
      <c r="AA22" s="1809">
        <v>1</v>
      </c>
      <c r="AB22" s="1809">
        <v>1</v>
      </c>
      <c r="AC22" s="1809">
        <v>1</v>
      </c>
    </row>
    <row r="23" spans="1:29" s="115" customFormat="1" ht="42.75">
      <c r="A23" s="647"/>
      <c r="B23" s="631" t="s">
        <v>2657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99"/>
      <c r="Q23" s="1793" t="str">
        <f t="shared" si="8"/>
        <v>公共配套设施</v>
      </c>
      <c r="R23" s="768" t="s">
        <v>17</v>
      </c>
      <c r="S23" s="769">
        <f>F23</f>
        <v>100</v>
      </c>
      <c r="T23" s="768" t="s">
        <v>17</v>
      </c>
      <c r="U23" s="769">
        <f>H23</f>
        <v>100</v>
      </c>
      <c r="V23" s="768" t="s">
        <v>17</v>
      </c>
      <c r="W23" s="769">
        <f>J23</f>
        <v>100</v>
      </c>
      <c r="X23" s="770"/>
      <c r="Y23" s="3199"/>
      <c r="Z23" s="55"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199"/>
      <c r="Q24" s="1793"/>
      <c r="R24" s="768"/>
      <c r="S24" s="769"/>
      <c r="T24" s="768"/>
      <c r="U24" s="769"/>
      <c r="V24" s="768"/>
      <c r="W24" s="769"/>
      <c r="X24" s="770"/>
      <c r="Y24" s="3199"/>
      <c r="Z24" s="55"/>
      <c r="AA24" s="771">
        <v>1</v>
      </c>
      <c r="AB24" s="771">
        <v>1</v>
      </c>
      <c r="AC24" s="771">
        <v>1</v>
      </c>
    </row>
    <row r="25" spans="1:29" s="115" customFormat="1" ht="28.5">
      <c r="A25" s="647"/>
      <c r="B25" s="631" t="s">
        <v>2658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99"/>
      <c r="Q25" s="1793" t="str">
        <f t="shared" ref="Q25" si="9">B25</f>
        <v>基础设施水平</v>
      </c>
      <c r="R25" s="768" t="s">
        <v>17</v>
      </c>
      <c r="S25" s="769">
        <f>F25</f>
        <v>100</v>
      </c>
      <c r="T25" s="768" t="s">
        <v>17</v>
      </c>
      <c r="U25" s="769">
        <f>H25</f>
        <v>100</v>
      </c>
      <c r="V25" s="768" t="s">
        <v>17</v>
      </c>
      <c r="W25" s="769">
        <f>J25</f>
        <v>100</v>
      </c>
      <c r="X25" s="770"/>
      <c r="Y25" s="3199"/>
      <c r="Z25" s="55"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199"/>
      <c r="Q26" s="1793"/>
      <c r="R26" s="768"/>
      <c r="S26" s="769"/>
      <c r="T26" s="768"/>
      <c r="U26" s="769"/>
      <c r="V26" s="768"/>
      <c r="W26" s="769"/>
      <c r="X26" s="770"/>
      <c r="Y26" s="3199"/>
      <c r="Z26" s="55"/>
      <c r="AA26" s="771">
        <v>1</v>
      </c>
      <c r="AB26" s="771">
        <v>1</v>
      </c>
      <c r="AC26" s="771">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99"/>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99"/>
      <c r="Z27" s="1812" t="str">
        <f t="shared" ref="Z27:Z40" si="13">Q27</f>
        <v>临街状况</v>
      </c>
      <c r="AA27" s="1809">
        <f t="shared" si="3"/>
        <v>1</v>
      </c>
      <c r="AB27" s="1809">
        <f t="shared" si="4"/>
        <v>1</v>
      </c>
      <c r="AC27" s="1809">
        <f t="shared" si="5"/>
        <v>1</v>
      </c>
    </row>
    <row r="28" spans="1:29" ht="27">
      <c r="A28" s="426"/>
      <c r="B28" s="631" t="s">
        <v>2694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99"/>
      <c r="Q28" s="1808" t="str">
        <f t="shared" si="8"/>
        <v>毗邻道路的类型与等级</v>
      </c>
      <c r="R28" s="772" t="s">
        <v>17</v>
      </c>
      <c r="S28" s="773">
        <f t="shared" si="10"/>
        <v>100</v>
      </c>
      <c r="T28" s="772" t="s">
        <v>17</v>
      </c>
      <c r="U28" s="773">
        <f t="shared" si="11"/>
        <v>100</v>
      </c>
      <c r="V28" s="772" t="s">
        <v>17</v>
      </c>
      <c r="W28" s="773">
        <f t="shared" si="12"/>
        <v>100</v>
      </c>
      <c r="X28" s="1811"/>
      <c r="Y28" s="3199"/>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199"/>
      <c r="Q29" s="1808"/>
      <c r="R29" s="772"/>
      <c r="S29" s="773"/>
      <c r="T29" s="772"/>
      <c r="U29" s="773"/>
      <c r="V29" s="772"/>
      <c r="W29" s="773"/>
      <c r="X29" s="1811"/>
      <c r="Y29" s="3199"/>
      <c r="Z29" s="1812"/>
      <c r="AA29" s="1809">
        <v>1</v>
      </c>
      <c r="AB29" s="1809">
        <v>1</v>
      </c>
      <c r="AC29" s="1809">
        <v>1</v>
      </c>
    </row>
    <row r="30" spans="1:29" ht="15">
      <c r="A30" s="426"/>
      <c r="B30" s="652" t="s">
        <v>2753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99"/>
      <c r="Q30" s="1808" t="str">
        <f t="shared" si="8"/>
        <v>土地级别</v>
      </c>
      <c r="R30" s="772" t="s">
        <v>17</v>
      </c>
      <c r="S30" s="773">
        <f t="shared" si="10"/>
        <v>100</v>
      </c>
      <c r="T30" s="772" t="s">
        <v>17</v>
      </c>
      <c r="U30" s="773">
        <f t="shared" si="11"/>
        <v>100</v>
      </c>
      <c r="V30" s="772" t="s">
        <v>17</v>
      </c>
      <c r="W30" s="773">
        <f t="shared" si="12"/>
        <v>100</v>
      </c>
      <c r="X30" s="1811"/>
      <c r="Y30" s="3199"/>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99"/>
      <c r="Q31" s="1808">
        <f t="shared" si="8"/>
        <v>111</v>
      </c>
      <c r="R31" s="772" t="s">
        <v>17</v>
      </c>
      <c r="S31" s="773">
        <f t="shared" si="10"/>
        <v>100</v>
      </c>
      <c r="T31" s="772" t="s">
        <v>17</v>
      </c>
      <c r="U31" s="773">
        <f t="shared" si="11"/>
        <v>100</v>
      </c>
      <c r="V31" s="772" t="s">
        <v>17</v>
      </c>
      <c r="W31" s="773">
        <f t="shared" si="12"/>
        <v>100</v>
      </c>
      <c r="X31" s="1811"/>
      <c r="Y31" s="3199"/>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00" t="s">
        <v>2568</v>
      </c>
      <c r="Q32" s="1808">
        <f t="shared" si="8"/>
        <v>111</v>
      </c>
      <c r="R32" s="772" t="s">
        <v>17</v>
      </c>
      <c r="S32" s="773">
        <f t="shared" si="10"/>
        <v>100</v>
      </c>
      <c r="T32" s="772" t="s">
        <v>17</v>
      </c>
      <c r="U32" s="773">
        <f t="shared" si="11"/>
        <v>100</v>
      </c>
      <c r="V32" s="772" t="s">
        <v>17</v>
      </c>
      <c r="W32" s="773">
        <f t="shared" si="12"/>
        <v>100</v>
      </c>
      <c r="X32" s="1811"/>
      <c r="Y32" s="3201" t="s">
        <v>2568</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01"/>
      <c r="Q33" s="1808">
        <f t="shared" si="8"/>
        <v>111</v>
      </c>
      <c r="R33" s="775" t="s">
        <v>17</v>
      </c>
      <c r="S33" s="776">
        <f t="shared" si="10"/>
        <v>100</v>
      </c>
      <c r="T33" s="775" t="s">
        <v>17</v>
      </c>
      <c r="U33" s="776">
        <f t="shared" si="11"/>
        <v>100</v>
      </c>
      <c r="V33" s="775" t="s">
        <v>17</v>
      </c>
      <c r="W33" s="776">
        <f t="shared" si="12"/>
        <v>100</v>
      </c>
      <c r="X33" s="777"/>
      <c r="Y33" s="3201"/>
      <c r="Z33" s="778">
        <f t="shared" si="13"/>
        <v>111</v>
      </c>
      <c r="AA33" s="1809">
        <f t="shared" si="3"/>
        <v>1</v>
      </c>
      <c r="AB33" s="1809">
        <f t="shared" si="4"/>
        <v>1</v>
      </c>
      <c r="AC33" s="1809">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01"/>
      <c r="Q34" s="1808" t="str">
        <f>B34</f>
        <v>宗地面积</v>
      </c>
      <c r="R34" s="772" t="s">
        <v>17</v>
      </c>
      <c r="S34" s="773" t="e">
        <f t="shared" si="10"/>
        <v>#N/A</v>
      </c>
      <c r="T34" s="772" t="s">
        <v>17</v>
      </c>
      <c r="U34" s="773" t="e">
        <f t="shared" si="11"/>
        <v>#N/A</v>
      </c>
      <c r="V34" s="772" t="s">
        <v>17</v>
      </c>
      <c r="W34" s="773" t="e">
        <f t="shared" si="12"/>
        <v>#N/A</v>
      </c>
      <c r="X34" s="1811"/>
      <c r="Y34" s="3201"/>
      <c r="Z34" s="1812" t="str">
        <f t="shared" si="13"/>
        <v>宗地面积</v>
      </c>
      <c r="AA34" s="1809" t="e">
        <f t="shared" si="3"/>
        <v>#N/A</v>
      </c>
      <c r="AB34" s="1809" t="e">
        <f t="shared" si="4"/>
        <v>#N/A</v>
      </c>
      <c r="AC34" s="1809" t="e">
        <f t="shared" si="5"/>
        <v>#N/A</v>
      </c>
    </row>
    <row r="35" spans="1:29" ht="15">
      <c r="A35" s="470"/>
      <c r="B35" s="420" t="s">
        <v>2755</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201"/>
      <c r="Q35" s="1808" t="str">
        <f t="shared" ref="Q35:Q40" si="14">B35</f>
        <v>宗地形状</v>
      </c>
      <c r="R35" s="772" t="s">
        <v>17</v>
      </c>
      <c r="S35" s="773">
        <f t="shared" si="10"/>
        <v>100</v>
      </c>
      <c r="T35" s="772" t="s">
        <v>17</v>
      </c>
      <c r="U35" s="773">
        <f t="shared" si="11"/>
        <v>100</v>
      </c>
      <c r="V35" s="772" t="s">
        <v>17</v>
      </c>
      <c r="W35" s="773">
        <f t="shared" si="12"/>
        <v>100</v>
      </c>
      <c r="X35" s="1811"/>
      <c r="Y35" s="3201"/>
      <c r="Z35" s="1812" t="str">
        <f t="shared" si="13"/>
        <v>宗地形状</v>
      </c>
      <c r="AA35" s="1809">
        <f t="shared" si="3"/>
        <v>1</v>
      </c>
      <c r="AB35" s="1809">
        <f t="shared" si="4"/>
        <v>1</v>
      </c>
      <c r="AC35" s="1809">
        <f t="shared" si="5"/>
        <v>1</v>
      </c>
    </row>
    <row r="36" spans="1:29" s="115" customFormat="1" ht="15">
      <c r="A36" s="471"/>
      <c r="B36" s="420" t="s">
        <v>2757</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201"/>
      <c r="Q36" s="1808" t="str">
        <f t="shared" si="14"/>
        <v>宗地开发程度</v>
      </c>
      <c r="R36" s="768" t="s">
        <v>17</v>
      </c>
      <c r="S36" s="769">
        <f t="shared" si="10"/>
        <v>100</v>
      </c>
      <c r="T36" s="768" t="s">
        <v>17</v>
      </c>
      <c r="U36" s="769">
        <f t="shared" si="11"/>
        <v>100</v>
      </c>
      <c r="V36" s="768" t="s">
        <v>17</v>
      </c>
      <c r="W36" s="769">
        <f t="shared" si="12"/>
        <v>100</v>
      </c>
      <c r="X36" s="770"/>
      <c r="Y36" s="3201"/>
      <c r="Z36" s="55" t="str">
        <f t="shared" si="13"/>
        <v>宗地开发程度</v>
      </c>
      <c r="AA36" s="771">
        <f t="shared" si="3"/>
        <v>1</v>
      </c>
      <c r="AB36" s="771">
        <f t="shared" si="4"/>
        <v>1</v>
      </c>
      <c r="AC36" s="771">
        <f t="shared" si="5"/>
        <v>1</v>
      </c>
    </row>
    <row r="37" spans="1:29" ht="15">
      <c r="A37" s="470"/>
      <c r="B37" s="420" t="s">
        <v>2758</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201" t="s">
        <v>2568</v>
      </c>
      <c r="Q37" s="1808" t="str">
        <f t="shared" si="14"/>
        <v>工程地质条件</v>
      </c>
      <c r="R37" s="772" t="s">
        <v>17</v>
      </c>
      <c r="S37" s="773">
        <f t="shared" si="10"/>
        <v>100</v>
      </c>
      <c r="T37" s="772" t="s">
        <v>17</v>
      </c>
      <c r="U37" s="773">
        <f t="shared" si="11"/>
        <v>100</v>
      </c>
      <c r="V37" s="772" t="s">
        <v>17</v>
      </c>
      <c r="W37" s="773">
        <f t="shared" si="12"/>
        <v>100</v>
      </c>
      <c r="X37" s="1811"/>
      <c r="Y37" s="3201" t="s">
        <v>2568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01"/>
      <c r="Q38" s="1808">
        <f t="shared" si="14"/>
        <v>111</v>
      </c>
      <c r="R38" s="772" t="s">
        <v>17</v>
      </c>
      <c r="S38" s="773">
        <f t="shared" si="10"/>
        <v>100</v>
      </c>
      <c r="T38" s="772" t="s">
        <v>17</v>
      </c>
      <c r="U38" s="773">
        <f t="shared" si="11"/>
        <v>100</v>
      </c>
      <c r="V38" s="772" t="s">
        <v>17</v>
      </c>
      <c r="W38" s="773">
        <f t="shared" si="12"/>
        <v>100</v>
      </c>
      <c r="X38" s="1811"/>
      <c r="Y38" s="3201"/>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01"/>
      <c r="Q39" s="1808">
        <f t="shared" si="14"/>
        <v>111</v>
      </c>
      <c r="R39" s="772" t="s">
        <v>17</v>
      </c>
      <c r="S39" s="773">
        <f t="shared" si="10"/>
        <v>100</v>
      </c>
      <c r="T39" s="772" t="s">
        <v>17</v>
      </c>
      <c r="U39" s="773">
        <f t="shared" si="11"/>
        <v>100</v>
      </c>
      <c r="V39" s="772" t="s">
        <v>17</v>
      </c>
      <c r="W39" s="773">
        <f t="shared" si="12"/>
        <v>100</v>
      </c>
      <c r="X39" s="1811"/>
      <c r="Y39" s="3201"/>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01"/>
      <c r="Q40" s="1808">
        <f t="shared" si="14"/>
        <v>111</v>
      </c>
      <c r="R40" s="775" t="s">
        <v>17</v>
      </c>
      <c r="S40" s="776">
        <f t="shared" si="10"/>
        <v>100</v>
      </c>
      <c r="T40" s="775" t="s">
        <v>17</v>
      </c>
      <c r="U40" s="776">
        <f t="shared" si="11"/>
        <v>100</v>
      </c>
      <c r="V40" s="775" t="s">
        <v>17</v>
      </c>
      <c r="W40" s="776">
        <f t="shared" si="12"/>
        <v>100</v>
      </c>
      <c r="X40" s="777"/>
      <c r="Y40" s="3201"/>
      <c r="Z40" s="778">
        <f t="shared" si="13"/>
        <v>111</v>
      </c>
      <c r="AA40" s="1809">
        <f t="shared" si="3"/>
        <v>1</v>
      </c>
      <c r="AB40" s="1809">
        <f t="shared" si="4"/>
        <v>1</v>
      </c>
      <c r="AC40" s="1809">
        <f t="shared" si="5"/>
        <v>1</v>
      </c>
    </row>
    <row r="41" spans="1:29" ht="15">
      <c r="A41" s="477" t="s">
        <v>2723</v>
      </c>
      <c r="B41" s="2702" t="s">
        <v>2802</v>
      </c>
      <c r="C41" s="680" t="s">
        <v>1</v>
      </c>
      <c r="D41" s="479"/>
      <c r="E41" s="480"/>
      <c r="F41" s="481"/>
      <c r="G41" s="482"/>
      <c r="H41" s="483"/>
      <c r="I41" s="480"/>
      <c r="J41" s="483"/>
      <c r="K41" s="781"/>
      <c r="L41" s="1143"/>
      <c r="M41" s="1131"/>
      <c r="N41" s="1131"/>
      <c r="O41" s="1144"/>
      <c r="P41" s="3183" t="str">
        <f>A41</f>
        <v>成交单价</v>
      </c>
      <c r="Q41" s="3183"/>
      <c r="R41" s="3196">
        <f>E41</f>
        <v>0</v>
      </c>
      <c r="S41" s="3196"/>
      <c r="T41" s="3196">
        <f>G41</f>
        <v>0</v>
      </c>
      <c r="U41" s="3196"/>
      <c r="V41" s="3196">
        <f>I41</f>
        <v>0</v>
      </c>
      <c r="W41" s="3196"/>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3"/>
      <c r="M42" s="1131"/>
      <c r="N42" s="1131"/>
      <c r="O42" s="1144"/>
      <c r="P42" s="3183" t="str">
        <f>A42</f>
        <v>比较价值（元/平方米）</v>
      </c>
      <c r="Q42" s="3183"/>
      <c r="R42" s="3202" t="e">
        <f>ROUND(PRODUCT(R41,AA7:AA40),0)</f>
        <v>#DIV/0!</v>
      </c>
      <c r="S42" s="3202"/>
      <c r="T42" s="3202" t="e">
        <f>ROUND(PRODUCT(T41,AB7:AB40),0)</f>
        <v>#DIV/0!</v>
      </c>
      <c r="U42" s="3202"/>
      <c r="V42" s="3202" t="e">
        <f>ROUND(PRODUCT(V41,AC7:AC40),0)</f>
        <v>#DIV/0!</v>
      </c>
      <c r="W42" s="3202"/>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3"/>
      <c r="M43" s="1131"/>
      <c r="N43" s="1131"/>
      <c r="O43" s="1144"/>
      <c r="P43" s="3203" t="str">
        <f>A43</f>
        <v>估价对象XX用房的比较价值（楼面单价，元/平方米）</v>
      </c>
      <c r="Q43" s="3204"/>
      <c r="R43" s="3205" t="e">
        <f>ROUND(AVERAGE(R42:V42),0)</f>
        <v>#DIV/0!</v>
      </c>
      <c r="S43" s="3205"/>
      <c r="T43" s="3205"/>
      <c r="U43" s="3205"/>
      <c r="V43" s="3205"/>
      <c r="W43" s="3205"/>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2761</v>
      </c>
      <c r="B50" s="683" t="s">
        <v>2762</v>
      </c>
      <c r="C50" s="2703" t="s">
        <v>2763</v>
      </c>
      <c r="D50" s="2704" t="s">
        <v>2764</v>
      </c>
      <c r="E50" s="684" t="s">
        <v>2765</v>
      </c>
      <c r="F50" s="685" t="s">
        <v>2766</v>
      </c>
      <c r="G50" s="3184" t="s">
        <v>2767</v>
      </c>
      <c r="H50" s="3206"/>
      <c r="I50" s="1812" t="s">
        <v>2803</v>
      </c>
      <c r="J50" s="1812">
        <f>项目基本情况!F35</f>
        <v>0</v>
      </c>
      <c r="K50" s="2706" t="s">
        <v>2769</v>
      </c>
      <c r="L50" s="1106"/>
      <c r="M50" s="1144"/>
      <c r="N50" s="1144"/>
      <c r="O50" s="1144"/>
    </row>
    <row r="51" spans="1:17" s="690" customFormat="1">
      <c r="A51" s="686" t="s">
        <v>2770</v>
      </c>
      <c r="B51" s="687" t="e">
        <f>C43</f>
        <v>#DIV/0!</v>
      </c>
      <c r="C51" s="688">
        <v>1</v>
      </c>
      <c r="D51" s="1163">
        <v>1</v>
      </c>
      <c r="E51" s="688">
        <f>'数据-汇总表'!E8+'数据-汇总表'!E9</f>
        <v>54642.68</v>
      </c>
      <c r="F51" s="689" t="e">
        <f t="shared" ref="F51:F60" si="15">ROUND(B51*E51/10000,0)</f>
        <v>#DIV/0!</v>
      </c>
      <c r="G51" s="3207"/>
      <c r="H51" s="3183"/>
      <c r="I51" s="942">
        <v>1</v>
      </c>
      <c r="J51" s="942">
        <v>1</v>
      </c>
      <c r="K51" s="1145"/>
      <c r="L51" s="941"/>
      <c r="M51" s="941"/>
      <c r="N51" s="941"/>
      <c r="O51" s="941"/>
    </row>
    <row r="52" spans="1:17" s="690" customFormat="1">
      <c r="A52" s="691" t="s">
        <v>2771</v>
      </c>
      <c r="B52" s="260" t="e">
        <f>ROUND($C$43*C52*D52,0)</f>
        <v>#DIV/0!</v>
      </c>
      <c r="C52" s="198">
        <f t="shared" ref="C52:C60" si="16">IF($C$50="北京市系数",I52,J52)</f>
        <v>0.7</v>
      </c>
      <c r="D52" s="1164">
        <v>0.25</v>
      </c>
      <c r="E52" s="692"/>
      <c r="F52" s="689" t="e">
        <f t="shared" si="15"/>
        <v>#DIV/0!</v>
      </c>
      <c r="G52" s="3208" t="s">
        <v>2772</v>
      </c>
      <c r="H52" s="1104" t="str">
        <f>项目基本情况!B37</f>
        <v>六级</v>
      </c>
      <c r="I52" s="942">
        <f>SUMIF(修正!A45:A56,H52,修正!B45:B56)</f>
        <v>0.7</v>
      </c>
      <c r="J52" s="943"/>
      <c r="K52" s="1144"/>
      <c r="L52" s="941"/>
      <c r="M52" s="941"/>
      <c r="N52" s="941"/>
      <c r="O52" s="941"/>
    </row>
    <row r="53" spans="1:17" s="690" customFormat="1">
      <c r="A53" s="691" t="s">
        <v>2773</v>
      </c>
      <c r="B53" s="260" t="e">
        <f t="shared" ref="B53:B60" si="17">ROUND($C$43*C53*D53,0)</f>
        <v>#DIV/0!</v>
      </c>
      <c r="C53" s="198">
        <f t="shared" si="16"/>
        <v>0.4</v>
      </c>
      <c r="D53" s="1164">
        <v>0.25</v>
      </c>
      <c r="E53" s="692"/>
      <c r="F53" s="689" t="e">
        <f t="shared" si="15"/>
        <v>#DIV/0!</v>
      </c>
      <c r="G53" s="3208"/>
      <c r="H53" s="1104" t="str">
        <f>项目基本情况!B37</f>
        <v>六级</v>
      </c>
      <c r="I53" s="942">
        <f>SUMIF(修正!A45:A56,H53,修正!C45:C56)</f>
        <v>0.4</v>
      </c>
      <c r="J53" s="943"/>
      <c r="K53" s="1145"/>
      <c r="L53" s="941"/>
      <c r="M53" s="941"/>
      <c r="N53" s="941"/>
      <c r="O53" s="941"/>
    </row>
    <row r="54" spans="1:17" s="690" customFormat="1">
      <c r="A54" s="691" t="s">
        <v>2774</v>
      </c>
      <c r="B54" s="260" t="e">
        <f t="shared" si="17"/>
        <v>#DIV/0!</v>
      </c>
      <c r="C54" s="198">
        <f t="shared" si="16"/>
        <v>0.28000000000000003</v>
      </c>
      <c r="D54" s="1164">
        <v>0.25</v>
      </c>
      <c r="E54" s="692"/>
      <c r="F54" s="689" t="e">
        <f t="shared" si="15"/>
        <v>#DIV/0!</v>
      </c>
      <c r="G54" s="3208"/>
      <c r="H54" s="1104" t="str">
        <f>项目基本情况!B37</f>
        <v>六级</v>
      </c>
      <c r="I54" s="942">
        <f>SUMIF(修正!A45:A56,H54,修正!D45:D56)</f>
        <v>0.28000000000000003</v>
      </c>
      <c r="J54" s="943"/>
      <c r="K54" s="1144"/>
      <c r="L54" s="941"/>
      <c r="M54" s="941"/>
      <c r="N54" s="941"/>
      <c r="O54" s="941"/>
    </row>
    <row r="55" spans="1:17" s="690" customFormat="1">
      <c r="A55" s="691" t="s">
        <v>2775</v>
      </c>
      <c r="B55" s="260" t="e">
        <f t="shared" si="17"/>
        <v>#DIV/0!</v>
      </c>
      <c r="C55" s="198">
        <f t="shared" si="16"/>
        <v>0.25</v>
      </c>
      <c r="D55" s="1164">
        <v>0.25</v>
      </c>
      <c r="E55" s="692"/>
      <c r="F55" s="689" t="e">
        <f t="shared" si="15"/>
        <v>#DIV/0!</v>
      </c>
      <c r="G55" s="3208"/>
      <c r="H55" s="1104" t="str">
        <f>项目基本情况!B37</f>
        <v>六级</v>
      </c>
      <c r="I55" s="942">
        <f>SUMIF(修正!A45:A56,H55,修正!E45:E56)</f>
        <v>0.25</v>
      </c>
      <c r="J55" s="943"/>
      <c r="K55" s="1145"/>
      <c r="L55" s="941"/>
      <c r="M55" s="941"/>
      <c r="N55" s="941"/>
      <c r="O55" s="941"/>
    </row>
    <row r="56" spans="1:17" s="690" customFormat="1">
      <c r="A56" s="691" t="s">
        <v>2776</v>
      </c>
      <c r="B56" s="260" t="e">
        <f t="shared" si="17"/>
        <v>#DIV/0!</v>
      </c>
      <c r="C56" s="198">
        <f t="shared" si="16"/>
        <v>0.25</v>
      </c>
      <c r="D56" s="1164">
        <v>0.25</v>
      </c>
      <c r="E56" s="259">
        <f>'数据-汇总表'!E11</f>
        <v>0</v>
      </c>
      <c r="F56" s="689" t="e">
        <f t="shared" si="15"/>
        <v>#DIV/0!</v>
      </c>
      <c r="G56" s="2707" t="s">
        <v>2777</v>
      </c>
      <c r="H56" s="1104" t="str">
        <f>项目基本情况!C37</f>
        <v>六级</v>
      </c>
      <c r="I56" s="942">
        <f>SUMIF(修正!A45:A56,H56,修正!F45:F56)</f>
        <v>0.25</v>
      </c>
      <c r="J56" s="943"/>
      <c r="K56" s="1144"/>
      <c r="L56" s="941"/>
      <c r="M56" s="941"/>
      <c r="N56" s="941"/>
      <c r="O56" s="941"/>
    </row>
    <row r="57" spans="1:17" s="690" customFormat="1">
      <c r="A57" s="691" t="s">
        <v>2778</v>
      </c>
      <c r="B57" s="260" t="e">
        <f t="shared" si="17"/>
        <v>#DIV/0!</v>
      </c>
      <c r="C57" s="198">
        <f t="shared" si="16"/>
        <v>0.25</v>
      </c>
      <c r="D57" s="1164">
        <v>0.25</v>
      </c>
      <c r="E57" s="259">
        <f>'数据-汇总表'!E12</f>
        <v>0</v>
      </c>
      <c r="F57" s="689" t="e">
        <f t="shared" si="15"/>
        <v>#DIV/0!</v>
      </c>
      <c r="G57" s="1109" t="s">
        <v>2779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2780</v>
      </c>
      <c r="B58" s="260" t="e">
        <f t="shared" si="17"/>
        <v>#DIV/0!</v>
      </c>
      <c r="C58" s="198">
        <f t="shared" si="16"/>
        <v>0</v>
      </c>
      <c r="D58" s="1164">
        <v>0.25</v>
      </c>
      <c r="E58" s="259">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0" t="e">
        <f t="shared" si="17"/>
        <v>#DIV/0!</v>
      </c>
      <c r="C59" s="198">
        <f t="shared" si="16"/>
        <v>0.2</v>
      </c>
      <c r="D59" s="1164">
        <v>0.25</v>
      </c>
      <c r="E59" s="259">
        <f>'数据-汇总表'!E14</f>
        <v>0</v>
      </c>
      <c r="F59" s="689" t="e">
        <f t="shared" si="15"/>
        <v>#DIV/0!</v>
      </c>
      <c r="G59" s="2707" t="s">
        <v>2772</v>
      </c>
      <c r="H59" s="1104" t="str">
        <f>项目基本情况!B37</f>
        <v>六级</v>
      </c>
      <c r="I59" s="942">
        <f>SUMIF(修正!A45:A56,H59,修正!H45:H56)</f>
        <v>0.2</v>
      </c>
      <c r="J59" s="943"/>
      <c r="K59" s="1145"/>
      <c r="L59" s="941"/>
      <c r="M59" s="941"/>
      <c r="N59" s="941"/>
      <c r="O59" s="941"/>
    </row>
    <row r="60" spans="1:17" s="690" customFormat="1" ht="15" thickBot="1">
      <c r="A60" s="691" t="s">
        <v>2783</v>
      </c>
      <c r="B60" s="260" t="e">
        <f t="shared" si="17"/>
        <v>#DIV/0!</v>
      </c>
      <c r="C60" s="198">
        <f t="shared" si="16"/>
        <v>0.2</v>
      </c>
      <c r="D60" s="1164">
        <v>0.25</v>
      </c>
      <c r="E60" s="259">
        <f>'数据-汇总表'!E15</f>
        <v>18631.560000000001</v>
      </c>
      <c r="F60" s="689" t="e">
        <f t="shared" si="15"/>
        <v>#DIV/0!</v>
      </c>
      <c r="G60" s="2708" t="s">
        <v>2777</v>
      </c>
      <c r="H60" s="1114" t="str">
        <f>项目基本情况!C37</f>
        <v>六级</v>
      </c>
      <c r="I60" s="942">
        <f>SUMIF(修正!A45:A56,H60,修正!H45:H56)</f>
        <v>0.2</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15644.81</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2018-7-1</v>
      </c>
      <c r="D63" s="759">
        <f>EDATE(C63,-3)</f>
        <v>43191</v>
      </c>
      <c r="E63" s="759">
        <f>EDATE(D63,-3)</f>
        <v>43101</v>
      </c>
      <c r="F63" s="759">
        <f t="shared" ref="F63:O63" si="18">EDATE(E63,-3)</f>
        <v>43009</v>
      </c>
      <c r="G63" s="759">
        <f t="shared" si="18"/>
        <v>42917</v>
      </c>
      <c r="H63" s="759">
        <f t="shared" si="18"/>
        <v>42826</v>
      </c>
      <c r="I63" s="759">
        <f t="shared" si="18"/>
        <v>42736</v>
      </c>
      <c r="J63" s="759">
        <f t="shared" si="18"/>
        <v>42644</v>
      </c>
      <c r="K63" s="759">
        <f t="shared" si="18"/>
        <v>42552</v>
      </c>
      <c r="L63" s="759">
        <f t="shared" si="18"/>
        <v>42461</v>
      </c>
      <c r="M63" s="759">
        <f t="shared" si="18"/>
        <v>42370</v>
      </c>
      <c r="N63" s="759">
        <f t="shared" si="18"/>
        <v>42278</v>
      </c>
      <c r="O63" s="759">
        <f t="shared" si="18"/>
        <v>42186</v>
      </c>
    </row>
    <row r="64" spans="1:17" ht="21.75" thickBot="1">
      <c r="A64" s="761" t="s">
        <v>2677</v>
      </c>
      <c r="B64" s="757"/>
      <c r="C64" s="762"/>
      <c r="D64" s="762"/>
      <c r="E64" s="762"/>
      <c r="F64" s="763"/>
      <c r="G64" s="763"/>
      <c r="H64" s="762"/>
      <c r="I64" s="762"/>
      <c r="J64" s="762"/>
      <c r="K64" s="764"/>
      <c r="L64" s="765"/>
      <c r="M64" s="762"/>
      <c r="N64" s="762"/>
      <c r="O64" s="1159"/>
      <c r="P64" s="501"/>
      <c r="Q64" s="502"/>
    </row>
    <row r="65" spans="1:17" s="506" customFormat="1" ht="15">
      <c r="A65" s="2709" t="s">
        <v>2785</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2804</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2588</v>
      </c>
      <c r="B67" s="514"/>
      <c r="C67" s="515"/>
      <c r="D67" s="516"/>
      <c r="E67" s="516"/>
      <c r="F67" s="516"/>
      <c r="G67" s="516"/>
      <c r="H67" s="516"/>
      <c r="I67" s="516"/>
      <c r="J67" s="516"/>
      <c r="K67" s="516"/>
      <c r="L67" s="516"/>
      <c r="M67" s="517"/>
      <c r="N67" s="517"/>
      <c r="O67" s="518"/>
      <c r="P67" s="502"/>
      <c r="Q67" s="502"/>
    </row>
    <row r="68" spans="1:17" s="115" customFormat="1" ht="15">
      <c r="A68" s="519" t="s">
        <v>2553</v>
      </c>
      <c r="B68" s="508"/>
      <c r="C68" s="520" t="s">
        <v>2655</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2591</v>
      </c>
      <c r="B70" s="526" t="s">
        <v>2557</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2560</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2787</v>
      </c>
      <c r="C87" s="571" t="s">
        <v>2600</v>
      </c>
      <c r="D87" s="571" t="s">
        <v>2601</v>
      </c>
      <c r="E87" s="571" t="s">
        <v>2602</v>
      </c>
      <c r="F87" s="571" t="s">
        <v>2603</v>
      </c>
      <c r="G87" s="571" t="s">
        <v>2604</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2788</v>
      </c>
      <c r="C89" s="571" t="s">
        <v>2600</v>
      </c>
      <c r="D89" s="571" t="s">
        <v>2601</v>
      </c>
      <c r="E89" s="571" t="s">
        <v>2602</v>
      </c>
      <c r="F89" s="571" t="s">
        <v>2603</v>
      </c>
      <c r="G89" s="571" t="s">
        <v>2604</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2805</v>
      </c>
      <c r="C93" s="658" t="s">
        <v>2678</v>
      </c>
      <c r="D93" s="658" t="s">
        <v>2679</v>
      </c>
      <c r="E93" s="658" t="s">
        <v>2680</v>
      </c>
      <c r="F93" s="658" t="s">
        <v>2681</v>
      </c>
      <c r="G93" s="658" t="s">
        <v>2682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2694</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2753</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2566</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2794</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2796</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2797</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2806</v>
      </c>
      <c r="B1" s="239"/>
      <c r="C1" s="243" t="s">
        <v>2807</v>
      </c>
      <c r="D1" s="386">
        <f>SUM(D29:D30,D33:D39)</f>
        <v>86430.56</v>
      </c>
      <c r="E1" s="2715"/>
      <c r="F1" s="2715"/>
      <c r="G1" s="2715"/>
      <c r="H1" s="2715"/>
      <c r="I1" s="2715"/>
      <c r="J1" s="2715"/>
      <c r="K1" s="1369"/>
      <c r="L1" s="2716" t="s">
        <v>2808</v>
      </c>
      <c r="M1" s="1080">
        <f>SUMPRODUCT((区片价!B5:B9=I2)*(区片价!C3:F3=E2)*(区片价!C5:F9))</f>
        <v>0</v>
      </c>
      <c r="N1" s="1083">
        <f>SUMPRODUCT((因素修正幅度!B5:B9=I2)*(因素修正幅度!C3:F3=E2)*(因素修正幅度!C5:F9))</f>
        <v>0</v>
      </c>
      <c r="O1" s="2717"/>
      <c r="P1" s="2717"/>
      <c r="Q1" s="1369"/>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3" t="s">
        <v>2814</v>
      </c>
      <c r="B2" s="246">
        <f ca="1">C26</f>
        <v>52919</v>
      </c>
      <c r="C2" s="2719" t="s">
        <v>2815</v>
      </c>
      <c r="D2" s="2720" t="s">
        <v>2816</v>
      </c>
      <c r="E2" s="2721" t="s">
        <v>27</v>
      </c>
      <c r="F2" s="2720" t="s">
        <v>2817</v>
      </c>
      <c r="G2" s="2722" t="str">
        <f>IF(E2="商业",项目基本情况!B37,IF(E2="办公",项目基本情况!C37,IF(E2="住宅",项目基本情况!D37,项目基本情况!E37)))</f>
        <v>六级</v>
      </c>
      <c r="H2" s="2720" t="s">
        <v>2818</v>
      </c>
      <c r="I2" s="2722" t="str">
        <f>IF(E2="商业",项目基本情况!B38,IF(E2="办公",项目基本情况!C38,IF(E2="住宅",项目基本情况!D38,项目基本情况!E38)))</f>
        <v>Ⅵ-通1</v>
      </c>
      <c r="J2" s="2723"/>
      <c r="K2" s="1369"/>
      <c r="L2" s="2724" t="s">
        <v>2819</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18648</v>
      </c>
      <c r="U2" s="1601"/>
      <c r="V2" s="1600">
        <f ca="1">ROUND(T2*U2/10000,0)</f>
        <v>0</v>
      </c>
      <c r="W2" s="1604"/>
      <c r="X2" s="1604"/>
      <c r="Y2" s="1604"/>
      <c r="Z2" s="1604"/>
      <c r="AA2" s="1604"/>
      <c r="AB2" s="1604"/>
      <c r="AC2" s="1605"/>
      <c r="AD2" s="1606"/>
      <c r="AE2" s="1606"/>
      <c r="AF2" s="1606"/>
      <c r="AG2" s="1606"/>
      <c r="AH2" s="1606"/>
      <c r="AI2" s="1606"/>
      <c r="AJ2" s="1607"/>
    </row>
    <row r="3" spans="1:36" ht="25.5">
      <c r="A3" s="245" t="s">
        <v>2820</v>
      </c>
      <c r="B3" s="246">
        <f ca="1">ROUND(B2*10000/D1,0)</f>
        <v>6123</v>
      </c>
      <c r="C3" s="2719" t="s">
        <v>2821</v>
      </c>
      <c r="D3" s="2720" t="s">
        <v>2822</v>
      </c>
      <c r="E3" s="2725" t="s">
        <v>3122</v>
      </c>
      <c r="F3" s="2726" t="s">
        <v>3124</v>
      </c>
      <c r="G3" s="913">
        <f>IF(F3="宗地容积率",'数据-汇总表'!I4,IF(F3="估价对象容积率",'数据-汇总表'!I6,'数据-汇总表'!I7))</f>
        <v>3.5</v>
      </c>
      <c r="H3" s="196" t="s">
        <v>2823</v>
      </c>
      <c r="I3" s="944"/>
      <c r="J3" s="2723" t="s">
        <v>2824</v>
      </c>
      <c r="K3" s="1369"/>
      <c r="L3" s="2724" t="s">
        <v>2825</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13385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7"/>
      <c r="B4" s="3278"/>
      <c r="C4" s="3278"/>
      <c r="D4" s="3279"/>
      <c r="E4" s="3279"/>
      <c r="F4" s="3279"/>
      <c r="G4" s="3279"/>
      <c r="H4" s="3279"/>
      <c r="I4" s="3279"/>
      <c r="J4" s="3280"/>
      <c r="K4" s="1369"/>
      <c r="L4" s="2724" t="s">
        <v>2826</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10799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2827</v>
      </c>
      <c r="C5" s="914">
        <f>ROUND(IF(E2="商业",IF(F16="增加",C6*C7+C16,C6*C7-C16),IF(E2="住宅",IF(F16="增加",C6*C12+C16,C6*C12-C16),IF(F16="增加",C6+C16,C6-C16))),0)</f>
        <v>10274</v>
      </c>
      <c r="D5" s="1785">
        <f>ROUND(IF(E2="商业",IF(F16="增加",C6+C16,C6-C16)),0)</f>
        <v>0</v>
      </c>
      <c r="E5" s="2729"/>
      <c r="F5" s="2729"/>
      <c r="G5" s="2730"/>
      <c r="H5" s="2730"/>
      <c r="I5" s="2730"/>
      <c r="J5" s="2731"/>
      <c r="K5" s="2732"/>
      <c r="L5" s="2724" t="s">
        <v>2828</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8665</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2829</v>
      </c>
      <c r="B6" s="2738" t="s">
        <v>2830</v>
      </c>
      <c r="C6" s="915">
        <f>SUMIF(L1:L12,G2,M1:M12)</f>
        <v>10310</v>
      </c>
      <c r="D6" s="2739" t="s">
        <v>2831</v>
      </c>
      <c r="E6" s="2740"/>
      <c r="F6" s="2740"/>
      <c r="G6" s="2741"/>
      <c r="H6" s="2741"/>
      <c r="I6" s="2741"/>
      <c r="J6" s="2742"/>
      <c r="K6" s="1840"/>
      <c r="L6" s="2724" t="s">
        <v>2832</v>
      </c>
      <c r="M6" s="1081">
        <f>SUMPRODUCT((区片价!B110:B157=I2)*(区片价!C3:F3=E2)*(区片价!C110:F157))</f>
        <v>10310</v>
      </c>
      <c r="N6" s="1083">
        <f>SUMPRODUCT((因素修正幅度!B110:B157=I2)*(因素修正幅度!C3:F3=E2)*(因素修正幅度!C110:F157))</f>
        <v>6.5000000000000002E-2</v>
      </c>
      <c r="O6" s="1369"/>
      <c r="P6" s="1369"/>
      <c r="Q6" s="1369"/>
      <c r="R6" s="1600">
        <v>5</v>
      </c>
      <c r="S6" s="1600">
        <f>ROUND(IF(G3&gt;1,IF(R6&lt;7,SUMPRODUCT((B93:B98=R6)*(C92:N92=G2)*(C93:N98)),SUMIF(C92:N92,G2,C100:N100)),IF(R6&lt;7,SUMPRODUCT((B102:B107=R6)*(C92:N92=G2)*(C102:N107)),SUMIF(C92:N92,G2,C109:N109))),4)</f>
        <v>0.73709999999999998</v>
      </c>
      <c r="T6" s="1600">
        <f t="shared" ca="1" si="0"/>
        <v>7378</v>
      </c>
      <c r="U6" s="1601"/>
      <c r="V6" s="1600">
        <f t="shared" ca="1" si="1"/>
        <v>0</v>
      </c>
      <c r="W6" s="1604"/>
      <c r="X6" s="1604"/>
      <c r="Y6" s="1604"/>
      <c r="Z6" s="1604"/>
      <c r="AA6" s="1604"/>
      <c r="AB6" s="1604"/>
      <c r="AC6" s="2733"/>
      <c r="AD6" s="2734"/>
      <c r="AE6" s="2734"/>
      <c r="AF6" s="2734"/>
      <c r="AG6" s="2734"/>
      <c r="AH6" s="2734"/>
      <c r="AI6" s="2734"/>
      <c r="AJ6" s="2735"/>
    </row>
    <row r="7" spans="1:36" ht="24">
      <c r="A7" s="3263" t="str">
        <f>IF(E2="商业",IF(C8="不临58条商业街","",2),"")</f>
        <v/>
      </c>
      <c r="B7" s="2743" t="s">
        <v>2833</v>
      </c>
      <c r="C7" s="916">
        <f>IF(C8="不临58条商业街",1,ROUND(1+(1.6*E8+1.2*E9+0.8*E10+0.4*E11)*C9,4))</f>
        <v>1</v>
      </c>
      <c r="D7" s="2744" t="s">
        <v>2834</v>
      </c>
      <c r="E7" s="945"/>
      <c r="F7" s="2745"/>
      <c r="G7" s="2746"/>
      <c r="H7" s="2746"/>
      <c r="I7" s="2746"/>
      <c r="J7" s="2747"/>
      <c r="K7" s="1840"/>
      <c r="L7" s="2724" t="s">
        <v>2835</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6488</v>
      </c>
      <c r="U7" s="1601"/>
      <c r="V7" s="1600">
        <f t="shared" ca="1" si="1"/>
        <v>0</v>
      </c>
      <c r="W7" s="1814" t="s">
        <v>2836</v>
      </c>
      <c r="X7" s="1602" t="str">
        <f>G2</f>
        <v>六级</v>
      </c>
      <c r="Y7" s="1602" t="s">
        <v>2837</v>
      </c>
      <c r="Z7" s="1603">
        <f>G3</f>
        <v>3.5</v>
      </c>
      <c r="AA7" s="1604"/>
      <c r="AB7" s="1604"/>
      <c r="AC7" s="1605"/>
      <c r="AD7" s="1606"/>
      <c r="AE7" s="1606"/>
      <c r="AF7" s="1606"/>
      <c r="AG7" s="1606"/>
      <c r="AH7" s="1606"/>
      <c r="AI7" s="1606"/>
      <c r="AJ7" s="1607"/>
    </row>
    <row r="8" spans="1:36" ht="25.5">
      <c r="A8" s="3264"/>
      <c r="B8" s="196" t="s">
        <v>2838</v>
      </c>
      <c r="C8" s="2748" t="s">
        <v>3129</v>
      </c>
      <c r="D8" s="917" t="s">
        <v>139</v>
      </c>
      <c r="E8" s="918" t="e">
        <f>ROUND(C11/E7,4)</f>
        <v>#DIV/0!</v>
      </c>
      <c r="F8" s="2749" t="s">
        <v>2839</v>
      </c>
      <c r="G8" s="2750"/>
      <c r="H8" s="2750"/>
      <c r="I8" s="2750"/>
      <c r="J8" s="2751"/>
      <c r="K8" s="1369"/>
      <c r="L8" s="2724" t="s">
        <v>2840</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74" t="s">
        <v>2841</v>
      </c>
      <c r="X8" s="3275"/>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64"/>
      <c r="B9" s="196" t="s">
        <v>2854</v>
      </c>
      <c r="C9" s="919">
        <f>SUMIF(修正!C59:C119,C8,修正!E59:E119)</f>
        <v>0</v>
      </c>
      <c r="D9" s="198" t="s">
        <v>140</v>
      </c>
      <c r="E9" s="198" t="e">
        <f>ROUND(C11/E7,4)</f>
        <v>#DIV/0!</v>
      </c>
      <c r="F9" s="2749" t="s">
        <v>2855</v>
      </c>
      <c r="G9" s="2750"/>
      <c r="H9" s="2750"/>
      <c r="I9" s="2750"/>
      <c r="J9" s="2751"/>
      <c r="K9" s="1369"/>
      <c r="L9" s="2724" t="s">
        <v>2856</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76"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4"/>
      <c r="B10" s="196" t="s">
        <v>2859</v>
      </c>
      <c r="C10" s="198">
        <f>SUMIF(修正!C59:C119,C8,修正!F59:F119)</f>
        <v>0</v>
      </c>
      <c r="D10" s="198" t="s">
        <v>141</v>
      </c>
      <c r="E10" s="198" t="e">
        <f>ROUND(C11/E7,4)</f>
        <v>#DIV/0!</v>
      </c>
      <c r="F10" s="2749" t="s">
        <v>2860</v>
      </c>
      <c r="G10" s="2750"/>
      <c r="H10" s="2750"/>
      <c r="I10" s="2750"/>
      <c r="J10" s="2751"/>
      <c r="K10" s="1369"/>
      <c r="L10" s="2724" t="s">
        <v>2861</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7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4"/>
      <c r="B11" s="2752" t="s">
        <v>2862</v>
      </c>
      <c r="C11" s="920">
        <f>C10/4</f>
        <v>0</v>
      </c>
      <c r="D11" s="920" t="s">
        <v>142</v>
      </c>
      <c r="E11" s="920" t="e">
        <f>ROUND(C11/E7,4)</f>
        <v>#DIV/0!</v>
      </c>
      <c r="F11" s="2753" t="s">
        <v>2863</v>
      </c>
      <c r="G11" s="2754"/>
      <c r="H11" s="2754"/>
      <c r="I11" s="2754"/>
      <c r="J11" s="2755"/>
      <c r="K11" s="1369"/>
      <c r="L11" s="2724" t="s">
        <v>2864</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76" t="s">
        <v>2865</v>
      </c>
      <c r="X11" s="1612" t="s">
        <v>2866</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263" t="s">
        <v>2867</v>
      </c>
      <c r="B12" s="2756" t="s">
        <v>2868</v>
      </c>
      <c r="C12" s="916">
        <f>ROUND(C15*D15*E15*F15*G15*H15*I15*J15,4)</f>
        <v>1</v>
      </c>
      <c r="D12" s="2757" t="s">
        <v>2869</v>
      </c>
      <c r="E12" s="2758"/>
      <c r="F12" s="2758"/>
      <c r="G12" s="2759"/>
      <c r="H12" s="2759"/>
      <c r="I12" s="2759"/>
      <c r="J12" s="2760"/>
      <c r="K12" s="1369"/>
      <c r="L12" s="2761" t="s">
        <v>2870</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76"/>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1"/>
      <c r="B13" s="2762" t="s">
        <v>2872</v>
      </c>
      <c r="C13" s="2763" t="s">
        <v>2873</v>
      </c>
      <c r="D13" s="1806" t="s">
        <v>2874</v>
      </c>
      <c r="E13" s="1806" t="s">
        <v>2875</v>
      </c>
      <c r="F13" s="30" t="s">
        <v>2876</v>
      </c>
      <c r="G13" s="2764" t="s">
        <v>2877</v>
      </c>
      <c r="H13" s="2764" t="s">
        <v>2877</v>
      </c>
      <c r="I13" s="2764" t="s">
        <v>2877</v>
      </c>
      <c r="J13" s="2765" t="s">
        <v>2877</v>
      </c>
      <c r="K13" s="1369"/>
      <c r="L13" s="1369"/>
      <c r="M13" s="1369"/>
      <c r="N13" s="1369"/>
      <c r="O13" s="1369"/>
      <c r="P13" s="1369"/>
      <c r="Q13" s="1369"/>
      <c r="R13" s="1600">
        <v>12</v>
      </c>
      <c r="S13" s="1601"/>
      <c r="T13" s="1600">
        <f t="shared" ca="1" si="0"/>
        <v>0</v>
      </c>
      <c r="U13" s="1601"/>
      <c r="V13" s="1600">
        <f t="shared" ca="1" si="1"/>
        <v>0</v>
      </c>
      <c r="W13" s="3276"/>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281"/>
      <c r="B14" s="2766"/>
      <c r="C14" s="2767"/>
      <c r="D14" s="2768"/>
      <c r="E14" s="2768"/>
      <c r="F14" s="2769"/>
      <c r="G14" s="2770" t="s">
        <v>2878</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2"/>
      <c r="B15" s="2774" t="s">
        <v>2879</v>
      </c>
      <c r="C15" s="227">
        <f>IF(C14="有",1.1,1)</f>
        <v>1</v>
      </c>
      <c r="D15" s="227">
        <f>IF(D14="有",1.1,1)</f>
        <v>1</v>
      </c>
      <c r="E15" s="227">
        <f>IF(E14="有",1.1,1)</f>
        <v>1</v>
      </c>
      <c r="F15" s="227">
        <f>IF(F14="500米范围内",1.2,IF(F14="500-1000米",1.1,1))</f>
        <v>1</v>
      </c>
      <c r="G15" s="946">
        <v>1</v>
      </c>
      <c r="H15" s="946">
        <v>1</v>
      </c>
      <c r="I15" s="946">
        <v>1</v>
      </c>
      <c r="J15" s="947">
        <v>1</v>
      </c>
      <c r="K15" s="1369"/>
      <c r="L15" s="2775" t="s">
        <v>2816</v>
      </c>
      <c r="M15" s="917" t="s">
        <v>2880</v>
      </c>
      <c r="N15" s="917" t="s">
        <v>2881</v>
      </c>
      <c r="O15" s="917" t="s">
        <v>2882</v>
      </c>
      <c r="P15" s="2776" t="s">
        <v>2883</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3" t="s">
        <v>2884</v>
      </c>
      <c r="B16" s="2743" t="s">
        <v>2885</v>
      </c>
      <c r="C16" s="1799">
        <f>ROUND(SUM(G17:J17)/C17,0)</f>
        <v>36</v>
      </c>
      <c r="D16" s="2777" t="s">
        <v>2886</v>
      </c>
      <c r="E16" s="2778" t="s">
        <v>3125</v>
      </c>
      <c r="F16" s="2779" t="s">
        <v>3126</v>
      </c>
      <c r="G16" s="2780" t="s">
        <v>3127</v>
      </c>
      <c r="H16" s="2780" t="s">
        <v>3128</v>
      </c>
      <c r="I16" s="2780"/>
      <c r="J16" s="2781"/>
      <c r="K16" s="1369"/>
      <c r="L16" s="2782" t="s">
        <v>2887</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4"/>
      <c r="B17" s="2783" t="s">
        <v>2888</v>
      </c>
      <c r="C17" s="921">
        <f>SUMPRODUCT((修正!A2:A5=E2)*(修正!B1:M1=G2)*(修正!B2:M5))</f>
        <v>2.5</v>
      </c>
      <c r="D17" s="2784" t="s">
        <v>2889</v>
      </c>
      <c r="E17" s="920" t="str">
        <f>IF(OR(G2="八级",G2="九级",G2="十级",G2="十一级",G2="十二级"),"五通一平","七通一平")</f>
        <v>七通一平</v>
      </c>
      <c r="F17" s="921" t="s">
        <v>2890</v>
      </c>
      <c r="G17" s="921">
        <f>SUMPRODUCT((七通一平=G16)*(修正!B1:M1=G2)*(修正!B6:M14))</f>
        <v>50</v>
      </c>
      <c r="H17" s="921">
        <f>SUMPRODUCT((七通一平=H16)*(修正!B1:M1=G2)*(修正!B6:M14))</f>
        <v>40</v>
      </c>
      <c r="I17" s="921">
        <f>SUMPRODUCT((七通一平=I16)*(修正!B1:M1=G2)*(修正!B6:M14))</f>
        <v>0</v>
      </c>
      <c r="J17" s="922">
        <f>SUMPRODUCT((七通一平=J16)*(修正!B1:M1=G2)*(修正!B6:M14))</f>
        <v>0</v>
      </c>
      <c r="K17" s="1369"/>
      <c r="L17" s="2785" t="s">
        <v>2891</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4">
        <f>ROUND(IF(H19="按公示增长率计算",SUMPRODUCT((地价!A3:A22=YEAR(G19)&amp;"-"&amp;ROUNDUP(MONTH(G19)/3,0))*(地价!X2:AB2=E2)*(地价!X3:AB22)),IF(H19="地价指数",M20/M19,(1+I19)^O19)),4)</f>
        <v>1</v>
      </c>
      <c r="D19" s="2795" t="s">
        <v>2894</v>
      </c>
      <c r="E19" s="925">
        <v>41640</v>
      </c>
      <c r="F19" s="2795" t="s">
        <v>2895</v>
      </c>
      <c r="G19" s="926">
        <f>'数据-取费表'!B2</f>
        <v>43294</v>
      </c>
      <c r="H19" s="2796" t="s">
        <v>3130</v>
      </c>
      <c r="I19" s="927">
        <f>IF(H19="季度增幅（自定义）",SUMIF(N21:N24,E2,O21:O24),"")</f>
        <v>0</v>
      </c>
      <c r="J19" s="2793"/>
      <c r="K19" s="1376"/>
      <c r="L19" s="2797" t="s">
        <v>2896</v>
      </c>
      <c r="M19" s="1732">
        <f>ROUND(SUMIF(地价!B2:F2,E2,地价!B22:F22),0)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f ca="1">ROUND(POWER(1+G20,J20-I20)*(POWER(1+G20,I20)-1)/(POWER(1+G20,J20)-1),4)</f>
        <v>0.97430000000000005</v>
      </c>
      <c r="D20" s="2804" t="s">
        <v>2899</v>
      </c>
      <c r="E20" s="1766">
        <f ca="1">存贷款利率!D4/100</f>
        <v>4.3499999999999997E-2</v>
      </c>
      <c r="F20" s="2804" t="s">
        <v>2891</v>
      </c>
      <c r="G20" s="934">
        <f ca="1">SUMIF(M15:P15,E2,M17:P17)</f>
        <v>5.1999999999999998E-2</v>
      </c>
      <c r="H20" s="2804" t="s">
        <v>2900</v>
      </c>
      <c r="I20" s="935">
        <f>SUMIF('数据-取费表'!C6:C15,E2,'数据-取费表'!F6:F15)/COUNTIF('数据-取费表'!C6:C15,E2)</f>
        <v>44.85</v>
      </c>
      <c r="J20" s="936">
        <f>IF(E2="住宅",70,IF(E2="商业",40,50))</f>
        <v>50</v>
      </c>
      <c r="K20" s="1376"/>
      <c r="L20" s="2805" t="s">
        <v>2901</v>
      </c>
      <c r="M20" s="1733">
        <f>ROUND(SUMPRODUCT((地价!A4:A22=YEAR(G19)&amp;"-"&amp;ROUNDUP(MONTH(G19)/3,0))*(地价!B2:F2=E2)*(地价!B4:F22)),0)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3123</v>
      </c>
      <c r="C21" s="937">
        <f>IF(B21="容积率修正",IF(G3&lt;=10,D22,J22),C23)</f>
        <v>0.89929999999999999</v>
      </c>
      <c r="D21" s="2811"/>
      <c r="E21" s="2811"/>
      <c r="F21" s="2811"/>
      <c r="G21" s="2811"/>
      <c r="H21" s="2811"/>
      <c r="I21" s="2811"/>
      <c r="J21" s="2812"/>
      <c r="K21" s="1376"/>
      <c r="N21" s="2813" t="s">
        <v>2905</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f>IF(E22=G22,F22,IF(G3&lt;=10,ROUND(F22+(H22-F22)*(G3-E22)/(G22-E22),4),"——"))</f>
        <v>0.89929999999999999</v>
      </c>
      <c r="E22" s="913">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8" t="s">
        <v>155</v>
      </c>
      <c r="J22" s="938" t="str">
        <f>IF(G3&gt;10,D113,"——")</f>
        <v>——</v>
      </c>
      <c r="K22" s="1376"/>
      <c r="N22" s="2813" t="s">
        <v>2909</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v>
      </c>
      <c r="D24" s="2791"/>
      <c r="E24" s="2821"/>
      <c r="F24" s="2821"/>
      <c r="G24" s="2821"/>
      <c r="H24" s="2821"/>
      <c r="I24" s="2821"/>
      <c r="J24" s="2822"/>
      <c r="K24" s="1376"/>
      <c r="N24" s="2823" t="s">
        <v>2914</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5">
      <c r="A26" s="2827"/>
      <c r="B26" s="2814" t="s">
        <v>2917</v>
      </c>
      <c r="C26" s="204">
        <f ca="1">E29+SUM(E33:E39)</f>
        <v>52919</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f ca="1">E30+SUM(I33:I39)</f>
        <v>933</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9002</v>
      </c>
      <c r="D29" s="2843">
        <f>'数据-汇总表'!F27</f>
        <v>54642.68</v>
      </c>
      <c r="E29" s="942">
        <f ca="1">ROUND(C29*D29/10000,0)</f>
        <v>49189</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7">
        <f ca="1">ROUND(IF(E2="工业",C29*M39,C29*M38),0)</f>
        <v>2251</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71" t="s">
        <v>2931</v>
      </c>
      <c r="B33" s="2859" t="s">
        <v>2932</v>
      </c>
      <c r="C33" s="204">
        <f ca="1">ROUND(D5*C19*C20*C24*F33,0)</f>
        <v>0</v>
      </c>
      <c r="D33" s="2843">
        <f>'数据-汇总表'!G20</f>
        <v>13156.32</v>
      </c>
      <c r="E33" s="198">
        <f ca="1">ROUND(C33*D33/10000,0)</f>
        <v>0</v>
      </c>
      <c r="F33" s="198">
        <f>SUMIF(修正!A45:A56,G2,修正!B45:B56)</f>
        <v>0.7</v>
      </c>
      <c r="G33" s="198">
        <f t="shared" ref="G33" ca="1" si="6">ROUND(IF(E2="工业",C33*$M$39,C33*$M$38),0)</f>
        <v>0</v>
      </c>
      <c r="H33" s="198">
        <f>D33</f>
        <v>13156.32</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2"/>
      <c r="B34" s="2763" t="s">
        <v>2933</v>
      </c>
      <c r="C34" s="204">
        <f ca="1">ROUND(D5*C19*C20*C24*F34,0)</f>
        <v>0</v>
      </c>
      <c r="D34" s="2843"/>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2"/>
      <c r="B35" s="2763" t="s">
        <v>2934</v>
      </c>
      <c r="C35" s="204">
        <f ca="1">ROUND(D5*C19*C20*C24*F35,0)</f>
        <v>0</v>
      </c>
      <c r="D35" s="2843"/>
      <c r="E35" s="198">
        <f t="shared" ca="1" si="7"/>
        <v>0</v>
      </c>
      <c r="F35" s="198">
        <f>SUMIF(修正!A45:A56,G2,修正!D45:D56)</f>
        <v>0.28000000000000003</v>
      </c>
      <c r="G35" s="198">
        <f ca="1">ROUND(IF(E2="工业",C35*$M$39,C35*$M$38),0)</f>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73"/>
      <c r="B36" s="2763" t="s">
        <v>2935</v>
      </c>
      <c r="C36" s="204">
        <f ca="1">ROUND(D5*C19*C20*C24*F36,0)</f>
        <v>0</v>
      </c>
      <c r="D36" s="2843"/>
      <c r="E36" s="198">
        <f t="shared" ca="1" si="7"/>
        <v>0</v>
      </c>
      <c r="F36" s="198">
        <f>SUMIF(修正!A45:A56,G2,修正!E45:E56)</f>
        <v>0.25</v>
      </c>
      <c r="G36" s="198">
        <f ca="1">ROUND(IF(E2="工业",C36*$M$39,C36*$M$38),0)</f>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2502</v>
      </c>
      <c r="D37" s="2843"/>
      <c r="E37" s="198">
        <f t="shared" ca="1" si="7"/>
        <v>0</v>
      </c>
      <c r="F37" s="204">
        <f>SUMIF(修正!A45:A56,G2,修正!F45:F56)</f>
        <v>0.25</v>
      </c>
      <c r="G37" s="198">
        <f ca="1">ROUND(IF(E2="工业",C37*$M$39,C37*$M$38),0)</f>
        <v>626</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2502</v>
      </c>
      <c r="D38" s="2843"/>
      <c r="E38" s="198">
        <f t="shared" ca="1" si="7"/>
        <v>0</v>
      </c>
      <c r="F38" s="204">
        <f>SUMIF(修正!A45:A56,G2,修正!G45:G56)</f>
        <v>0.25</v>
      </c>
      <c r="G38" s="198">
        <f ca="1">ROUND(IF(E2="工业",C38*$M$39,C38*$M$38),0)</f>
        <v>626</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7">
        <f ca="1">ROUND(C5*C19*C20*C24*F39,0)</f>
        <v>2002</v>
      </c>
      <c r="D39" s="2849">
        <f>'数据-汇总表'!G21</f>
        <v>18631.560000000001</v>
      </c>
      <c r="E39" s="227">
        <f t="shared" ca="1" si="7"/>
        <v>3730</v>
      </c>
      <c r="F39" s="932">
        <f>SUMIF(修正!A45:A56,G2,修正!H45:H56)</f>
        <v>0.2</v>
      </c>
      <c r="G39" s="227">
        <f ca="1">ROUND(IF(E2="工业",C39*$M$39,C39*$M$38),0)</f>
        <v>501</v>
      </c>
      <c r="H39" s="227">
        <f t="shared" si="8"/>
        <v>18631.560000000001</v>
      </c>
      <c r="I39" s="227">
        <f t="shared" ca="1" si="9"/>
        <v>933</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1" t="s">
        <v>2600</v>
      </c>
      <c r="K47" s="601" t="s">
        <v>2601</v>
      </c>
      <c r="L47" s="601" t="s">
        <v>2602</v>
      </c>
      <c r="M47" s="601" t="s">
        <v>2603</v>
      </c>
      <c r="N47" s="601" t="s">
        <v>2604</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估价对象周边道路状况、公共交通通达情况、停车便捷程度，综合评价交通便捷度较好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f>估价对象房地状况!C24</f>
        <v>0</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3" t="str">
        <f>估价对象房地状况!C21</f>
        <v>估价对象所在区域公共配套设施齐备情况</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区域自然环境：；人文环境；综合评价环境状况一般</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1" t="s">
        <v>2600</v>
      </c>
      <c r="K58" s="601" t="s">
        <v>2601</v>
      </c>
      <c r="L58" s="601" t="s">
        <v>2602</v>
      </c>
      <c r="M58" s="601" t="s">
        <v>2603</v>
      </c>
      <c r="N58" s="601" t="s">
        <v>2604</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估价对象位于XX商圈，周边办公楼项目较多，入驻率高，办公集聚程度较好</v>
      </c>
      <c r="C59" s="2768"/>
      <c r="D59" s="1285">
        <f t="shared" ref="D59:D67" si="15">SUMIF($J$58:$N$58,C59,J59:N59)</f>
        <v>0</v>
      </c>
      <c r="E59" s="818">
        <f>ROUND(SUM(D59:D67),4)</f>
        <v>0</v>
      </c>
      <c r="F59" s="2499">
        <f>IF(E2="办公",SUMIF(L1:L12,G2,N1:N12),"——")</f>
        <v>6.5000000000000002E-2</v>
      </c>
      <c r="G59" s="1283"/>
      <c r="H59" s="1287">
        <f t="shared" ref="H59:H67" si="16">IFERROR(ROUNDDOWN($F$59*I59/2,4),"——")</f>
        <v>7.7999999999999996E-3</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估价对象周边道路状况、公共交通通达情况、停车便捷程度，综合评价交通便捷度较好</v>
      </c>
      <c r="C60" s="2768"/>
      <c r="D60" s="1285">
        <f t="shared" si="15"/>
        <v>0</v>
      </c>
      <c r="E60" s="819"/>
      <c r="F60" s="2499"/>
      <c r="G60" s="1283"/>
      <c r="H60" s="1287">
        <f t="shared" si="16"/>
        <v>9.7000000000000003E-3</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2.5999999999999999E-3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499"/>
      <c r="G62" s="1283"/>
      <c r="H62" s="1287">
        <f t="shared" si="16"/>
        <v>1.2999999999999999E-3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f>估价对象房地状况!C24</f>
        <v>0</v>
      </c>
      <c r="C63" s="2768"/>
      <c r="D63" s="1285">
        <f t="shared" si="15"/>
        <v>0</v>
      </c>
      <c r="E63" s="819"/>
      <c r="F63" s="2499"/>
      <c r="G63" s="1283"/>
      <c r="H63" s="1287">
        <f t="shared" si="16"/>
        <v>1.6000000000000001E-3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499"/>
      <c r="G64" s="1283"/>
      <c r="H64" s="1287">
        <f t="shared" si="16"/>
        <v>1.6000000000000001E-3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2959</v>
      </c>
      <c r="B65" s="1723" t="str">
        <f>估价对象房地状况!C21</f>
        <v>估价对象所在区域公共配套设施齐备情况</v>
      </c>
      <c r="C65" s="2768"/>
      <c r="D65" s="1285">
        <f t="shared" si="15"/>
        <v>0</v>
      </c>
      <c r="E65" s="819"/>
      <c r="F65" s="2499"/>
      <c r="G65" s="1283"/>
      <c r="H65" s="1287">
        <f t="shared" si="16"/>
        <v>1.9E-3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2960</v>
      </c>
      <c r="B66" s="1723" t="str">
        <f>估价对象房地状况!C22</f>
        <v>估价对象所在区域基础设施水平</v>
      </c>
      <c r="C66" s="2768"/>
      <c r="D66" s="1285">
        <f t="shared" si="15"/>
        <v>0</v>
      </c>
      <c r="E66" s="819"/>
      <c r="F66" s="2499"/>
      <c r="G66" s="1283"/>
      <c r="H66" s="1287">
        <f t="shared" si="16"/>
        <v>3.8999999999999998E-3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区域自然环境：；人文环境；综合评价环境状况一般</v>
      </c>
      <c r="C67" s="2768"/>
      <c r="D67" s="1285">
        <f t="shared" si="15"/>
        <v>0</v>
      </c>
      <c r="E67" s="822"/>
      <c r="F67" s="2499"/>
      <c r="G67" s="1283"/>
      <c r="H67" s="1287">
        <f t="shared" si="16"/>
        <v>1.9E-3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1" t="s">
        <v>2600</v>
      </c>
      <c r="K69" s="601" t="s">
        <v>2601</v>
      </c>
      <c r="L69" s="601" t="s">
        <v>2602</v>
      </c>
      <c r="M69" s="601" t="s">
        <v>2603</v>
      </c>
      <c r="N69" s="601" t="s">
        <v>2604</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估价对象周边道路状况、公共交通通达情况、停车便捷程度，综合评价交通便捷度较好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f>估价对象房地状况!C24</f>
        <v>0</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3" t="str">
        <f>估价对象房地状况!C21</f>
        <v>估价对象所在区域公共配套设施齐备情况</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3" t="str">
        <f>估价对象房地状况!C22</f>
        <v>估价对象所在区域基础设施水平</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区域自然环境：；人文环境；综合评价环境状况一般</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1" t="s">
        <v>2600</v>
      </c>
      <c r="K80" s="601" t="s">
        <v>2601</v>
      </c>
      <c r="L80" s="601" t="s">
        <v>2602</v>
      </c>
      <c r="M80" s="601" t="s">
        <v>2603</v>
      </c>
      <c r="N80" s="601" t="s">
        <v>2604</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65" t="s">
        <v>2973</v>
      </c>
      <c r="B90" s="3265"/>
      <c r="C90" s="3265"/>
      <c r="D90" s="3265"/>
      <c r="E90" s="3265"/>
      <c r="F90" s="3265"/>
      <c r="G90" s="3265"/>
      <c r="H90" s="3265"/>
      <c r="I90" s="3265"/>
      <c r="J90" s="3265"/>
      <c r="K90" s="2890"/>
      <c r="L90" s="2890"/>
      <c r="M90" s="2890"/>
      <c r="N90" s="2890"/>
    </row>
    <row r="91" spans="1:37">
      <c r="A91" s="3267" t="s">
        <v>2974</v>
      </c>
      <c r="B91" s="3267" t="s">
        <v>2975</v>
      </c>
      <c r="C91" s="2844" t="s">
        <v>2976</v>
      </c>
      <c r="D91" s="2845"/>
      <c r="E91" s="2845"/>
      <c r="F91" s="2845"/>
      <c r="G91" s="2845"/>
      <c r="H91" s="2845"/>
      <c r="I91" s="2845"/>
      <c r="J91" s="2891"/>
      <c r="K91" s="2892"/>
      <c r="L91" s="2892"/>
      <c r="M91" s="2892"/>
      <c r="N91" s="2892"/>
    </row>
    <row r="92" spans="1:37">
      <c r="A92" s="3267"/>
      <c r="B92" s="3267"/>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68"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9"/>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8" t="s">
        <v>2978</v>
      </c>
      <c r="B101" s="2897" t="s">
        <v>2979</v>
      </c>
      <c r="C101" s="2898">
        <f>$G$3</f>
        <v>3.5</v>
      </c>
      <c r="D101" s="2898">
        <f t="shared" ref="D101:N101" si="31">$G$3</f>
        <v>3.5</v>
      </c>
      <c r="E101" s="2898">
        <f t="shared" si="31"/>
        <v>3.5</v>
      </c>
      <c r="F101" s="2898">
        <f t="shared" si="31"/>
        <v>3.5</v>
      </c>
      <c r="G101" s="2898">
        <f t="shared" si="31"/>
        <v>3.5</v>
      </c>
      <c r="H101" s="2898">
        <f t="shared" si="31"/>
        <v>3.5</v>
      </c>
      <c r="I101" s="2898">
        <f t="shared" si="31"/>
        <v>3.5</v>
      </c>
      <c r="J101" s="2898">
        <f t="shared" si="31"/>
        <v>3.5</v>
      </c>
      <c r="K101" s="2898">
        <f t="shared" si="31"/>
        <v>3.5</v>
      </c>
      <c r="L101" s="2898">
        <f t="shared" si="31"/>
        <v>3.5</v>
      </c>
      <c r="M101" s="2898">
        <f t="shared" si="31"/>
        <v>3.5</v>
      </c>
      <c r="N101" s="2898">
        <f t="shared" si="31"/>
        <v>3.5</v>
      </c>
    </row>
    <row r="102" spans="1:14">
      <c r="A102" s="3269"/>
      <c r="B102" s="2893">
        <v>1</v>
      </c>
      <c r="C102" s="2894">
        <f>1.9362/C101</f>
        <v>0.55320000000000003</v>
      </c>
      <c r="D102" s="2894">
        <f>1.9362/D101</f>
        <v>0.55320000000000003</v>
      </c>
      <c r="E102" s="2894">
        <f>1.8629/E101</f>
        <v>0.53225714285714287</v>
      </c>
      <c r="F102" s="2894">
        <f>1.8629/F101</f>
        <v>0.53225714285714287</v>
      </c>
      <c r="G102" s="2894">
        <f>1.8629/G101</f>
        <v>0.53225714285714287</v>
      </c>
      <c r="H102" s="2894">
        <f>1.8629/H101</f>
        <v>0.53225714285714287</v>
      </c>
      <c r="I102" s="2894">
        <f>1.8629/I101</f>
        <v>0.53225714285714287</v>
      </c>
      <c r="J102" s="2894">
        <f>1.942/J101</f>
        <v>0.55485714285714283</v>
      </c>
      <c r="K102" s="2894">
        <f>1.942/K101</f>
        <v>0.55485714285714283</v>
      </c>
      <c r="L102" s="2894">
        <f>1.942/L101</f>
        <v>0.55485714285714283</v>
      </c>
      <c r="M102" s="2894">
        <f>1.942/M101</f>
        <v>0.55485714285714283</v>
      </c>
      <c r="N102" s="2894">
        <f>1.942/N101</f>
        <v>0.55485714285714283</v>
      </c>
    </row>
    <row r="103" spans="1:14">
      <c r="A103" s="3269"/>
      <c r="B103" s="2893">
        <v>2</v>
      </c>
      <c r="C103" s="2894">
        <f>1.4198/C101</f>
        <v>0.40565714285714283</v>
      </c>
      <c r="D103" s="2894">
        <f>1.4198/D101</f>
        <v>0.40565714285714283</v>
      </c>
      <c r="E103" s="2894">
        <f>1.3372/E101</f>
        <v>0.38205714285714282</v>
      </c>
      <c r="F103" s="2894">
        <f>1.3372/F101</f>
        <v>0.38205714285714282</v>
      </c>
      <c r="G103" s="2894">
        <f>1.3372/G101</f>
        <v>0.38205714285714282</v>
      </c>
      <c r="H103" s="2894">
        <f>1.3372/H101</f>
        <v>0.38205714285714282</v>
      </c>
      <c r="I103" s="2894">
        <f>1.3372/I101</f>
        <v>0.38205714285714282</v>
      </c>
      <c r="J103" s="2894">
        <f>1.2799/J101</f>
        <v>0.36568571428571428</v>
      </c>
      <c r="K103" s="2894">
        <f>1.2799/K101</f>
        <v>0.36568571428571428</v>
      </c>
      <c r="L103" s="2894">
        <f>1.2799/L101</f>
        <v>0.36568571428571428</v>
      </c>
      <c r="M103" s="2894">
        <f>1.2799/M101</f>
        <v>0.36568571428571428</v>
      </c>
      <c r="N103" s="2894">
        <f>1.2799/N101</f>
        <v>0.36568571428571428</v>
      </c>
    </row>
    <row r="104" spans="1:14">
      <c r="A104" s="3269"/>
      <c r="B104" s="2893">
        <v>3</v>
      </c>
      <c r="C104" s="2894">
        <f>1.1594/C101</f>
        <v>0.33125714285714286</v>
      </c>
      <c r="D104" s="2894">
        <f>1.1594/D101</f>
        <v>0.33125714285714286</v>
      </c>
      <c r="E104" s="2894">
        <f>1.0788/E101</f>
        <v>0.30822857142857141</v>
      </c>
      <c r="F104" s="2894">
        <f>1.0788/F101</f>
        <v>0.30822857142857141</v>
      </c>
      <c r="G104" s="2894">
        <f>1.0788/G101</f>
        <v>0.30822857142857141</v>
      </c>
      <c r="H104" s="2894">
        <f>1.0788/H101</f>
        <v>0.30822857142857141</v>
      </c>
      <c r="I104" s="2894">
        <f>1.0788/I101</f>
        <v>0.30822857142857141</v>
      </c>
      <c r="J104" s="2894">
        <f>1.0072/J101</f>
        <v>0.28777142857142862</v>
      </c>
      <c r="K104" s="2894">
        <f>1.0072/K101</f>
        <v>0.28777142857142862</v>
      </c>
      <c r="L104" s="2894">
        <f>1.0072/L101</f>
        <v>0.28777142857142862</v>
      </c>
      <c r="M104" s="2894">
        <f>1.0072/M101</f>
        <v>0.28777142857142862</v>
      </c>
      <c r="N104" s="2894">
        <f>1.0072/N101</f>
        <v>0.28777142857142862</v>
      </c>
    </row>
    <row r="105" spans="1:14">
      <c r="A105" s="3269"/>
      <c r="B105" s="2893">
        <v>4</v>
      </c>
      <c r="C105" s="2894">
        <f>0.9622/C101</f>
        <v>0.27491428571428572</v>
      </c>
      <c r="D105" s="2894">
        <f>0.9622/D101</f>
        <v>0.27491428571428572</v>
      </c>
      <c r="E105" s="2894">
        <f>0.8656/E101</f>
        <v>0.24731428571428574</v>
      </c>
      <c r="F105" s="2894">
        <f>0.8656/F101</f>
        <v>0.24731428571428574</v>
      </c>
      <c r="G105" s="2894">
        <f>0.8656/G101</f>
        <v>0.24731428571428574</v>
      </c>
      <c r="H105" s="2894">
        <f>0.8656/H101</f>
        <v>0.24731428571428574</v>
      </c>
      <c r="I105" s="2894">
        <f>0.8656/I101</f>
        <v>0.24731428571428574</v>
      </c>
      <c r="J105" s="2894">
        <f>0.7525/J101</f>
        <v>0.215</v>
      </c>
      <c r="K105" s="2894">
        <f>0.7525/K101</f>
        <v>0.215</v>
      </c>
      <c r="L105" s="2894">
        <f>0.7525/L101</f>
        <v>0.215</v>
      </c>
      <c r="M105" s="2894">
        <f>0.7525/M101</f>
        <v>0.215</v>
      </c>
      <c r="N105" s="2894">
        <f>0.7525/N101</f>
        <v>0.215</v>
      </c>
    </row>
    <row r="106" spans="1:14">
      <c r="A106" s="3269"/>
      <c r="B106" s="2893">
        <v>5</v>
      </c>
      <c r="C106" s="2894">
        <f>0.8417/C101</f>
        <v>0.24048571428571427</v>
      </c>
      <c r="D106" s="2894">
        <f>0.8417/D101</f>
        <v>0.24048571428571427</v>
      </c>
      <c r="E106" s="2894">
        <f>0.7371/E101</f>
        <v>0.21059999999999998</v>
      </c>
      <c r="F106" s="2894">
        <f>0.7371/F101</f>
        <v>0.21059999999999998</v>
      </c>
      <c r="G106" s="2894">
        <f>0.7371/G101</f>
        <v>0.21059999999999998</v>
      </c>
      <c r="H106" s="2894">
        <f>0.7371/H101</f>
        <v>0.21059999999999998</v>
      </c>
      <c r="I106" s="2894">
        <f>0.7371/I101</f>
        <v>0.21059999999999998</v>
      </c>
      <c r="J106" s="2894">
        <f>0.5659/J101</f>
        <v>0.16168571428571427</v>
      </c>
      <c r="K106" s="2894">
        <f>0.5659/K101</f>
        <v>0.16168571428571427</v>
      </c>
      <c r="L106" s="2894">
        <f>0.5659/L101</f>
        <v>0.16168571428571427</v>
      </c>
      <c r="M106" s="2894">
        <f>0.5659/M101</f>
        <v>0.16168571428571427</v>
      </c>
      <c r="N106" s="2894">
        <f>0.5659/N101</f>
        <v>0.16168571428571427</v>
      </c>
    </row>
    <row r="107" spans="1:14">
      <c r="A107" s="3269"/>
      <c r="B107" s="2893">
        <v>6</v>
      </c>
      <c r="C107" s="2894">
        <f>0.7608/C101</f>
        <v>0.21737142857142858</v>
      </c>
      <c r="D107" s="2894">
        <f>0.7608/D101</f>
        <v>0.21737142857142858</v>
      </c>
      <c r="E107" s="2894">
        <f>0.6482/E101</f>
        <v>0.1852</v>
      </c>
      <c r="F107" s="2894">
        <f>0.6482/F101</f>
        <v>0.1852</v>
      </c>
      <c r="G107" s="2894">
        <f>0.6482/G101</f>
        <v>0.1852</v>
      </c>
      <c r="H107" s="2894">
        <f>0.6482/H101</f>
        <v>0.1852</v>
      </c>
      <c r="I107" s="2894">
        <f>0.6482/I101</f>
        <v>0.1852</v>
      </c>
      <c r="J107" s="2894">
        <f>0.4525/J101</f>
        <v>0.12928571428571428</v>
      </c>
      <c r="K107" s="2894">
        <f>0.4525/K101</f>
        <v>0.12928571428571428</v>
      </c>
      <c r="L107" s="2894">
        <f>0.4525/L101</f>
        <v>0.12928571428571428</v>
      </c>
      <c r="M107" s="2894">
        <f>0.4525/M101</f>
        <v>0.12928571428571428</v>
      </c>
      <c r="N107" s="2894">
        <f>0.4525/N101</f>
        <v>0.12928571428571428</v>
      </c>
    </row>
    <row r="108" spans="1:14">
      <c r="A108" s="3269"/>
      <c r="B108" s="3097"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0"/>
      <c r="B109" s="3098"/>
      <c r="C109" s="2896">
        <f>(-0.163*(C108^2)-0.59*C108+7617)*(10^(-4))/C101</f>
        <v>0.21762857142857145</v>
      </c>
      <c r="D109" s="2896">
        <f>(-0.163*(D108^2)-0.59*D108+7617)*(10^(-4))/D101</f>
        <v>0.21762857142857145</v>
      </c>
      <c r="E109" s="2896">
        <f>(-0.161*(E108^2)-7.509*E108+6533)*(10^(-4))/E101</f>
        <v>0.18665714285714285</v>
      </c>
      <c r="F109" s="2896">
        <f>(-0.161*(F108^2)-7.509*F108+6533)*(10^(-4))/F101</f>
        <v>0.18665714285714285</v>
      </c>
      <c r="G109" s="2896">
        <f>(-0.161*(G108^2)-7.509*G108+6533)*(10^(-4))/G101</f>
        <v>0.18665714285714285</v>
      </c>
      <c r="H109" s="2896">
        <f>(-0.161*(H108^2)-7.509*H108+6533)*(10^(-4))/H101</f>
        <v>0.18665714285714285</v>
      </c>
      <c r="I109" s="2896">
        <f>(-0.161*(I108^2)-7.509*I108+6533)*(10^(-4))/I101</f>
        <v>0.18665714285714285</v>
      </c>
      <c r="J109" s="2896">
        <f>(-0.214*(J108^2)-21.991*J108+4665)*(10^(-4))/J101</f>
        <v>0.13328571428571429</v>
      </c>
      <c r="K109" s="2896">
        <f>(-0.214*(K108^2)-21.991*K108+4665)*(10^(-4))/K101</f>
        <v>0.13328571428571429</v>
      </c>
      <c r="L109" s="2896">
        <f>(-0.214*(L108^2)-21.991*L108+4665)*(10^(-4))/L101</f>
        <v>0.13328571428571429</v>
      </c>
      <c r="M109" s="2896">
        <f>(-0.214*(M108^2)-21.991*M108+4665)*(10^(-4))/M101</f>
        <v>0.13328571428571429</v>
      </c>
      <c r="N109" s="2896">
        <f>(-0.214*(N108^2)-21.991*N108+4665)*(10^(-4))/N101</f>
        <v>0.13328571428571429</v>
      </c>
    </row>
    <row r="110" spans="1:14">
      <c r="A110" s="3266" t="s">
        <v>2981</v>
      </c>
      <c r="B110" s="3266"/>
      <c r="C110" s="3266"/>
      <c r="D110" s="3266"/>
      <c r="E110" s="3266"/>
      <c r="F110" s="3266"/>
      <c r="G110" s="3266"/>
      <c r="H110" s="3266"/>
      <c r="I110" s="3266"/>
      <c r="J110" s="3266"/>
      <c r="K110" s="2899"/>
      <c r="L110" s="2899"/>
      <c r="M110" s="2899"/>
      <c r="N110" s="2899"/>
    </row>
    <row r="112" spans="1:14" ht="13.5" thickBot="1"/>
    <row r="113" spans="1:13" ht="25.5" thickBot="1">
      <c r="A113" s="900" t="s">
        <v>2982</v>
      </c>
      <c r="B113" s="1286">
        <f>G3</f>
        <v>3.5</v>
      </c>
      <c r="C113" s="901" t="s">
        <v>2983</v>
      </c>
      <c r="D113" s="902">
        <f>SUMPRODUCT((A115:A118=F113)*(B114:M114=H113)*B115:M118)</f>
        <v>0.81120000000000003</v>
      </c>
      <c r="E113" s="2722" t="s">
        <v>2816</v>
      </c>
      <c r="F113" s="2901" t="str">
        <f>E2</f>
        <v>办公</v>
      </c>
      <c r="G113" s="2722" t="s">
        <v>2817</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2880</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2881</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2882</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2" t="s">
        <v>2883</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3" t="s">
        <v>183</v>
      </c>
      <c r="B18" s="879" t="s">
        <v>560</v>
      </c>
      <c r="C18" s="880" t="s">
        <v>561</v>
      </c>
      <c r="D18" s="881"/>
      <c r="E18" s="879">
        <v>1</v>
      </c>
      <c r="F18" s="882" t="s">
        <v>562</v>
      </c>
      <c r="G18" s="883"/>
      <c r="H18" s="875"/>
      <c r="I18" s="875"/>
    </row>
    <row r="19" spans="1:9" s="884" customFormat="1" ht="19.5" customHeight="1">
      <c r="A19" s="3283"/>
      <c r="B19" s="3283" t="s">
        <v>563</v>
      </c>
      <c r="C19" s="880" t="s">
        <v>564</v>
      </c>
      <c r="D19" s="881"/>
      <c r="E19" s="879">
        <v>0.9</v>
      </c>
      <c r="F19" s="882" t="s">
        <v>565</v>
      </c>
      <c r="G19" s="883"/>
      <c r="H19" s="875"/>
      <c r="I19" s="875"/>
    </row>
    <row r="20" spans="1:9" s="884" customFormat="1" ht="19.5" customHeight="1">
      <c r="A20" s="3283"/>
      <c r="B20" s="3283"/>
      <c r="C20" s="880" t="s">
        <v>566</v>
      </c>
      <c r="D20" s="881"/>
      <c r="E20" s="879">
        <v>1.1000000000000001</v>
      </c>
      <c r="F20" s="882" t="s">
        <v>567</v>
      </c>
      <c r="G20" s="883"/>
      <c r="H20" s="875"/>
      <c r="I20" s="875"/>
    </row>
    <row r="21" spans="1:9" s="884" customFormat="1" ht="19.5" customHeight="1">
      <c r="A21" s="3283"/>
      <c r="B21" s="3283"/>
      <c r="C21" s="880" t="s">
        <v>568</v>
      </c>
      <c r="D21" s="881"/>
      <c r="E21" s="879">
        <v>0.8</v>
      </c>
      <c r="F21" s="882" t="s">
        <v>569</v>
      </c>
      <c r="G21" s="883"/>
      <c r="H21" s="875"/>
      <c r="I21" s="875"/>
    </row>
    <row r="22" spans="1:9" s="884" customFormat="1" ht="19.5" customHeight="1">
      <c r="A22" s="3283"/>
      <c r="B22" s="3283"/>
      <c r="C22" s="880" t="s">
        <v>570</v>
      </c>
      <c r="D22" s="881"/>
      <c r="E22" s="879">
        <v>0.5</v>
      </c>
      <c r="F22" s="882"/>
      <c r="G22" s="883"/>
      <c r="H22" s="875"/>
      <c r="I22" s="875"/>
    </row>
    <row r="23" spans="1:9" s="884" customFormat="1" ht="19.5" customHeight="1">
      <c r="A23" s="3283" t="s">
        <v>184</v>
      </c>
      <c r="B23" s="879" t="s">
        <v>560</v>
      </c>
      <c r="C23" s="880" t="s">
        <v>571</v>
      </c>
      <c r="D23" s="881"/>
      <c r="E23" s="879">
        <v>1</v>
      </c>
      <c r="F23" s="882" t="s">
        <v>572</v>
      </c>
      <c r="G23" s="883"/>
      <c r="H23" s="875"/>
      <c r="I23" s="875"/>
    </row>
    <row r="24" spans="1:9" s="884" customFormat="1" ht="19.5" customHeight="1">
      <c r="A24" s="3283"/>
      <c r="B24" s="3283" t="s">
        <v>563</v>
      </c>
      <c r="C24" s="880" t="s">
        <v>573</v>
      </c>
      <c r="D24" s="881"/>
      <c r="E24" s="879">
        <v>0.5</v>
      </c>
      <c r="F24" s="882"/>
      <c r="G24" s="883"/>
      <c r="H24" s="875"/>
      <c r="I24" s="875"/>
    </row>
    <row r="25" spans="1:9" s="884" customFormat="1" ht="19.5" customHeight="1">
      <c r="A25" s="3283"/>
      <c r="B25" s="3283"/>
      <c r="C25" s="880" t="s">
        <v>574</v>
      </c>
      <c r="D25" s="881"/>
      <c r="E25" s="879">
        <v>1.1000000000000001</v>
      </c>
      <c r="F25" s="882"/>
      <c r="G25" s="883"/>
      <c r="H25" s="875"/>
      <c r="I25" s="875"/>
    </row>
    <row r="26" spans="1:9" s="884" customFormat="1" ht="19.5" customHeight="1">
      <c r="A26" s="3283"/>
      <c r="B26" s="3283"/>
      <c r="C26" s="880" t="s">
        <v>575</v>
      </c>
      <c r="D26" s="881"/>
      <c r="E26" s="879">
        <v>1.1000000000000001</v>
      </c>
      <c r="F26" s="882"/>
      <c r="G26" s="883"/>
      <c r="H26" s="875"/>
      <c r="I26" s="875"/>
    </row>
    <row r="27" spans="1:9" s="884" customFormat="1" ht="19.5" customHeight="1">
      <c r="A27" s="3283"/>
      <c r="B27" s="3283"/>
      <c r="C27" s="880" t="s">
        <v>576</v>
      </c>
      <c r="D27" s="881"/>
      <c r="E27" s="879">
        <v>0.9</v>
      </c>
      <c r="F27" s="882" t="s">
        <v>577</v>
      </c>
      <c r="G27" s="883"/>
      <c r="H27" s="875"/>
      <c r="I27" s="875"/>
    </row>
    <row r="28" spans="1:9" s="884" customFormat="1" ht="19.5" customHeight="1">
      <c r="A28" s="3283"/>
      <c r="B28" s="3283"/>
      <c r="C28" s="880" t="s">
        <v>578</v>
      </c>
      <c r="D28" s="881"/>
      <c r="E28" s="879">
        <v>0.9</v>
      </c>
      <c r="F28" s="882" t="s">
        <v>579</v>
      </c>
      <c r="G28" s="883"/>
      <c r="H28" s="875"/>
      <c r="I28" s="875"/>
    </row>
    <row r="29" spans="1:9" s="884" customFormat="1" ht="19.5" customHeight="1">
      <c r="A29" s="3283"/>
      <c r="B29" s="3283"/>
      <c r="C29" s="880" t="s">
        <v>580</v>
      </c>
      <c r="D29" s="881"/>
      <c r="E29" s="879">
        <v>0.9</v>
      </c>
      <c r="F29" s="882" t="s">
        <v>581</v>
      </c>
      <c r="G29" s="883"/>
      <c r="H29" s="875"/>
      <c r="I29" s="875"/>
    </row>
    <row r="30" spans="1:9" s="884" customFormat="1" ht="19.5" customHeight="1">
      <c r="A30" s="3283"/>
      <c r="B30" s="3283"/>
      <c r="C30" s="880" t="s">
        <v>582</v>
      </c>
      <c r="D30" s="881"/>
      <c r="E30" s="879">
        <v>0.9</v>
      </c>
      <c r="F30" s="882" t="s">
        <v>583</v>
      </c>
      <c r="G30" s="883"/>
      <c r="H30" s="875"/>
      <c r="I30" s="875"/>
    </row>
    <row r="31" spans="1:9" s="884" customFormat="1" ht="19.5" customHeight="1">
      <c r="A31" s="3283"/>
      <c r="B31" s="3283"/>
      <c r="C31" s="880" t="s">
        <v>584</v>
      </c>
      <c r="D31" s="881"/>
      <c r="E31" s="879">
        <v>0.8</v>
      </c>
      <c r="F31" s="882" t="s">
        <v>585</v>
      </c>
      <c r="G31" s="883"/>
      <c r="H31" s="875"/>
      <c r="I31" s="875"/>
    </row>
    <row r="32" spans="1:9" s="884" customFormat="1" ht="19.5" customHeight="1">
      <c r="A32" s="3283"/>
      <c r="B32" s="3283"/>
      <c r="C32" s="880" t="s">
        <v>586</v>
      </c>
      <c r="D32" s="881"/>
      <c r="E32" s="879">
        <v>0.8</v>
      </c>
      <c r="F32" s="882" t="s">
        <v>587</v>
      </c>
      <c r="G32" s="883"/>
      <c r="H32" s="875"/>
      <c r="I32" s="875"/>
    </row>
    <row r="33" spans="1:9" s="884" customFormat="1" ht="19.5" customHeight="1">
      <c r="A33" s="3283" t="s">
        <v>185</v>
      </c>
      <c r="B33" s="879" t="s">
        <v>560</v>
      </c>
      <c r="C33" s="880" t="s">
        <v>588</v>
      </c>
      <c r="D33" s="881"/>
      <c r="E33" s="879">
        <v>1</v>
      </c>
      <c r="F33" s="882" t="s">
        <v>589</v>
      </c>
      <c r="G33" s="883"/>
      <c r="H33" s="875"/>
      <c r="I33" s="875"/>
    </row>
    <row r="34" spans="1:9" s="884" customFormat="1" ht="19.5" customHeight="1">
      <c r="A34" s="3283"/>
      <c r="B34" s="879" t="s">
        <v>563</v>
      </c>
      <c r="C34" s="880" t="s">
        <v>590</v>
      </c>
      <c r="D34" s="881"/>
      <c r="E34" s="879">
        <v>1.5</v>
      </c>
      <c r="F34" s="882" t="s">
        <v>591</v>
      </c>
      <c r="G34" s="883"/>
      <c r="H34" s="875"/>
      <c r="I34" s="875"/>
    </row>
    <row r="35" spans="1:9" s="884" customFormat="1" ht="19.5" customHeight="1">
      <c r="A35" s="3283" t="s">
        <v>186</v>
      </c>
      <c r="B35" s="879" t="s">
        <v>560</v>
      </c>
      <c r="C35" s="880" t="s">
        <v>592</v>
      </c>
      <c r="D35" s="881"/>
      <c r="E35" s="879">
        <v>1</v>
      </c>
      <c r="F35" s="882" t="s">
        <v>593</v>
      </c>
      <c r="G35" s="883"/>
      <c r="H35" s="875"/>
      <c r="I35" s="875"/>
    </row>
    <row r="36" spans="1:9" s="884" customFormat="1" ht="19.5" customHeight="1">
      <c r="A36" s="3283"/>
      <c r="B36" s="3283" t="s">
        <v>563</v>
      </c>
      <c r="C36" s="880" t="s">
        <v>594</v>
      </c>
      <c r="D36" s="881"/>
      <c r="E36" s="879">
        <v>1</v>
      </c>
      <c r="F36" s="882" t="s">
        <v>595</v>
      </c>
      <c r="G36" s="883"/>
      <c r="H36" s="875"/>
      <c r="I36" s="875"/>
    </row>
    <row r="37" spans="1:9" s="884" customFormat="1" ht="19.5" customHeight="1">
      <c r="A37" s="3283"/>
      <c r="B37" s="3283"/>
      <c r="C37" s="880" t="s">
        <v>596</v>
      </c>
      <c r="D37" s="881"/>
      <c r="E37" s="879">
        <v>1.5</v>
      </c>
      <c r="F37" s="882" t="s">
        <v>597</v>
      </c>
      <c r="G37" s="883"/>
      <c r="H37" s="875"/>
      <c r="I37" s="875"/>
    </row>
    <row r="38" spans="1:9" s="884" customFormat="1" ht="19.5" customHeight="1">
      <c r="A38" s="3283"/>
      <c r="B38" s="3283"/>
      <c r="C38" s="880" t="s">
        <v>598</v>
      </c>
      <c r="D38" s="881"/>
      <c r="E38" s="879">
        <v>1</v>
      </c>
      <c r="F38" s="882" t="s">
        <v>599</v>
      </c>
      <c r="G38" s="883"/>
      <c r="H38" s="875"/>
      <c r="I38" s="875"/>
    </row>
    <row r="39" spans="1:9" s="884" customFormat="1" ht="19.5" customHeight="1">
      <c r="A39" s="3283"/>
      <c r="B39" s="328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3" t="s">
        <v>614</v>
      </c>
      <c r="C61" s="815" t="s">
        <v>615</v>
      </c>
      <c r="D61" s="815" t="s">
        <v>616</v>
      </c>
      <c r="E61" s="892">
        <v>0.5</v>
      </c>
      <c r="F61" s="879">
        <v>80</v>
      </c>
    </row>
    <row r="62" spans="1:8" s="875" customFormat="1" ht="24">
      <c r="A62" s="879">
        <v>2</v>
      </c>
      <c r="B62" s="3283"/>
      <c r="C62" s="815" t="s">
        <v>617</v>
      </c>
      <c r="D62" s="815" t="s">
        <v>618</v>
      </c>
      <c r="E62" s="892">
        <v>0.5</v>
      </c>
      <c r="F62" s="879">
        <v>80</v>
      </c>
    </row>
    <row r="63" spans="1:8" s="875" customFormat="1" ht="36">
      <c r="A63" s="879">
        <v>3</v>
      </c>
      <c r="B63" s="3283"/>
      <c r="C63" s="815" t="s">
        <v>619</v>
      </c>
      <c r="D63" s="815" t="s">
        <v>620</v>
      </c>
      <c r="E63" s="892">
        <v>0.5</v>
      </c>
      <c r="F63" s="879">
        <v>80</v>
      </c>
    </row>
    <row r="64" spans="1:8" s="875" customFormat="1" ht="36">
      <c r="A64" s="879">
        <v>4</v>
      </c>
      <c r="B64" s="3283"/>
      <c r="C64" s="815" t="s">
        <v>621</v>
      </c>
      <c r="D64" s="815" t="s">
        <v>622</v>
      </c>
      <c r="E64" s="892">
        <v>0.4</v>
      </c>
      <c r="F64" s="879">
        <v>60</v>
      </c>
    </row>
    <row r="65" spans="1:6" s="875" customFormat="1" ht="36">
      <c r="A65" s="879">
        <v>5</v>
      </c>
      <c r="B65" s="3283"/>
      <c r="C65" s="815" t="s">
        <v>623</v>
      </c>
      <c r="D65" s="815" t="s">
        <v>624</v>
      </c>
      <c r="E65" s="892">
        <v>0.2</v>
      </c>
      <c r="F65" s="879">
        <v>30</v>
      </c>
    </row>
    <row r="66" spans="1:6" s="875" customFormat="1" ht="36">
      <c r="A66" s="879">
        <v>6</v>
      </c>
      <c r="B66" s="3283"/>
      <c r="C66" s="815" t="s">
        <v>625</v>
      </c>
      <c r="D66" s="815" t="s">
        <v>626</v>
      </c>
      <c r="E66" s="892">
        <v>0.3</v>
      </c>
      <c r="F66" s="879">
        <v>50</v>
      </c>
    </row>
    <row r="67" spans="1:6" s="875" customFormat="1" ht="36">
      <c r="A67" s="879">
        <v>7</v>
      </c>
      <c r="B67" s="3283"/>
      <c r="C67" s="815" t="s">
        <v>627</v>
      </c>
      <c r="D67" s="815" t="s">
        <v>628</v>
      </c>
      <c r="E67" s="892">
        <v>0.2</v>
      </c>
      <c r="F67" s="879">
        <v>30</v>
      </c>
    </row>
    <row r="68" spans="1:6" s="875" customFormat="1" ht="36">
      <c r="A68" s="879">
        <v>8</v>
      </c>
      <c r="B68" s="3283"/>
      <c r="C68" s="815" t="s">
        <v>629</v>
      </c>
      <c r="D68" s="815" t="s">
        <v>630</v>
      </c>
      <c r="E68" s="892">
        <v>0.2</v>
      </c>
      <c r="F68" s="879">
        <v>30</v>
      </c>
    </row>
    <row r="69" spans="1:6" s="875" customFormat="1" ht="36">
      <c r="A69" s="879">
        <v>9</v>
      </c>
      <c r="B69" s="3283"/>
      <c r="C69" s="815" t="s">
        <v>631</v>
      </c>
      <c r="D69" s="815" t="s">
        <v>632</v>
      </c>
      <c r="E69" s="892">
        <v>0.2</v>
      </c>
      <c r="F69" s="879">
        <v>30</v>
      </c>
    </row>
    <row r="70" spans="1:6" s="875" customFormat="1" ht="48">
      <c r="A70" s="879">
        <v>10</v>
      </c>
      <c r="B70" s="3283"/>
      <c r="C70" s="815" t="s">
        <v>633</v>
      </c>
      <c r="D70" s="815" t="s">
        <v>634</v>
      </c>
      <c r="E70" s="892">
        <v>0.2</v>
      </c>
      <c r="F70" s="879">
        <v>30</v>
      </c>
    </row>
    <row r="71" spans="1:6" s="875" customFormat="1" ht="48">
      <c r="A71" s="879">
        <v>11</v>
      </c>
      <c r="B71" s="3283"/>
      <c r="C71" s="815" t="s">
        <v>635</v>
      </c>
      <c r="D71" s="815" t="s">
        <v>636</v>
      </c>
      <c r="E71" s="892">
        <v>0.2</v>
      </c>
      <c r="F71" s="879">
        <v>30</v>
      </c>
    </row>
    <row r="72" spans="1:6" s="875" customFormat="1" ht="36">
      <c r="A72" s="879">
        <v>12</v>
      </c>
      <c r="B72" s="3283"/>
      <c r="C72" s="815" t="s">
        <v>637</v>
      </c>
      <c r="D72" s="815" t="s">
        <v>638</v>
      </c>
      <c r="E72" s="892">
        <v>0.5</v>
      </c>
      <c r="F72" s="879">
        <v>80</v>
      </c>
    </row>
    <row r="73" spans="1:6" s="875" customFormat="1" ht="24">
      <c r="A73" s="879">
        <v>13</v>
      </c>
      <c r="B73" s="3283"/>
      <c r="C73" s="815" t="s">
        <v>639</v>
      </c>
      <c r="D73" s="815" t="s">
        <v>640</v>
      </c>
      <c r="E73" s="892">
        <v>0.4</v>
      </c>
      <c r="F73" s="879">
        <v>60</v>
      </c>
    </row>
    <row r="74" spans="1:6" s="875" customFormat="1" ht="24">
      <c r="A74" s="879">
        <v>14</v>
      </c>
      <c r="B74" s="3283"/>
      <c r="C74" s="815" t="s">
        <v>641</v>
      </c>
      <c r="D74" s="815" t="s">
        <v>642</v>
      </c>
      <c r="E74" s="892">
        <v>0.2</v>
      </c>
      <c r="F74" s="879">
        <v>30</v>
      </c>
    </row>
    <row r="75" spans="1:6" s="875" customFormat="1" ht="24">
      <c r="A75" s="879">
        <v>15</v>
      </c>
      <c r="B75" s="3283"/>
      <c r="C75" s="815" t="s">
        <v>643</v>
      </c>
      <c r="D75" s="815" t="s">
        <v>644</v>
      </c>
      <c r="E75" s="892">
        <v>0.2</v>
      </c>
      <c r="F75" s="879">
        <v>30</v>
      </c>
    </row>
    <row r="76" spans="1:6" s="875" customFormat="1" ht="24">
      <c r="A76" s="879">
        <v>16</v>
      </c>
      <c r="B76" s="3283" t="s">
        <v>645</v>
      </c>
      <c r="C76" s="815" t="s">
        <v>646</v>
      </c>
      <c r="D76" s="815" t="s">
        <v>647</v>
      </c>
      <c r="E76" s="892">
        <v>0.5</v>
      </c>
      <c r="F76" s="879">
        <v>80</v>
      </c>
    </row>
    <row r="77" spans="1:6" s="875" customFormat="1" ht="24">
      <c r="A77" s="879">
        <v>17</v>
      </c>
      <c r="B77" s="3283"/>
      <c r="C77" s="815" t="s">
        <v>648</v>
      </c>
      <c r="D77" s="815" t="s">
        <v>649</v>
      </c>
      <c r="E77" s="892">
        <v>0.5</v>
      </c>
      <c r="F77" s="879">
        <v>80</v>
      </c>
    </row>
    <row r="78" spans="1:6" s="875" customFormat="1" ht="24">
      <c r="A78" s="879">
        <v>18</v>
      </c>
      <c r="B78" s="3283"/>
      <c r="C78" s="815" t="s">
        <v>650</v>
      </c>
      <c r="D78" s="815" t="s">
        <v>651</v>
      </c>
      <c r="E78" s="892">
        <v>0.2</v>
      </c>
      <c r="F78" s="879">
        <v>30</v>
      </c>
    </row>
    <row r="79" spans="1:6" s="875" customFormat="1" ht="24">
      <c r="A79" s="879">
        <v>19</v>
      </c>
      <c r="B79" s="3283"/>
      <c r="C79" s="815" t="s">
        <v>652</v>
      </c>
      <c r="D79" s="815" t="s">
        <v>653</v>
      </c>
      <c r="E79" s="892">
        <v>0.5</v>
      </c>
      <c r="F79" s="879">
        <v>80</v>
      </c>
    </row>
    <row r="80" spans="1:6" s="875" customFormat="1" ht="36">
      <c r="A80" s="879">
        <v>20</v>
      </c>
      <c r="B80" s="3283"/>
      <c r="C80" s="815" t="s">
        <v>654</v>
      </c>
      <c r="D80" s="815" t="s">
        <v>655</v>
      </c>
      <c r="E80" s="892">
        <v>0.2</v>
      </c>
      <c r="F80" s="879">
        <v>30</v>
      </c>
    </row>
    <row r="81" spans="1:6" s="875" customFormat="1" ht="36">
      <c r="A81" s="879">
        <v>21</v>
      </c>
      <c r="B81" s="3283"/>
      <c r="C81" s="815" t="s">
        <v>656</v>
      </c>
      <c r="D81" s="815" t="s">
        <v>657</v>
      </c>
      <c r="E81" s="892">
        <v>0.2</v>
      </c>
      <c r="F81" s="879">
        <v>30</v>
      </c>
    </row>
    <row r="82" spans="1:6" s="875" customFormat="1" ht="48">
      <c r="A82" s="879">
        <v>22</v>
      </c>
      <c r="B82" s="3283"/>
      <c r="C82" s="815" t="s">
        <v>658</v>
      </c>
      <c r="D82" s="815" t="s">
        <v>659</v>
      </c>
      <c r="E82" s="892">
        <v>0.2</v>
      </c>
      <c r="F82" s="879">
        <v>30</v>
      </c>
    </row>
    <row r="83" spans="1:6" s="875" customFormat="1" ht="48">
      <c r="A83" s="879">
        <v>23</v>
      </c>
      <c r="B83" s="3283"/>
      <c r="C83" s="815" t="s">
        <v>660</v>
      </c>
      <c r="D83" s="815" t="s">
        <v>661</v>
      </c>
      <c r="E83" s="892">
        <v>0.2</v>
      </c>
      <c r="F83" s="879">
        <v>30</v>
      </c>
    </row>
    <row r="84" spans="1:6" s="875" customFormat="1" ht="36">
      <c r="A84" s="879">
        <v>24</v>
      </c>
      <c r="B84" s="3283"/>
      <c r="C84" s="815" t="s">
        <v>662</v>
      </c>
      <c r="D84" s="815" t="s">
        <v>663</v>
      </c>
      <c r="E84" s="892">
        <v>0.2</v>
      </c>
      <c r="F84" s="879">
        <v>30</v>
      </c>
    </row>
    <row r="85" spans="1:6" s="875" customFormat="1" ht="36">
      <c r="A85" s="879">
        <v>25</v>
      </c>
      <c r="B85" s="3283"/>
      <c r="C85" s="815" t="s">
        <v>664</v>
      </c>
      <c r="D85" s="815" t="s">
        <v>665</v>
      </c>
      <c r="E85" s="892">
        <v>0.5</v>
      </c>
      <c r="F85" s="879">
        <v>80</v>
      </c>
    </row>
    <row r="86" spans="1:6" s="875" customFormat="1" ht="36">
      <c r="A86" s="879">
        <v>26</v>
      </c>
      <c r="B86" s="3283"/>
      <c r="C86" s="815" t="s">
        <v>666</v>
      </c>
      <c r="D86" s="815" t="s">
        <v>667</v>
      </c>
      <c r="E86" s="892">
        <v>0.2</v>
      </c>
      <c r="F86" s="879">
        <v>30</v>
      </c>
    </row>
    <row r="87" spans="1:6" s="875" customFormat="1" ht="36">
      <c r="A87" s="879">
        <v>27</v>
      </c>
      <c r="B87" s="3283"/>
      <c r="C87" s="815" t="s">
        <v>668</v>
      </c>
      <c r="D87" s="815" t="s">
        <v>669</v>
      </c>
      <c r="E87" s="892">
        <v>0.2</v>
      </c>
      <c r="F87" s="879">
        <v>30</v>
      </c>
    </row>
    <row r="88" spans="1:6" s="875" customFormat="1" ht="36">
      <c r="A88" s="879">
        <v>28</v>
      </c>
      <c r="B88" s="3283"/>
      <c r="C88" s="815" t="s">
        <v>670</v>
      </c>
      <c r="D88" s="815" t="s">
        <v>671</v>
      </c>
      <c r="E88" s="892">
        <v>0.2</v>
      </c>
      <c r="F88" s="879">
        <v>30</v>
      </c>
    </row>
    <row r="89" spans="1:6" s="875" customFormat="1" ht="24">
      <c r="A89" s="879">
        <v>29</v>
      </c>
      <c r="B89" s="3283"/>
      <c r="C89" s="815" t="s">
        <v>672</v>
      </c>
      <c r="D89" s="815" t="s">
        <v>673</v>
      </c>
      <c r="E89" s="892">
        <v>0.2</v>
      </c>
      <c r="F89" s="879">
        <v>30</v>
      </c>
    </row>
    <row r="90" spans="1:6" s="875" customFormat="1" ht="24">
      <c r="A90" s="879">
        <v>30</v>
      </c>
      <c r="B90" s="3283"/>
      <c r="C90" s="815" t="s">
        <v>674</v>
      </c>
      <c r="D90" s="815" t="s">
        <v>675</v>
      </c>
      <c r="E90" s="892">
        <v>0.2</v>
      </c>
      <c r="F90" s="879">
        <v>30</v>
      </c>
    </row>
    <row r="91" spans="1:6" s="875" customFormat="1" ht="36">
      <c r="A91" s="879">
        <v>31</v>
      </c>
      <c r="B91" s="3283"/>
      <c r="C91" s="815" t="s">
        <v>676</v>
      </c>
      <c r="D91" s="815" t="s">
        <v>677</v>
      </c>
      <c r="E91" s="892">
        <v>0.2</v>
      </c>
      <c r="F91" s="879">
        <v>30</v>
      </c>
    </row>
    <row r="92" spans="1:6" s="875" customFormat="1" ht="24">
      <c r="A92" s="879">
        <v>32</v>
      </c>
      <c r="B92" s="3283" t="s">
        <v>678</v>
      </c>
      <c r="C92" s="879" t="s">
        <v>679</v>
      </c>
      <c r="D92" s="815" t="s">
        <v>680</v>
      </c>
      <c r="E92" s="892">
        <v>0.2</v>
      </c>
      <c r="F92" s="879">
        <v>30</v>
      </c>
    </row>
    <row r="93" spans="1:6" s="875" customFormat="1" ht="36">
      <c r="A93" s="879">
        <v>33</v>
      </c>
      <c r="B93" s="3283"/>
      <c r="C93" s="879" t="s">
        <v>681</v>
      </c>
      <c r="D93" s="815" t="s">
        <v>682</v>
      </c>
      <c r="E93" s="892">
        <v>0.2</v>
      </c>
      <c r="F93" s="879">
        <v>30</v>
      </c>
    </row>
    <row r="94" spans="1:6" s="875" customFormat="1" ht="48">
      <c r="A94" s="879">
        <v>34</v>
      </c>
      <c r="B94" s="3283"/>
      <c r="C94" s="879" t="s">
        <v>683</v>
      </c>
      <c r="D94" s="815" t="s">
        <v>684</v>
      </c>
      <c r="E94" s="892">
        <v>0.2</v>
      </c>
      <c r="F94" s="879">
        <v>30</v>
      </c>
    </row>
    <row r="95" spans="1:6" s="875" customFormat="1" ht="36">
      <c r="A95" s="879">
        <v>35</v>
      </c>
      <c r="B95" s="3283"/>
      <c r="C95" s="879" t="s">
        <v>685</v>
      </c>
      <c r="D95" s="815" t="s">
        <v>686</v>
      </c>
      <c r="E95" s="892">
        <v>0.2</v>
      </c>
      <c r="F95" s="879">
        <v>30</v>
      </c>
    </row>
    <row r="96" spans="1:6" s="875" customFormat="1" ht="48">
      <c r="A96" s="879">
        <v>36</v>
      </c>
      <c r="B96" s="3283"/>
      <c r="C96" s="815" t="s">
        <v>687</v>
      </c>
      <c r="D96" s="815" t="s">
        <v>688</v>
      </c>
      <c r="E96" s="892">
        <v>0.2</v>
      </c>
      <c r="F96" s="879">
        <v>30</v>
      </c>
    </row>
    <row r="97" spans="1:6" s="875" customFormat="1" ht="36">
      <c r="A97" s="879">
        <v>37</v>
      </c>
      <c r="B97" s="3283"/>
      <c r="C97" s="879" t="s">
        <v>689</v>
      </c>
      <c r="D97" s="815" t="s">
        <v>690</v>
      </c>
      <c r="E97" s="892">
        <v>0.2</v>
      </c>
      <c r="F97" s="879">
        <v>30</v>
      </c>
    </row>
    <row r="98" spans="1:6" s="875" customFormat="1" ht="36">
      <c r="A98" s="879">
        <v>38</v>
      </c>
      <c r="B98" s="3283"/>
      <c r="C98" s="879" t="s">
        <v>691</v>
      </c>
      <c r="D98" s="815" t="s">
        <v>692</v>
      </c>
      <c r="E98" s="892">
        <v>0.2</v>
      </c>
      <c r="F98" s="879">
        <v>30</v>
      </c>
    </row>
    <row r="99" spans="1:6" s="875" customFormat="1" ht="36">
      <c r="A99" s="879">
        <v>39</v>
      </c>
      <c r="B99" s="3283" t="s">
        <v>693</v>
      </c>
      <c r="C99" s="879" t="s">
        <v>694</v>
      </c>
      <c r="D99" s="815" t="s">
        <v>695</v>
      </c>
      <c r="E99" s="892">
        <v>0.3</v>
      </c>
      <c r="F99" s="879">
        <v>50</v>
      </c>
    </row>
    <row r="100" spans="1:6" s="875" customFormat="1" ht="24">
      <c r="A100" s="879">
        <v>40</v>
      </c>
      <c r="B100" s="3283"/>
      <c r="C100" s="879" t="s">
        <v>696</v>
      </c>
      <c r="D100" s="815" t="s">
        <v>697</v>
      </c>
      <c r="E100" s="892">
        <v>0.2</v>
      </c>
      <c r="F100" s="879">
        <v>30</v>
      </c>
    </row>
    <row r="101" spans="1:6" s="875" customFormat="1" ht="36">
      <c r="A101" s="879">
        <v>41</v>
      </c>
      <c r="B101" s="328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3" t="s">
        <v>708</v>
      </c>
      <c r="C105" s="879" t="s">
        <v>709</v>
      </c>
      <c r="D105" s="815" t="s">
        <v>710</v>
      </c>
      <c r="E105" s="892">
        <v>0.2</v>
      </c>
      <c r="F105" s="879">
        <v>30</v>
      </c>
    </row>
    <row r="106" spans="1:6" s="875" customFormat="1" ht="36">
      <c r="A106" s="879">
        <v>46</v>
      </c>
      <c r="B106" s="3283"/>
      <c r="C106" s="879" t="s">
        <v>711</v>
      </c>
      <c r="D106" s="815" t="s">
        <v>712</v>
      </c>
      <c r="E106" s="892">
        <v>0.2</v>
      </c>
      <c r="F106" s="879">
        <v>30</v>
      </c>
    </row>
    <row r="107" spans="1:6" s="875" customFormat="1" ht="36">
      <c r="A107" s="879">
        <v>47</v>
      </c>
      <c r="B107" s="3283" t="s">
        <v>713</v>
      </c>
      <c r="C107" s="879" t="s">
        <v>714</v>
      </c>
      <c r="D107" s="815" t="s">
        <v>715</v>
      </c>
      <c r="E107" s="892">
        <v>0.3</v>
      </c>
      <c r="F107" s="879">
        <v>50</v>
      </c>
    </row>
    <row r="108" spans="1:6" s="875" customFormat="1" ht="36">
      <c r="A108" s="879">
        <v>48</v>
      </c>
      <c r="B108" s="328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3" t="s">
        <v>724</v>
      </c>
      <c r="C111" s="879" t="s">
        <v>725</v>
      </c>
      <c r="D111" s="815" t="s">
        <v>726</v>
      </c>
      <c r="E111" s="892">
        <v>0.2</v>
      </c>
      <c r="F111" s="879">
        <v>30</v>
      </c>
    </row>
    <row r="112" spans="1:6" s="875" customFormat="1" ht="24">
      <c r="A112" s="879">
        <v>52</v>
      </c>
      <c r="B112" s="3283"/>
      <c r="C112" s="879" t="s">
        <v>727</v>
      </c>
      <c r="D112" s="815" t="s">
        <v>728</v>
      </c>
      <c r="E112" s="892">
        <v>0.2</v>
      </c>
      <c r="F112" s="879">
        <v>30</v>
      </c>
    </row>
    <row r="113" spans="1:6" s="875" customFormat="1" ht="24">
      <c r="A113" s="879">
        <v>53</v>
      </c>
      <c r="B113" s="328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3" t="s">
        <v>737</v>
      </c>
      <c r="C116" s="879" t="s">
        <v>738</v>
      </c>
      <c r="D116" s="815" t="s">
        <v>739</v>
      </c>
      <c r="E116" s="892">
        <v>0.2</v>
      </c>
      <c r="F116" s="879">
        <v>30</v>
      </c>
    </row>
    <row r="117" spans="1:6" ht="36">
      <c r="A117" s="879">
        <v>57</v>
      </c>
      <c r="B117" s="328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8" t="s">
        <v>2996</v>
      </c>
      <c r="B2" s="2909">
        <f ca="1">SUMIF(B6:B13,"&lt;&gt;#ref!",B6:B13)</f>
        <v>52919</v>
      </c>
      <c r="C2" s="2908" t="s">
        <v>2997</v>
      </c>
      <c r="D2" s="2908" t="s">
        <v>2998</v>
      </c>
      <c r="E2" s="2909">
        <f ca="1">SUMIF(E6:E13,"&lt;&gt;#ref!",E6:E13)</f>
        <v>86430.56</v>
      </c>
    </row>
    <row r="3" spans="1:5" ht="15.75">
      <c r="A3" s="2908" t="s">
        <v>2999</v>
      </c>
      <c r="B3" s="2909">
        <f ca="1">ROUND(B2*10000/E2,0)</f>
        <v>6123</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52919</v>
      </c>
      <c r="C6" s="2908" t="s">
        <v>2997</v>
      </c>
      <c r="D6" s="2910"/>
      <c r="E6" s="2573">
        <f ca="1">SUMIF(INDIRECT("'"&amp;A6&amp;"'"&amp;"!C:C"),"建筑面积",INDIRECT("'"&amp;A6&amp;"'"&amp;"!D:D"))</f>
        <v>86430.56</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9"/>
      <c r="B4" s="2981" t="s">
        <v>1630</v>
      </c>
      <c r="C4" s="2981"/>
      <c r="D4" s="2981"/>
      <c r="E4" s="1959"/>
    </row>
    <row r="5" spans="1:5" ht="16.5" thickTop="1">
      <c r="A5" s="1957"/>
      <c r="B5" s="2979" t="s">
        <v>1622</v>
      </c>
      <c r="C5" s="1960" t="s">
        <v>1623</v>
      </c>
      <c r="D5" s="1040">
        <f ca="1">结果表!H101</f>
        <v>114782</v>
      </c>
      <c r="E5" s="1957"/>
    </row>
    <row r="6" spans="1:5" ht="15.75">
      <c r="A6" s="1957"/>
      <c r="B6" s="2979"/>
      <c r="C6" s="1960" t="s">
        <v>1624</v>
      </c>
      <c r="D6" s="1040" t="str">
        <f ca="1">NUMBERSTRING(INT(D5*10000),2)&amp;"元整"</f>
        <v>壹拾壹亿肆仟柒佰捌拾贰万元整</v>
      </c>
      <c r="E6" s="1957"/>
    </row>
    <row r="7" spans="1:5" ht="15.75">
      <c r="A7" s="1957"/>
      <c r="B7" s="2984"/>
      <c r="C7" s="1961" t="s">
        <v>1625</v>
      </c>
      <c r="D7" s="1041">
        <f ca="1">结果表!H102</f>
        <v>11969</v>
      </c>
      <c r="E7" s="1957"/>
    </row>
    <row r="8" spans="1:5" ht="15.75">
      <c r="A8" s="1957"/>
      <c r="B8" s="2985" t="str">
        <f>结果表!E103</f>
        <v>2.估价师知悉的法定优先受偿款</v>
      </c>
      <c r="C8" s="1962" t="s">
        <v>1626</v>
      </c>
      <c r="D8" s="1041">
        <f>结果表!H103</f>
        <v>0</v>
      </c>
      <c r="E8" s="1957"/>
    </row>
    <row r="9" spans="1:5" ht="15.75">
      <c r="A9" s="1957"/>
      <c r="B9" s="2987"/>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78" t="str">
        <f>结果表!E107</f>
        <v>3.房地产抵押价值</v>
      </c>
      <c r="C13" s="1965" t="s">
        <v>1623</v>
      </c>
      <c r="D13" s="1043">
        <f ca="1">结果表!H107</f>
        <v>114782</v>
      </c>
      <c r="E13" s="1957"/>
    </row>
    <row r="14" spans="1:5" ht="15.75">
      <c r="A14" s="1957"/>
      <c r="B14" s="2979"/>
      <c r="C14" s="1960" t="s">
        <v>1624</v>
      </c>
      <c r="D14" s="1040" t="str">
        <f ca="1">NUMBERSTRING(INT(D13*10000),2)&amp;"元整"</f>
        <v>壹拾壹亿肆仟柒佰捌拾贰万元整</v>
      </c>
      <c r="E14" s="1957"/>
    </row>
    <row r="15" spans="1:5" ht="15">
      <c r="A15" s="1957"/>
      <c r="B15" s="2984"/>
      <c r="C15" s="1961" t="s">
        <v>1634</v>
      </c>
      <c r="D15" s="1052">
        <f ca="1">结果表!H108</f>
        <v>11969</v>
      </c>
      <c r="E15" s="1957"/>
    </row>
    <row r="16" spans="1:5" ht="15">
      <c r="A16" s="1957"/>
      <c r="B16" s="2985" t="str">
        <f>结果表!E109</f>
        <v>——</v>
      </c>
      <c r="C16" s="1965" t="s">
        <v>1635</v>
      </c>
      <c r="D16" s="1966" t="str">
        <f>结果表!H109</f>
        <v>——</v>
      </c>
      <c r="E16" s="1957"/>
    </row>
    <row r="17" spans="1:5" ht="15.75">
      <c r="A17" s="1957"/>
      <c r="B17" s="2986"/>
      <c r="C17" s="1960" t="s">
        <v>1636</v>
      </c>
      <c r="D17" s="1040" t="e">
        <f>NUMBERSTRING(INT(D16*10000),2)&amp;"元整"</f>
        <v>#VALUE!</v>
      </c>
      <c r="E17" s="1957"/>
    </row>
    <row r="18" spans="1:5" ht="15">
      <c r="A18" s="1957"/>
      <c r="B18" s="2987"/>
      <c r="C18" s="1961" t="s">
        <v>1625</v>
      </c>
      <c r="D18" s="1052" t="str">
        <f>结果表!H110</f>
        <v>——</v>
      </c>
      <c r="E18" s="1957"/>
    </row>
    <row r="19" spans="1:5" ht="15.75">
      <c r="A19" s="1957"/>
      <c r="B19" s="2978" t="str">
        <f>结果表!E111</f>
        <v>——</v>
      </c>
      <c r="C19" s="1965" t="s">
        <v>1623</v>
      </c>
      <c r="D19" s="1041" t="str">
        <f>结果表!H111</f>
        <v>——</v>
      </c>
      <c r="E19" s="1957"/>
    </row>
    <row r="20" spans="1:5" ht="15.75">
      <c r="A20" s="1957"/>
      <c r="B20" s="2979"/>
      <c r="C20" s="1960" t="s">
        <v>1636</v>
      </c>
      <c r="D20" s="1040" t="e">
        <f>NUMBERSTRING(INT(D19*10000),2)&amp;"元整"</f>
        <v>#VALUE!</v>
      </c>
      <c r="E20" s="1957"/>
    </row>
    <row r="21" spans="1:5" ht="15.75" thickBot="1">
      <c r="A21" s="1957"/>
      <c r="B21" s="2980"/>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9" t="s">
        <v>1150</v>
      </c>
      <c r="C1" s="3289"/>
      <c r="D1" s="3289"/>
      <c r="E1" s="3289"/>
      <c r="F1" s="3289"/>
      <c r="G1" s="3285" t="s">
        <v>1151</v>
      </c>
      <c r="H1" s="3285"/>
      <c r="I1" s="3285"/>
      <c r="J1" s="3285"/>
      <c r="K1" s="3285"/>
      <c r="L1" s="3285"/>
      <c r="N1" s="3285" t="s">
        <v>1152</v>
      </c>
      <c r="O1" s="3285"/>
      <c r="P1" s="3285"/>
      <c r="Q1" s="3285"/>
      <c r="R1" s="1445"/>
      <c r="S1" s="3285" t="s">
        <v>1153</v>
      </c>
      <c r="T1" s="3285"/>
      <c r="U1" s="3285"/>
      <c r="V1" s="3285"/>
      <c r="X1" s="3284" t="s">
        <v>1154</v>
      </c>
      <c r="Y1" s="3285"/>
      <c r="Z1" s="3285"/>
      <c r="AA1" s="3285"/>
      <c r="AB1" s="3285"/>
      <c r="AD1" s="3284" t="s">
        <v>1155</v>
      </c>
      <c r="AE1" s="3285"/>
      <c r="AF1" s="3285"/>
      <c r="AG1" s="3285"/>
      <c r="AH1" s="328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3045</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2</v>
      </c>
      <c r="I5" s="2922">
        <v>0</v>
      </c>
      <c r="J5" s="2922">
        <v>0</v>
      </c>
      <c r="K5" s="2922">
        <v>0</v>
      </c>
      <c r="L5" s="2922">
        <v>0</v>
      </c>
      <c r="N5" s="1466">
        <f t="shared" ref="N5" si="7">I5/100</f>
        <v>0</v>
      </c>
      <c r="O5" s="1466">
        <f t="shared" ref="O5" si="8">J5/100</f>
        <v>0</v>
      </c>
      <c r="P5" s="1466">
        <f t="shared" ref="P5" si="9">K5/100</f>
        <v>0</v>
      </c>
      <c r="Q5" s="1466">
        <f t="shared" ref="Q5" si="10">L5/100</f>
        <v>0</v>
      </c>
      <c r="R5" s="1730"/>
      <c r="S5" s="1731"/>
      <c r="T5" s="1730"/>
      <c r="U5" s="1730"/>
      <c r="V5" s="1730"/>
      <c r="W5" s="2926" t="s">
        <v>3040</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90">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7"/>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7"/>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8"/>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86">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7"/>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7"/>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8"/>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86">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7"/>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7"/>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8"/>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291">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2"/>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2"/>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3"/>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86">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7"/>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7"/>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88"/>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86">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7">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7">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8">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86">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7">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7">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8">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86">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7">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7">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8">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86">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7">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7">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8">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86">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7">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7">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8">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86">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7">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7">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8">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86">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7">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7">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8">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86">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7">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7">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8">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86">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7">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7">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88">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86">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7">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7">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88">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3006</v>
      </c>
      <c r="C1" s="3295" t="s">
        <v>3007</v>
      </c>
      <c r="D1" s="3296"/>
      <c r="E1" s="3296"/>
      <c r="F1" s="3296"/>
      <c r="G1" s="3296"/>
      <c r="H1" s="3296"/>
      <c r="I1" s="3296"/>
      <c r="J1" s="3296"/>
      <c r="K1" s="3296"/>
      <c r="L1" s="3296"/>
      <c r="M1" s="3296"/>
      <c r="N1" s="3296"/>
      <c r="O1" s="3296"/>
      <c r="P1" s="3296"/>
      <c r="Q1" s="3296"/>
      <c r="R1" s="3296"/>
      <c r="S1" s="3297"/>
      <c r="T1" s="1204" t="s">
        <v>3008</v>
      </c>
    </row>
    <row r="2" spans="1:45" s="705" customFormat="1">
      <c r="A2" s="1205"/>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5" thickBot="1">
      <c r="A20" s="713" t="s">
        <v>3019</v>
      </c>
      <c r="B20" s="336" t="e">
        <f ca="1">IF(D20="——",S22,S22-F20)</f>
        <v>#REF!</v>
      </c>
      <c r="C20" s="166"/>
      <c r="D20" s="2917" t="s">
        <v>3020</v>
      </c>
      <c r="E20" s="1791"/>
      <c r="F20" s="1204" t="e">
        <f ca="1">SUMIF(INDIRECT("'"&amp;H20&amp;"'"&amp;"!A:A"),"承租人权益价值",INDIRECT("'"&amp;H20&amp;"'"&amp;"!c:c"))</f>
        <v>#REF!</v>
      </c>
      <c r="G20" s="1204" t="s">
        <v>3021</v>
      </c>
      <c r="H20" s="2918"/>
      <c r="I20" s="166"/>
      <c r="J20" s="166"/>
      <c r="K20" s="166"/>
      <c r="L20" s="166"/>
      <c r="M20" s="166"/>
      <c r="N20" s="166"/>
      <c r="O20" s="166"/>
      <c r="P20" s="166"/>
      <c r="Q20" s="166"/>
      <c r="R20" s="786"/>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6"/>
      <c r="S21" s="136"/>
    </row>
    <row r="22" spans="1:45">
      <c r="A22" s="359" t="s">
        <v>3023</v>
      </c>
      <c r="B22" s="24">
        <f>SUM(B24:B10000)</f>
        <v>100</v>
      </c>
      <c r="C22" s="3078" t="s">
        <v>33</v>
      </c>
      <c r="D22" s="3079"/>
      <c r="E22" s="3079"/>
      <c r="F22" s="3079"/>
      <c r="G22" s="3079"/>
      <c r="H22" s="3079"/>
      <c r="I22" s="3079"/>
      <c r="J22" s="3079"/>
      <c r="K22" s="3079"/>
      <c r="L22" s="3079"/>
      <c r="M22" s="3079"/>
      <c r="N22" s="3079"/>
      <c r="O22" s="3079"/>
      <c r="P22" s="3079"/>
      <c r="Q22" s="3294"/>
      <c r="R22" s="714">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41189</v>
      </c>
      <c r="C2" s="2" t="s">
        <v>133</v>
      </c>
      <c r="D2" s="241"/>
      <c r="E2" s="241"/>
      <c r="F2" s="241"/>
      <c r="G2" s="241"/>
    </row>
    <row r="3" spans="1:7" s="242" customFormat="1" ht="18" customHeight="1" thickBot="1">
      <c r="A3" s="245" t="s">
        <v>85</v>
      </c>
      <c r="B3" s="246">
        <f ca="1">ROUND(B2*10000/'数据-汇总表'!E3,0)</f>
        <v>4295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1918</v>
      </c>
      <c r="D10" s="1032">
        <f>'数据-汇总表'!E6</f>
        <v>95896.06</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1918</v>
      </c>
      <c r="D19" s="1036">
        <f>'数据-汇总表'!E3</f>
        <v>95896.06</v>
      </c>
      <c r="E19" s="253">
        <f>'数据-取费表'!B31</f>
        <v>200</v>
      </c>
      <c r="F19" s="273"/>
      <c r="G19" s="1" t="s">
        <v>1074</v>
      </c>
    </row>
    <row r="20" spans="1:7" s="256" customFormat="1" ht="13.5" customHeight="1">
      <c r="A20" s="948" t="s">
        <v>1057</v>
      </c>
      <c r="B20" s="252" t="s">
        <v>104</v>
      </c>
      <c r="C20" s="274">
        <f>ROUND((C5+C19)*F20,0)</f>
        <v>451</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1081</v>
      </c>
      <c r="D22" s="277">
        <f ca="1">C26</f>
        <v>5.0000000000000001E-4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979</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91</v>
      </c>
      <c r="D24" s="280"/>
      <c r="E24" s="280"/>
      <c r="F24" s="281"/>
      <c r="G24" s="282" t="s">
        <v>109</v>
      </c>
    </row>
    <row r="25" spans="1:7" s="256" customFormat="1" ht="24">
      <c r="A25" s="951" t="s">
        <v>793</v>
      </c>
      <c r="B25" s="257" t="s">
        <v>1058</v>
      </c>
      <c r="C25" s="1354">
        <f ca="1">ROUND(IF('数据-取费表'!B22&lt;=1,C20*F22*'数据-取费表'!B23/2,C20*(POWER((1+F22),'数据-取费表'!B23/2)-1)),0)</f>
        <v>11</v>
      </c>
      <c r="D25" s="280"/>
      <c r="E25" s="283"/>
      <c r="F25" s="281"/>
      <c r="G25" s="284" t="s">
        <v>110</v>
      </c>
    </row>
    <row r="26" spans="1:7" s="256" customFormat="1">
      <c r="A26" s="951" t="s">
        <v>795</v>
      </c>
      <c r="B26" s="257" t="s">
        <v>1060</v>
      </c>
      <c r="C26" s="280">
        <f ca="1">ROUND(IF('数据-取费表'!B22&lt;=1,F21*F22*'数据-取费表'!B23/2,F21*(POWER((1+F22),'数据-取费表'!B23/2)-1)),4)</f>
        <v>5.0000000000000001E-4</v>
      </c>
      <c r="D26" s="280"/>
      <c r="E26" s="283"/>
      <c r="F26" s="281"/>
      <c r="G26" s="285"/>
    </row>
    <row r="27" spans="1:7" s="256" customFormat="1" ht="24.75">
      <c r="A27" s="948" t="s">
        <v>787</v>
      </c>
      <c r="B27" s="286" t="s">
        <v>112</v>
      </c>
      <c r="C27" s="287">
        <f>C28</f>
        <v>1532</v>
      </c>
      <c r="D27" s="277">
        <f>C29</f>
        <v>1.2999999999999999E-3</v>
      </c>
      <c r="E27" s="278" t="s">
        <v>126</v>
      </c>
      <c r="F27" s="288">
        <f>'数据-取费表'!Q16</f>
        <v>0.2</v>
      </c>
      <c r="G27" s="289" t="s">
        <v>1069</v>
      </c>
    </row>
    <row r="28" spans="1:7" s="256" customFormat="1" ht="13.5" customHeight="1">
      <c r="A28" s="951" t="s">
        <v>794</v>
      </c>
      <c r="B28" s="290" t="s">
        <v>1062</v>
      </c>
      <c r="C28" s="291">
        <f>ROUND((C5+C19+C20)*F27*'数据-取费表'!B21/'数据-取费表'!B20,0)</f>
        <v>1532</v>
      </c>
      <c r="D28" s="277"/>
      <c r="E28" s="278"/>
      <c r="F28" s="288"/>
      <c r="G28" s="289"/>
    </row>
    <row r="29" spans="1:7" s="256" customFormat="1" ht="13.5" customHeight="1">
      <c r="A29" s="951" t="s">
        <v>792</v>
      </c>
      <c r="B29" s="290" t="s">
        <v>1063</v>
      </c>
      <c r="C29" s="280">
        <f>ROUND(C21*F27*'数据-取费表'!B21/'数据-取费表'!B20,4)</f>
        <v>1.2999999999999999E-3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27643</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10021</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9131</v>
      </c>
      <c r="D34" s="259"/>
      <c r="E34" s="262"/>
      <c r="F34" s="299">
        <f>IF('数据-取费表'!B24=0,1,'数据-取费表'!N16)</f>
        <v>0.25</v>
      </c>
      <c r="G34" s="261" t="s">
        <v>116</v>
      </c>
    </row>
    <row r="35" spans="1:7" ht="13.5" customHeight="1">
      <c r="A35" s="951" t="s">
        <v>796</v>
      </c>
      <c r="B35" s="257" t="s">
        <v>60</v>
      </c>
      <c r="C35" s="262">
        <f>ROUND(C34*F35,0)</f>
        <v>274</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479</v>
      </c>
      <c r="D37" s="259">
        <f>'数据-汇总表'!E3</f>
        <v>95896.06</v>
      </c>
      <c r="E37" s="291">
        <f>'数据-取费表'!B35</f>
        <v>200</v>
      </c>
      <c r="F37" s="301"/>
      <c r="G37" s="303" t="s">
        <v>119</v>
      </c>
    </row>
    <row r="38" spans="1:7" ht="13.5" customHeight="1">
      <c r="A38" s="951" t="s">
        <v>799</v>
      </c>
      <c r="B38" s="257" t="s">
        <v>63</v>
      </c>
      <c r="C38" s="262">
        <f>ROUND(C34*F38,0)</f>
        <v>137</v>
      </c>
      <c r="D38" s="262"/>
      <c r="E38" s="262"/>
      <c r="F38" s="301">
        <f>'数据-取费表'!B36</f>
        <v>1.4999999999999999E-2</v>
      </c>
      <c r="G38" s="261" t="s">
        <v>117</v>
      </c>
    </row>
    <row r="39" spans="1:7" s="256" customFormat="1" ht="13.5" customHeight="1">
      <c r="A39" s="948" t="s">
        <v>783</v>
      </c>
      <c r="B39" s="252" t="s">
        <v>104</v>
      </c>
      <c r="C39" s="274">
        <f>ROUND(C33*F20,0)</f>
        <v>200</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240</v>
      </c>
      <c r="D41" s="277">
        <f ca="1">C44</f>
        <v>5.0000000000000001E-4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235</v>
      </c>
      <c r="D42" s="280"/>
      <c r="E42" s="280"/>
      <c r="F42" s="281"/>
      <c r="G42" s="3163" t="s">
        <v>121</v>
      </c>
    </row>
    <row r="43" spans="1:7" ht="13.5" customHeight="1">
      <c r="A43" s="951" t="s">
        <v>792</v>
      </c>
      <c r="B43" s="257" t="s">
        <v>1064</v>
      </c>
      <c r="C43" s="280">
        <f ca="1">ROUND(IF('数据-取费表'!B22&lt;=1,C39*F22*'数据-取费表'!B21/2,C39*(POWER((1+F22),'数据-取费表'!B21/2)-1)),0)</f>
        <v>5</v>
      </c>
      <c r="D43" s="280"/>
      <c r="E43" s="280"/>
      <c r="F43" s="281"/>
      <c r="G43" s="3164"/>
    </row>
    <row r="44" spans="1:7" ht="13.5" customHeight="1">
      <c r="A44" s="951" t="s">
        <v>793</v>
      </c>
      <c r="B44" s="257" t="s">
        <v>1066</v>
      </c>
      <c r="C44" s="280">
        <f ca="1">ROUND(IF('数据-取费表'!B22&lt;=1,C40*F22*'数据-取费表'!B21/2,C40*(POWER((1+F22),'数据-取费表'!B21/2)-1)),4)</f>
        <v>5.0000000000000001E-4</v>
      </c>
      <c r="D44" s="280"/>
      <c r="E44" s="280"/>
      <c r="F44" s="281"/>
      <c r="G44" s="3165"/>
    </row>
    <row r="45" spans="1:7" s="256" customFormat="1" ht="13.5" customHeight="1">
      <c r="A45" s="948" t="s">
        <v>786</v>
      </c>
      <c r="B45" s="286" t="s">
        <v>112</v>
      </c>
      <c r="C45" s="287">
        <f>C46</f>
        <v>2044</v>
      </c>
      <c r="D45" s="277">
        <f>C47</f>
        <v>4.0000000000000001E-3</v>
      </c>
      <c r="E45" s="278" t="s">
        <v>129</v>
      </c>
      <c r="F45" s="288"/>
      <c r="G45" s="289" t="s">
        <v>1072</v>
      </c>
    </row>
    <row r="46" spans="1:7" s="256" customFormat="1" ht="13.5" customHeight="1">
      <c r="A46" s="951" t="s">
        <v>794</v>
      </c>
      <c r="B46" s="290" t="s">
        <v>1065</v>
      </c>
      <c r="C46" s="291">
        <f>ROUND((C33+C39)*F27,0)</f>
        <v>2044</v>
      </c>
      <c r="D46" s="305"/>
      <c r="E46" s="278"/>
      <c r="F46" s="288"/>
      <c r="G46" s="289"/>
    </row>
    <row r="47" spans="1:7" s="256" customFormat="1" ht="13.5" customHeight="1">
      <c r="A47" s="951" t="s">
        <v>792</v>
      </c>
      <c r="B47" s="290" t="s">
        <v>1067</v>
      </c>
      <c r="C47" s="280">
        <f>ROUND(C40*F27,4)</f>
        <v>4.0000000000000001E-3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13546</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13546</v>
      </c>
      <c r="D51" s="274"/>
      <c r="E51" s="274"/>
      <c r="F51" s="306"/>
      <c r="G51" s="276" t="s">
        <v>64</v>
      </c>
    </row>
    <row r="52" spans="1:7" s="250" customFormat="1" ht="16.5" thickBot="1">
      <c r="A52" s="307" t="s">
        <v>65</v>
      </c>
      <c r="B52" s="308"/>
      <c r="C52" s="309">
        <f ca="1">C31+C51</f>
        <v>41189</v>
      </c>
      <c r="D52" s="308"/>
      <c r="E52" s="308"/>
      <c r="F52" s="308"/>
      <c r="G52" s="310"/>
    </row>
    <row r="55" spans="1:7" ht="15">
      <c r="B55" s="312" t="s">
        <v>66</v>
      </c>
      <c r="C55" s="313"/>
    </row>
    <row r="56" spans="1:7">
      <c r="B56" s="315" t="s">
        <v>67</v>
      </c>
      <c r="C56" s="316">
        <f ca="1">ROUND(C51/C52,3)</f>
        <v>0.32900000000000001</v>
      </c>
    </row>
    <row r="57" spans="1:7">
      <c r="B57" s="315" t="s">
        <v>68</v>
      </c>
      <c r="C57" s="317">
        <f ca="1">1-C56</f>
        <v>0.67100000000000004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8" t="s">
        <v>156</v>
      </c>
      <c r="B1" s="3298"/>
      <c r="C1" s="3298"/>
      <c r="D1" s="3298"/>
      <c r="E1" s="3298"/>
      <c r="F1" s="329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9" t="s">
        <v>169</v>
      </c>
      <c r="B2" s="3299"/>
      <c r="C2" s="3299"/>
      <c r="D2" s="3299"/>
      <c r="E2" s="3299"/>
      <c r="F2" s="329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0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8" t="s">
        <v>871</v>
      </c>
      <c r="B1" s="329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43294</v>
      </c>
      <c r="D1" s="1698" t="s">
        <v>1301</v>
      </c>
      <c r="E1" s="1693">
        <f>'数据-取费表'!B22</f>
        <v>3</v>
      </c>
      <c r="F1" s="1698" t="s">
        <v>1302</v>
      </c>
      <c r="G1" s="1694">
        <f ca="1">INDIRECT("d"&amp;$K$1)/100</f>
        <v>4.7500000000000001E-2</v>
      </c>
      <c r="H1" s="1698" t="s">
        <v>1332</v>
      </c>
      <c r="I1" s="1694">
        <f ca="1">F4/100</f>
        <v>1.4999999999999999E-2</v>
      </c>
      <c r="J1" s="1699">
        <f>IF(C1&gt;C13,0,MATCH(C1,C$13:C$100,-1))+IF(SUMIF(C13:C100,C1,D13:D100)=0,13,12)</f>
        <v>13</v>
      </c>
      <c r="K1" s="1699">
        <f ca="1">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D1" workbookViewId="0">
      <selection activeCell="M30" sqref="M30"/>
    </sheetView>
  </sheetViews>
  <sheetFormatPr defaultRowHeight="13.5"/>
  <cols>
    <col min="1" max="1" width="36.5" style="1633" customWidth="1"/>
    <col min="2" max="2" width="6.25" style="1633" hidden="1" customWidth="1"/>
    <col min="3" max="3" width="6.25" style="1633" customWidth="1"/>
    <col min="4" max="5" width="13.875" style="1633" customWidth="1"/>
    <col min="6" max="6" width="8.875" style="1633" customWidth="1"/>
    <col min="7" max="7" width="7.875" style="1633" customWidth="1"/>
    <col min="8" max="8" width="11.5" style="1633" customWidth="1"/>
    <col min="9" max="10" width="10.625" style="1633" customWidth="1"/>
    <col min="11" max="11" width="14.375" style="1633" customWidth="1"/>
    <col min="12" max="12" width="6.25" style="1633" customWidth="1"/>
    <col min="13" max="13" width="88.25" style="1633" customWidth="1"/>
    <col min="14" max="256" width="9" style="1633"/>
    <col min="257" max="257" width="61.25" style="1633" customWidth="1"/>
    <col min="258" max="258" width="6.25" style="1633" customWidth="1"/>
    <col min="259" max="259" width="11.75" style="1633" customWidth="1"/>
    <col min="260" max="261" width="13.875" style="1633" customWidth="1"/>
    <col min="262" max="262" width="6.2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88.25" style="1633" customWidth="1"/>
    <col min="270" max="512" width="9" style="1633"/>
    <col min="513" max="513" width="61.25" style="1633" customWidth="1"/>
    <col min="514" max="514" width="6.25" style="1633" customWidth="1"/>
    <col min="515" max="515" width="11.75" style="1633" customWidth="1"/>
    <col min="516" max="517" width="13.875" style="1633" customWidth="1"/>
    <col min="518" max="518" width="6.2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88.25" style="1633" customWidth="1"/>
    <col min="526" max="768" width="9" style="1633"/>
    <col min="769" max="769" width="61.25" style="1633" customWidth="1"/>
    <col min="770" max="770" width="6.25" style="1633" customWidth="1"/>
    <col min="771" max="771" width="11.75" style="1633" customWidth="1"/>
    <col min="772" max="773" width="13.875" style="1633" customWidth="1"/>
    <col min="774" max="774" width="6.2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88.25" style="1633" customWidth="1"/>
    <col min="782" max="1024" width="9" style="1633"/>
    <col min="1025" max="1025" width="61.25" style="1633" customWidth="1"/>
    <col min="1026" max="1026" width="6.25" style="1633" customWidth="1"/>
    <col min="1027" max="1027" width="11.75" style="1633" customWidth="1"/>
    <col min="1028" max="1029" width="13.875" style="1633" customWidth="1"/>
    <col min="1030" max="1030" width="6.2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88.25" style="1633" customWidth="1"/>
    <col min="1038" max="1280" width="9" style="1633"/>
    <col min="1281" max="1281" width="61.25" style="1633" customWidth="1"/>
    <col min="1282" max="1282" width="6.25" style="1633" customWidth="1"/>
    <col min="1283" max="1283" width="11.75" style="1633" customWidth="1"/>
    <col min="1284" max="1285" width="13.875" style="1633" customWidth="1"/>
    <col min="1286" max="1286" width="6.2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88.25" style="1633" customWidth="1"/>
    <col min="1294" max="1536" width="9" style="1633"/>
    <col min="1537" max="1537" width="61.25" style="1633" customWidth="1"/>
    <col min="1538" max="1538" width="6.25" style="1633" customWidth="1"/>
    <col min="1539" max="1539" width="11.75" style="1633" customWidth="1"/>
    <col min="1540" max="1541" width="13.875" style="1633" customWidth="1"/>
    <col min="1542" max="1542" width="6.2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88.25" style="1633" customWidth="1"/>
    <col min="1550" max="1792" width="9" style="1633"/>
    <col min="1793" max="1793" width="61.25" style="1633" customWidth="1"/>
    <col min="1794" max="1794" width="6.25" style="1633" customWidth="1"/>
    <col min="1795" max="1795" width="11.75" style="1633" customWidth="1"/>
    <col min="1796" max="1797" width="13.875" style="1633" customWidth="1"/>
    <col min="1798" max="1798" width="6.2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88.25" style="1633" customWidth="1"/>
    <col min="1806" max="2048" width="9" style="1633"/>
    <col min="2049" max="2049" width="61.25" style="1633" customWidth="1"/>
    <col min="2050" max="2050" width="6.25" style="1633" customWidth="1"/>
    <col min="2051" max="2051" width="11.75" style="1633" customWidth="1"/>
    <col min="2052" max="2053" width="13.875" style="1633" customWidth="1"/>
    <col min="2054" max="2054" width="6.2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88.25" style="1633" customWidth="1"/>
    <col min="2062" max="2304" width="9" style="1633"/>
    <col min="2305" max="2305" width="61.25" style="1633" customWidth="1"/>
    <col min="2306" max="2306" width="6.25" style="1633" customWidth="1"/>
    <col min="2307" max="2307" width="11.75" style="1633" customWidth="1"/>
    <col min="2308" max="2309" width="13.875" style="1633" customWidth="1"/>
    <col min="2310" max="2310" width="6.2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88.25" style="1633" customWidth="1"/>
    <col min="2318" max="2560" width="9" style="1633"/>
    <col min="2561" max="2561" width="61.25" style="1633" customWidth="1"/>
    <col min="2562" max="2562" width="6.25" style="1633" customWidth="1"/>
    <col min="2563" max="2563" width="11.75" style="1633" customWidth="1"/>
    <col min="2564" max="2565" width="13.875" style="1633" customWidth="1"/>
    <col min="2566" max="2566" width="6.2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88.25" style="1633" customWidth="1"/>
    <col min="2574" max="2816" width="9" style="1633"/>
    <col min="2817" max="2817" width="61.25" style="1633" customWidth="1"/>
    <col min="2818" max="2818" width="6.25" style="1633" customWidth="1"/>
    <col min="2819" max="2819" width="11.75" style="1633" customWidth="1"/>
    <col min="2820" max="2821" width="13.875" style="1633" customWidth="1"/>
    <col min="2822" max="2822" width="6.2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88.25" style="1633" customWidth="1"/>
    <col min="2830" max="3072" width="9" style="1633"/>
    <col min="3073" max="3073" width="61.25" style="1633" customWidth="1"/>
    <col min="3074" max="3074" width="6.25" style="1633" customWidth="1"/>
    <col min="3075" max="3075" width="11.75" style="1633" customWidth="1"/>
    <col min="3076" max="3077" width="13.875" style="1633" customWidth="1"/>
    <col min="3078" max="3078" width="6.2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88.25" style="1633" customWidth="1"/>
    <col min="3086" max="3328" width="9" style="1633"/>
    <col min="3329" max="3329" width="61.25" style="1633" customWidth="1"/>
    <col min="3330" max="3330" width="6.25" style="1633" customWidth="1"/>
    <col min="3331" max="3331" width="11.75" style="1633" customWidth="1"/>
    <col min="3332" max="3333" width="13.875" style="1633" customWidth="1"/>
    <col min="3334" max="3334" width="6.2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88.25" style="1633" customWidth="1"/>
    <col min="3342" max="3584" width="9" style="1633"/>
    <col min="3585" max="3585" width="61.25" style="1633" customWidth="1"/>
    <col min="3586" max="3586" width="6.25" style="1633" customWidth="1"/>
    <col min="3587" max="3587" width="11.75" style="1633" customWidth="1"/>
    <col min="3588" max="3589" width="13.875" style="1633" customWidth="1"/>
    <col min="3590" max="3590" width="6.2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88.25" style="1633" customWidth="1"/>
    <col min="3598" max="3840" width="9" style="1633"/>
    <col min="3841" max="3841" width="61.25" style="1633" customWidth="1"/>
    <col min="3842" max="3842" width="6.25" style="1633" customWidth="1"/>
    <col min="3843" max="3843" width="11.75" style="1633" customWidth="1"/>
    <col min="3844" max="3845" width="13.875" style="1633" customWidth="1"/>
    <col min="3846" max="3846" width="6.2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88.25" style="1633" customWidth="1"/>
    <col min="3854" max="4096" width="9" style="1633"/>
    <col min="4097" max="4097" width="61.25" style="1633" customWidth="1"/>
    <col min="4098" max="4098" width="6.25" style="1633" customWidth="1"/>
    <col min="4099" max="4099" width="11.75" style="1633" customWidth="1"/>
    <col min="4100" max="4101" width="13.875" style="1633" customWidth="1"/>
    <col min="4102" max="4102" width="6.2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88.25" style="1633" customWidth="1"/>
    <col min="4110" max="4352" width="9" style="1633"/>
    <col min="4353" max="4353" width="61.25" style="1633" customWidth="1"/>
    <col min="4354" max="4354" width="6.25" style="1633" customWidth="1"/>
    <col min="4355" max="4355" width="11.75" style="1633" customWidth="1"/>
    <col min="4356" max="4357" width="13.875" style="1633" customWidth="1"/>
    <col min="4358" max="4358" width="6.2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88.25" style="1633" customWidth="1"/>
    <col min="4366" max="4608" width="9" style="1633"/>
    <col min="4609" max="4609" width="61.25" style="1633" customWidth="1"/>
    <col min="4610" max="4610" width="6.25" style="1633" customWidth="1"/>
    <col min="4611" max="4611" width="11.75" style="1633" customWidth="1"/>
    <col min="4612" max="4613" width="13.875" style="1633" customWidth="1"/>
    <col min="4614" max="4614" width="6.2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88.25" style="1633" customWidth="1"/>
    <col min="4622" max="4864" width="9" style="1633"/>
    <col min="4865" max="4865" width="61.25" style="1633" customWidth="1"/>
    <col min="4866" max="4866" width="6.25" style="1633" customWidth="1"/>
    <col min="4867" max="4867" width="11.75" style="1633" customWidth="1"/>
    <col min="4868" max="4869" width="13.875" style="1633" customWidth="1"/>
    <col min="4870" max="4870" width="6.2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88.25" style="1633" customWidth="1"/>
    <col min="4878" max="5120" width="9" style="1633"/>
    <col min="5121" max="5121" width="61.25" style="1633" customWidth="1"/>
    <col min="5122" max="5122" width="6.25" style="1633" customWidth="1"/>
    <col min="5123" max="5123" width="11.75" style="1633" customWidth="1"/>
    <col min="5124" max="5125" width="13.875" style="1633" customWidth="1"/>
    <col min="5126" max="5126" width="6.2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88.25" style="1633" customWidth="1"/>
    <col min="5134" max="5376" width="9" style="1633"/>
    <col min="5377" max="5377" width="61.25" style="1633" customWidth="1"/>
    <col min="5378" max="5378" width="6.25" style="1633" customWidth="1"/>
    <col min="5379" max="5379" width="11.75" style="1633" customWidth="1"/>
    <col min="5380" max="5381" width="13.875" style="1633" customWidth="1"/>
    <col min="5382" max="5382" width="6.2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88.25" style="1633" customWidth="1"/>
    <col min="5390" max="5632" width="9" style="1633"/>
    <col min="5633" max="5633" width="61.25" style="1633" customWidth="1"/>
    <col min="5634" max="5634" width="6.25" style="1633" customWidth="1"/>
    <col min="5635" max="5635" width="11.75" style="1633" customWidth="1"/>
    <col min="5636" max="5637" width="13.875" style="1633" customWidth="1"/>
    <col min="5638" max="5638" width="6.2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88.25" style="1633" customWidth="1"/>
    <col min="5646" max="5888" width="9" style="1633"/>
    <col min="5889" max="5889" width="61.25" style="1633" customWidth="1"/>
    <col min="5890" max="5890" width="6.25" style="1633" customWidth="1"/>
    <col min="5891" max="5891" width="11.75" style="1633" customWidth="1"/>
    <col min="5892" max="5893" width="13.875" style="1633" customWidth="1"/>
    <col min="5894" max="5894" width="6.2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88.25" style="1633" customWidth="1"/>
    <col min="5902" max="6144" width="9" style="1633"/>
    <col min="6145" max="6145" width="61.25" style="1633" customWidth="1"/>
    <col min="6146" max="6146" width="6.25" style="1633" customWidth="1"/>
    <col min="6147" max="6147" width="11.75" style="1633" customWidth="1"/>
    <col min="6148" max="6149" width="13.875" style="1633" customWidth="1"/>
    <col min="6150" max="6150" width="6.2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88.25" style="1633" customWidth="1"/>
    <col min="6158" max="6400" width="9" style="1633"/>
    <col min="6401" max="6401" width="61.25" style="1633" customWidth="1"/>
    <col min="6402" max="6402" width="6.25" style="1633" customWidth="1"/>
    <col min="6403" max="6403" width="11.75" style="1633" customWidth="1"/>
    <col min="6404" max="6405" width="13.875" style="1633" customWidth="1"/>
    <col min="6406" max="6406" width="6.2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88.25" style="1633" customWidth="1"/>
    <col min="6414" max="6656" width="9" style="1633"/>
    <col min="6657" max="6657" width="61.25" style="1633" customWidth="1"/>
    <col min="6658" max="6658" width="6.25" style="1633" customWidth="1"/>
    <col min="6659" max="6659" width="11.75" style="1633" customWidth="1"/>
    <col min="6660" max="6661" width="13.875" style="1633" customWidth="1"/>
    <col min="6662" max="6662" width="6.2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88.25" style="1633" customWidth="1"/>
    <col min="6670" max="6912" width="9" style="1633"/>
    <col min="6913" max="6913" width="61.25" style="1633" customWidth="1"/>
    <col min="6914" max="6914" width="6.25" style="1633" customWidth="1"/>
    <col min="6915" max="6915" width="11.75" style="1633" customWidth="1"/>
    <col min="6916" max="6917" width="13.875" style="1633" customWidth="1"/>
    <col min="6918" max="6918" width="6.2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88.25" style="1633" customWidth="1"/>
    <col min="6926" max="7168" width="9" style="1633"/>
    <col min="7169" max="7169" width="61.25" style="1633" customWidth="1"/>
    <col min="7170" max="7170" width="6.25" style="1633" customWidth="1"/>
    <col min="7171" max="7171" width="11.75" style="1633" customWidth="1"/>
    <col min="7172" max="7173" width="13.875" style="1633" customWidth="1"/>
    <col min="7174" max="7174" width="6.2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88.25" style="1633" customWidth="1"/>
    <col min="7182" max="7424" width="9" style="1633"/>
    <col min="7425" max="7425" width="61.25" style="1633" customWidth="1"/>
    <col min="7426" max="7426" width="6.25" style="1633" customWidth="1"/>
    <col min="7427" max="7427" width="11.75" style="1633" customWidth="1"/>
    <col min="7428" max="7429" width="13.875" style="1633" customWidth="1"/>
    <col min="7430" max="7430" width="6.2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88.25" style="1633" customWidth="1"/>
    <col min="7438" max="7680" width="9" style="1633"/>
    <col min="7681" max="7681" width="61.25" style="1633" customWidth="1"/>
    <col min="7682" max="7682" width="6.25" style="1633" customWidth="1"/>
    <col min="7683" max="7683" width="11.75" style="1633" customWidth="1"/>
    <col min="7684" max="7685" width="13.875" style="1633" customWidth="1"/>
    <col min="7686" max="7686" width="6.2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88.25" style="1633" customWidth="1"/>
    <col min="7694" max="7936" width="9" style="1633"/>
    <col min="7937" max="7937" width="61.25" style="1633" customWidth="1"/>
    <col min="7938" max="7938" width="6.25" style="1633" customWidth="1"/>
    <col min="7939" max="7939" width="11.75" style="1633" customWidth="1"/>
    <col min="7940" max="7941" width="13.875" style="1633" customWidth="1"/>
    <col min="7942" max="7942" width="6.2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88.25" style="1633" customWidth="1"/>
    <col min="7950" max="8192" width="9" style="1633"/>
    <col min="8193" max="8193" width="61.25" style="1633" customWidth="1"/>
    <col min="8194" max="8194" width="6.25" style="1633" customWidth="1"/>
    <col min="8195" max="8195" width="11.75" style="1633" customWidth="1"/>
    <col min="8196" max="8197" width="13.875" style="1633" customWidth="1"/>
    <col min="8198" max="8198" width="6.2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88.25" style="1633" customWidth="1"/>
    <col min="8206" max="8448" width="9" style="1633"/>
    <col min="8449" max="8449" width="61.25" style="1633" customWidth="1"/>
    <col min="8450" max="8450" width="6.25" style="1633" customWidth="1"/>
    <col min="8451" max="8451" width="11.75" style="1633" customWidth="1"/>
    <col min="8452" max="8453" width="13.875" style="1633" customWidth="1"/>
    <col min="8454" max="8454" width="6.2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88.25" style="1633" customWidth="1"/>
    <col min="8462" max="8704" width="9" style="1633"/>
    <col min="8705" max="8705" width="61.25" style="1633" customWidth="1"/>
    <col min="8706" max="8706" width="6.25" style="1633" customWidth="1"/>
    <col min="8707" max="8707" width="11.75" style="1633" customWidth="1"/>
    <col min="8708" max="8709" width="13.875" style="1633" customWidth="1"/>
    <col min="8710" max="8710" width="6.2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88.25" style="1633" customWidth="1"/>
    <col min="8718" max="8960" width="9" style="1633"/>
    <col min="8961" max="8961" width="61.25" style="1633" customWidth="1"/>
    <col min="8962" max="8962" width="6.25" style="1633" customWidth="1"/>
    <col min="8963" max="8963" width="11.75" style="1633" customWidth="1"/>
    <col min="8964" max="8965" width="13.875" style="1633" customWidth="1"/>
    <col min="8966" max="8966" width="6.2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88.25" style="1633" customWidth="1"/>
    <col min="8974" max="9216" width="9" style="1633"/>
    <col min="9217" max="9217" width="61.25" style="1633" customWidth="1"/>
    <col min="9218" max="9218" width="6.25" style="1633" customWidth="1"/>
    <col min="9219" max="9219" width="11.75" style="1633" customWidth="1"/>
    <col min="9220" max="9221" width="13.875" style="1633" customWidth="1"/>
    <col min="9222" max="9222" width="6.2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88.25" style="1633" customWidth="1"/>
    <col min="9230" max="9472" width="9" style="1633"/>
    <col min="9473" max="9473" width="61.25" style="1633" customWidth="1"/>
    <col min="9474" max="9474" width="6.25" style="1633" customWidth="1"/>
    <col min="9475" max="9475" width="11.75" style="1633" customWidth="1"/>
    <col min="9476" max="9477" width="13.875" style="1633" customWidth="1"/>
    <col min="9478" max="9478" width="6.2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88.25" style="1633" customWidth="1"/>
    <col min="9486" max="9728" width="9" style="1633"/>
    <col min="9729" max="9729" width="61.25" style="1633" customWidth="1"/>
    <col min="9730" max="9730" width="6.25" style="1633" customWidth="1"/>
    <col min="9731" max="9731" width="11.75" style="1633" customWidth="1"/>
    <col min="9732" max="9733" width="13.875" style="1633" customWidth="1"/>
    <col min="9734" max="9734" width="6.2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88.25" style="1633" customWidth="1"/>
    <col min="9742" max="9984" width="9" style="1633"/>
    <col min="9985" max="9985" width="61.25" style="1633" customWidth="1"/>
    <col min="9986" max="9986" width="6.25" style="1633" customWidth="1"/>
    <col min="9987" max="9987" width="11.75" style="1633" customWidth="1"/>
    <col min="9988" max="9989" width="13.875" style="1633" customWidth="1"/>
    <col min="9990" max="9990" width="6.2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88.25" style="1633" customWidth="1"/>
    <col min="9998" max="10240" width="9" style="1633"/>
    <col min="10241" max="10241" width="61.25" style="1633" customWidth="1"/>
    <col min="10242" max="10242" width="6.25" style="1633" customWidth="1"/>
    <col min="10243" max="10243" width="11.75" style="1633" customWidth="1"/>
    <col min="10244" max="10245" width="13.875" style="1633" customWidth="1"/>
    <col min="10246" max="10246" width="6.2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88.25" style="1633" customWidth="1"/>
    <col min="10254" max="10496" width="9" style="1633"/>
    <col min="10497" max="10497" width="61.25" style="1633" customWidth="1"/>
    <col min="10498" max="10498" width="6.25" style="1633" customWidth="1"/>
    <col min="10499" max="10499" width="11.75" style="1633" customWidth="1"/>
    <col min="10500" max="10501" width="13.875" style="1633" customWidth="1"/>
    <col min="10502" max="10502" width="6.2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88.25" style="1633" customWidth="1"/>
    <col min="10510" max="10752" width="9" style="1633"/>
    <col min="10753" max="10753" width="61.25" style="1633" customWidth="1"/>
    <col min="10754" max="10754" width="6.25" style="1633" customWidth="1"/>
    <col min="10755" max="10755" width="11.75" style="1633" customWidth="1"/>
    <col min="10756" max="10757" width="13.875" style="1633" customWidth="1"/>
    <col min="10758" max="10758" width="6.2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88.25" style="1633" customWidth="1"/>
    <col min="10766" max="11008" width="9" style="1633"/>
    <col min="11009" max="11009" width="61.25" style="1633" customWidth="1"/>
    <col min="11010" max="11010" width="6.25" style="1633" customWidth="1"/>
    <col min="11011" max="11011" width="11.75" style="1633" customWidth="1"/>
    <col min="11012" max="11013" width="13.875" style="1633" customWidth="1"/>
    <col min="11014" max="11014" width="6.2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88.25" style="1633" customWidth="1"/>
    <col min="11022" max="11264" width="9" style="1633"/>
    <col min="11265" max="11265" width="61.25" style="1633" customWidth="1"/>
    <col min="11266" max="11266" width="6.25" style="1633" customWidth="1"/>
    <col min="11267" max="11267" width="11.75" style="1633" customWidth="1"/>
    <col min="11268" max="11269" width="13.875" style="1633" customWidth="1"/>
    <col min="11270" max="11270" width="6.2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88.25" style="1633" customWidth="1"/>
    <col min="11278" max="11520" width="9" style="1633"/>
    <col min="11521" max="11521" width="61.25" style="1633" customWidth="1"/>
    <col min="11522" max="11522" width="6.25" style="1633" customWidth="1"/>
    <col min="11523" max="11523" width="11.75" style="1633" customWidth="1"/>
    <col min="11524" max="11525" width="13.875" style="1633" customWidth="1"/>
    <col min="11526" max="11526" width="6.2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88.25" style="1633" customWidth="1"/>
    <col min="11534" max="11776" width="9" style="1633"/>
    <col min="11777" max="11777" width="61.25" style="1633" customWidth="1"/>
    <col min="11778" max="11778" width="6.25" style="1633" customWidth="1"/>
    <col min="11779" max="11779" width="11.75" style="1633" customWidth="1"/>
    <col min="11780" max="11781" width="13.875" style="1633" customWidth="1"/>
    <col min="11782" max="11782" width="6.2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88.25" style="1633" customWidth="1"/>
    <col min="11790" max="12032" width="9" style="1633"/>
    <col min="12033" max="12033" width="61.25" style="1633" customWidth="1"/>
    <col min="12034" max="12034" width="6.25" style="1633" customWidth="1"/>
    <col min="12035" max="12035" width="11.75" style="1633" customWidth="1"/>
    <col min="12036" max="12037" width="13.875" style="1633" customWidth="1"/>
    <col min="12038" max="12038" width="6.2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88.25" style="1633" customWidth="1"/>
    <col min="12046" max="12288" width="9" style="1633"/>
    <col min="12289" max="12289" width="61.25" style="1633" customWidth="1"/>
    <col min="12290" max="12290" width="6.25" style="1633" customWidth="1"/>
    <col min="12291" max="12291" width="11.75" style="1633" customWidth="1"/>
    <col min="12292" max="12293" width="13.875" style="1633" customWidth="1"/>
    <col min="12294" max="12294" width="6.2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88.25" style="1633" customWidth="1"/>
    <col min="12302" max="12544" width="9" style="1633"/>
    <col min="12545" max="12545" width="61.25" style="1633" customWidth="1"/>
    <col min="12546" max="12546" width="6.25" style="1633" customWidth="1"/>
    <col min="12547" max="12547" width="11.75" style="1633" customWidth="1"/>
    <col min="12548" max="12549" width="13.875" style="1633" customWidth="1"/>
    <col min="12550" max="12550" width="6.2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88.25" style="1633" customWidth="1"/>
    <col min="12558" max="12800" width="9" style="1633"/>
    <col min="12801" max="12801" width="61.25" style="1633" customWidth="1"/>
    <col min="12802" max="12802" width="6.25" style="1633" customWidth="1"/>
    <col min="12803" max="12803" width="11.75" style="1633" customWidth="1"/>
    <col min="12804" max="12805" width="13.875" style="1633" customWidth="1"/>
    <col min="12806" max="12806" width="6.2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88.25" style="1633" customWidth="1"/>
    <col min="12814" max="13056" width="9" style="1633"/>
    <col min="13057" max="13057" width="61.25" style="1633" customWidth="1"/>
    <col min="13058" max="13058" width="6.25" style="1633" customWidth="1"/>
    <col min="13059" max="13059" width="11.75" style="1633" customWidth="1"/>
    <col min="13060" max="13061" width="13.875" style="1633" customWidth="1"/>
    <col min="13062" max="13062" width="6.2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88.25" style="1633" customWidth="1"/>
    <col min="13070" max="13312" width="9" style="1633"/>
    <col min="13313" max="13313" width="61.25" style="1633" customWidth="1"/>
    <col min="13314" max="13314" width="6.25" style="1633" customWidth="1"/>
    <col min="13315" max="13315" width="11.75" style="1633" customWidth="1"/>
    <col min="13316" max="13317" width="13.875" style="1633" customWidth="1"/>
    <col min="13318" max="13318" width="6.2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88.25" style="1633" customWidth="1"/>
    <col min="13326" max="13568" width="9" style="1633"/>
    <col min="13569" max="13569" width="61.25" style="1633" customWidth="1"/>
    <col min="13570" max="13570" width="6.25" style="1633" customWidth="1"/>
    <col min="13571" max="13571" width="11.75" style="1633" customWidth="1"/>
    <col min="13572" max="13573" width="13.875" style="1633" customWidth="1"/>
    <col min="13574" max="13574" width="6.2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88.25" style="1633" customWidth="1"/>
    <col min="13582" max="13824" width="9" style="1633"/>
    <col min="13825" max="13825" width="61.25" style="1633" customWidth="1"/>
    <col min="13826" max="13826" width="6.25" style="1633" customWidth="1"/>
    <col min="13827" max="13827" width="11.75" style="1633" customWidth="1"/>
    <col min="13828" max="13829" width="13.875" style="1633" customWidth="1"/>
    <col min="13830" max="13830" width="6.2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88.25" style="1633" customWidth="1"/>
    <col min="13838" max="14080" width="9" style="1633"/>
    <col min="14081" max="14081" width="61.25" style="1633" customWidth="1"/>
    <col min="14082" max="14082" width="6.25" style="1633" customWidth="1"/>
    <col min="14083" max="14083" width="11.75" style="1633" customWidth="1"/>
    <col min="14084" max="14085" width="13.875" style="1633" customWidth="1"/>
    <col min="14086" max="14086" width="6.2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88.25" style="1633" customWidth="1"/>
    <col min="14094" max="14336" width="9" style="1633"/>
    <col min="14337" max="14337" width="61.25" style="1633" customWidth="1"/>
    <col min="14338" max="14338" width="6.25" style="1633" customWidth="1"/>
    <col min="14339" max="14339" width="11.75" style="1633" customWidth="1"/>
    <col min="14340" max="14341" width="13.875" style="1633" customWidth="1"/>
    <col min="14342" max="14342" width="6.2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88.25" style="1633" customWidth="1"/>
    <col min="14350" max="14592" width="9" style="1633"/>
    <col min="14593" max="14593" width="61.25" style="1633" customWidth="1"/>
    <col min="14594" max="14594" width="6.25" style="1633" customWidth="1"/>
    <col min="14595" max="14595" width="11.75" style="1633" customWidth="1"/>
    <col min="14596" max="14597" width="13.875" style="1633" customWidth="1"/>
    <col min="14598" max="14598" width="6.2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88.25" style="1633" customWidth="1"/>
    <col min="14606" max="14848" width="9" style="1633"/>
    <col min="14849" max="14849" width="61.25" style="1633" customWidth="1"/>
    <col min="14850" max="14850" width="6.25" style="1633" customWidth="1"/>
    <col min="14851" max="14851" width="11.75" style="1633" customWidth="1"/>
    <col min="14852" max="14853" width="13.875" style="1633" customWidth="1"/>
    <col min="14854" max="14854" width="6.2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88.25" style="1633" customWidth="1"/>
    <col min="14862" max="15104" width="9" style="1633"/>
    <col min="15105" max="15105" width="61.25" style="1633" customWidth="1"/>
    <col min="15106" max="15106" width="6.25" style="1633" customWidth="1"/>
    <col min="15107" max="15107" width="11.75" style="1633" customWidth="1"/>
    <col min="15108" max="15109" width="13.875" style="1633" customWidth="1"/>
    <col min="15110" max="15110" width="6.2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88.25" style="1633" customWidth="1"/>
    <col min="15118" max="15360" width="9" style="1633"/>
    <col min="15361" max="15361" width="61.25" style="1633" customWidth="1"/>
    <col min="15362" max="15362" width="6.25" style="1633" customWidth="1"/>
    <col min="15363" max="15363" width="11.75" style="1633" customWidth="1"/>
    <col min="15364" max="15365" width="13.875" style="1633" customWidth="1"/>
    <col min="15366" max="15366" width="6.2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88.25" style="1633" customWidth="1"/>
    <col min="15374" max="15616" width="9" style="1633"/>
    <col min="15617" max="15617" width="61.25" style="1633" customWidth="1"/>
    <col min="15618" max="15618" width="6.25" style="1633" customWidth="1"/>
    <col min="15619" max="15619" width="11.75" style="1633" customWidth="1"/>
    <col min="15620" max="15621" width="13.875" style="1633" customWidth="1"/>
    <col min="15622" max="15622" width="6.2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88.25" style="1633" customWidth="1"/>
    <col min="15630" max="15872" width="9" style="1633"/>
    <col min="15873" max="15873" width="61.25" style="1633" customWidth="1"/>
    <col min="15874" max="15874" width="6.25" style="1633" customWidth="1"/>
    <col min="15875" max="15875" width="11.75" style="1633" customWidth="1"/>
    <col min="15876" max="15877" width="13.875" style="1633" customWidth="1"/>
    <col min="15878" max="15878" width="6.2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88.25" style="1633" customWidth="1"/>
    <col min="15886" max="16128" width="9" style="1633"/>
    <col min="16129" max="16129" width="61.25" style="1633" customWidth="1"/>
    <col min="16130" max="16130" width="6.25" style="1633" customWidth="1"/>
    <col min="16131" max="16131" width="11.75" style="1633" customWidth="1"/>
    <col min="16132" max="16133" width="13.875" style="1633" customWidth="1"/>
    <col min="16134" max="16134" width="6.2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88.25" style="1633" customWidth="1"/>
    <col min="16142" max="16384" width="9" style="1633"/>
  </cols>
  <sheetData>
    <row r="1" spans="1:13">
      <c r="A1" s="1633" t="s">
        <v>3072</v>
      </c>
      <c r="B1" s="1633" t="s">
        <v>3073</v>
      </c>
      <c r="C1" s="1633" t="s">
        <v>3074</v>
      </c>
      <c r="D1" s="1633" t="s">
        <v>3075</v>
      </c>
      <c r="E1" s="1633" t="s">
        <v>3076</v>
      </c>
      <c r="F1" s="1633" t="s">
        <v>3077</v>
      </c>
      <c r="G1" s="1633" t="s">
        <v>3078</v>
      </c>
      <c r="H1" s="1633" t="s">
        <v>3079</v>
      </c>
      <c r="I1" s="1633" t="s">
        <v>3080</v>
      </c>
      <c r="J1" s="1633" t="s">
        <v>3081</v>
      </c>
      <c r="K1" s="1633" t="s">
        <v>3082</v>
      </c>
      <c r="L1" s="1633" t="s">
        <v>3083</v>
      </c>
      <c r="M1" s="1633" t="s">
        <v>3084</v>
      </c>
    </row>
    <row r="2" spans="1:13">
      <c r="A2" s="1633" t="s">
        <v>3085</v>
      </c>
      <c r="B2" s="1633" t="s">
        <v>3049</v>
      </c>
      <c r="C2" s="1633" t="s">
        <v>3086</v>
      </c>
      <c r="D2" s="1633">
        <v>35230.230000000003</v>
      </c>
      <c r="E2" s="1633">
        <v>88076</v>
      </c>
      <c r="F2" s="1633">
        <v>2.5</v>
      </c>
      <c r="G2" s="1633" t="s">
        <v>3087</v>
      </c>
      <c r="H2" s="1633" t="s">
        <v>3088</v>
      </c>
      <c r="I2" s="1633">
        <v>62000</v>
      </c>
      <c r="J2" s="1633">
        <v>62000</v>
      </c>
      <c r="K2" s="1633">
        <v>7039.38</v>
      </c>
      <c r="L2" s="1633">
        <v>0</v>
      </c>
      <c r="M2" s="1633" t="s">
        <v>3089</v>
      </c>
    </row>
    <row r="3" spans="1:13">
      <c r="A3" s="1633" t="s">
        <v>3090</v>
      </c>
      <c r="B3" s="1633" t="s">
        <v>3049</v>
      </c>
      <c r="C3" s="1633" t="s">
        <v>3086</v>
      </c>
      <c r="D3" s="1633">
        <v>2070793</v>
      </c>
      <c r="E3" s="1633">
        <v>1642730</v>
      </c>
      <c r="F3" s="1633">
        <v>0.79</v>
      </c>
      <c r="G3" s="1633" t="s">
        <v>3087</v>
      </c>
      <c r="H3" s="1633" t="s">
        <v>3091</v>
      </c>
      <c r="I3" s="1633">
        <v>870000</v>
      </c>
      <c r="J3" s="1633">
        <v>870000</v>
      </c>
      <c r="K3" s="1633">
        <v>5296.06</v>
      </c>
      <c r="L3" s="1633">
        <v>0</v>
      </c>
      <c r="M3" s="1633" t="s">
        <v>3092</v>
      </c>
    </row>
    <row r="4" spans="1:13">
      <c r="A4" s="1633" t="s">
        <v>3093</v>
      </c>
      <c r="B4" s="1633" t="s">
        <v>3049</v>
      </c>
      <c r="C4" s="1633" t="s">
        <v>3086</v>
      </c>
      <c r="D4" s="1633">
        <v>65873.39</v>
      </c>
      <c r="E4" s="1633">
        <v>164683</v>
      </c>
      <c r="F4" s="1633">
        <v>2.5</v>
      </c>
      <c r="G4" s="1633" t="s">
        <v>3087</v>
      </c>
      <c r="H4" s="1633" t="s">
        <v>3094</v>
      </c>
      <c r="I4" s="1633">
        <v>78000</v>
      </c>
      <c r="J4" s="1633">
        <v>108000</v>
      </c>
      <c r="K4" s="1633">
        <v>6558.05</v>
      </c>
      <c r="L4" s="1633">
        <v>38.46</v>
      </c>
      <c r="M4" s="1633" t="s">
        <v>3095</v>
      </c>
    </row>
    <row r="5" spans="1:13">
      <c r="A5" s="1633" t="s">
        <v>3096</v>
      </c>
      <c r="B5" s="1633" t="s">
        <v>3049</v>
      </c>
      <c r="C5" s="1633" t="s">
        <v>3086</v>
      </c>
      <c r="D5" s="1633">
        <v>47100</v>
      </c>
      <c r="E5" s="1633">
        <v>450000</v>
      </c>
      <c r="F5" s="1633">
        <v>9.5500000000000007</v>
      </c>
      <c r="G5" s="1633" t="s">
        <v>3097</v>
      </c>
      <c r="H5" s="1633" t="s">
        <v>3098</v>
      </c>
      <c r="I5" s="1633" t="s">
        <v>1331</v>
      </c>
      <c r="J5" s="1633">
        <v>503990</v>
      </c>
      <c r="K5" s="1633">
        <v>11199.78</v>
      </c>
      <c r="L5" s="1633" t="s">
        <v>1331</v>
      </c>
      <c r="M5" s="1633" t="s">
        <v>3099</v>
      </c>
    </row>
    <row r="6" spans="1:13" s="2969" customFormat="1">
      <c r="A6" s="2969" t="s">
        <v>3100</v>
      </c>
      <c r="B6" s="2969" t="s">
        <v>3049</v>
      </c>
      <c r="C6" s="2969" t="s">
        <v>3086</v>
      </c>
      <c r="D6" s="2969">
        <v>37656</v>
      </c>
      <c r="E6" s="2969">
        <v>131600</v>
      </c>
      <c r="F6" s="2969">
        <v>3.49</v>
      </c>
      <c r="G6" s="2969" t="s">
        <v>3097</v>
      </c>
      <c r="H6" s="2969" t="s">
        <v>3101</v>
      </c>
      <c r="I6" s="2969" t="s">
        <v>1331</v>
      </c>
      <c r="J6" s="2969">
        <v>151603.20000000001</v>
      </c>
      <c r="K6" s="2969">
        <v>11520</v>
      </c>
      <c r="L6" s="2969" t="s">
        <v>1331</v>
      </c>
      <c r="M6" s="2969" t="s">
        <v>3102</v>
      </c>
    </row>
    <row r="7" spans="1:13" s="2969" customFormat="1">
      <c r="A7" s="2969" t="s">
        <v>3103</v>
      </c>
      <c r="B7" s="2969" t="s">
        <v>3049</v>
      </c>
      <c r="C7" s="2969" t="s">
        <v>3086</v>
      </c>
      <c r="D7" s="2969">
        <v>14124.26</v>
      </c>
      <c r="E7" s="2969">
        <v>119961</v>
      </c>
      <c r="F7" s="2969">
        <v>8.49</v>
      </c>
      <c r="G7" s="2969" t="s">
        <v>3097</v>
      </c>
      <c r="H7" s="2969" t="s">
        <v>3101</v>
      </c>
      <c r="I7" s="2969" t="s">
        <v>1331</v>
      </c>
      <c r="J7" s="2969">
        <v>135700</v>
      </c>
      <c r="K7" s="2969">
        <v>11312.01</v>
      </c>
      <c r="L7" s="2969" t="s">
        <v>1331</v>
      </c>
      <c r="M7" s="2969" t="s">
        <v>3104</v>
      </c>
    </row>
    <row r="8" spans="1:13" s="2969" customFormat="1">
      <c r="A8" s="2969" t="s">
        <v>3105</v>
      </c>
      <c r="B8" s="2969" t="s">
        <v>3049</v>
      </c>
      <c r="C8" s="2969" t="s">
        <v>3086</v>
      </c>
      <c r="D8" s="2969">
        <v>39645</v>
      </c>
      <c r="E8" s="2969">
        <v>189500</v>
      </c>
      <c r="F8" s="2969">
        <v>4.78</v>
      </c>
      <c r="G8" s="2969" t="s">
        <v>3097</v>
      </c>
      <c r="H8" s="2969" t="s">
        <v>3101</v>
      </c>
      <c r="I8" s="2969" t="s">
        <v>1331</v>
      </c>
      <c r="J8" s="2969">
        <v>218304</v>
      </c>
      <c r="K8" s="2969">
        <v>11520</v>
      </c>
      <c r="L8" s="2969" t="s">
        <v>1331</v>
      </c>
      <c r="M8" s="2969" t="s">
        <v>3106</v>
      </c>
    </row>
    <row r="9" spans="1:13">
      <c r="A9" s="1633" t="s">
        <v>3107</v>
      </c>
      <c r="B9" s="1633" t="s">
        <v>3049</v>
      </c>
      <c r="C9" s="1633" t="s">
        <v>3086</v>
      </c>
      <c r="D9" s="1633">
        <v>9200</v>
      </c>
      <c r="E9" s="1633">
        <v>78139</v>
      </c>
      <c r="F9" s="1633">
        <v>8.49</v>
      </c>
      <c r="G9" s="1633" t="s">
        <v>3097</v>
      </c>
      <c r="H9" s="1633" t="s">
        <v>3101</v>
      </c>
      <c r="I9" s="1633" t="s">
        <v>1331</v>
      </c>
      <c r="J9" s="1633">
        <v>88400</v>
      </c>
      <c r="K9" s="1633">
        <v>11313.17</v>
      </c>
      <c r="L9" s="1633" t="s">
        <v>1331</v>
      </c>
      <c r="M9" s="1633" t="s">
        <v>3104</v>
      </c>
    </row>
    <row r="10" spans="1:13">
      <c r="A10" s="1633" t="s">
        <v>3108</v>
      </c>
      <c r="B10" s="1633" t="s">
        <v>3049</v>
      </c>
      <c r="C10" s="1633" t="s">
        <v>3086</v>
      </c>
      <c r="D10" s="1633">
        <v>14088</v>
      </c>
      <c r="E10" s="1633">
        <v>90600</v>
      </c>
      <c r="F10" s="1633">
        <v>6.43</v>
      </c>
      <c r="G10" s="1633" t="s">
        <v>3097</v>
      </c>
      <c r="H10" s="1633" t="s">
        <v>3109</v>
      </c>
      <c r="I10" s="1633" t="s">
        <v>1331</v>
      </c>
      <c r="J10" s="1633">
        <v>105100</v>
      </c>
      <c r="K10" s="1633">
        <v>11600.44</v>
      </c>
      <c r="L10" s="1633" t="s">
        <v>1331</v>
      </c>
      <c r="M10" s="1633" t="s">
        <v>3104</v>
      </c>
    </row>
    <row r="11" spans="1:13">
      <c r="A11" s="1633" t="s">
        <v>3110</v>
      </c>
      <c r="B11" s="1633" t="s">
        <v>3049</v>
      </c>
      <c r="C11" s="1633" t="s">
        <v>3086</v>
      </c>
      <c r="D11" s="1633">
        <v>9293</v>
      </c>
      <c r="E11" s="1633">
        <v>55800</v>
      </c>
      <c r="F11" s="1633">
        <v>6</v>
      </c>
      <c r="G11" s="1633" t="s">
        <v>3097</v>
      </c>
      <c r="H11" s="1633" t="s">
        <v>3109</v>
      </c>
      <c r="I11" s="1633" t="s">
        <v>1331</v>
      </c>
      <c r="J11" s="1633">
        <v>64700</v>
      </c>
      <c r="K11" s="1633">
        <v>11594.97</v>
      </c>
      <c r="L11" s="1633" t="s">
        <v>1331</v>
      </c>
      <c r="M11" s="1633" t="s">
        <v>3104</v>
      </c>
    </row>
    <row r="12" spans="1:13" s="2970" customFormat="1">
      <c r="A12" s="2970" t="s">
        <v>3111</v>
      </c>
      <c r="B12" s="2970" t="s">
        <v>3049</v>
      </c>
      <c r="C12" s="2970" t="s">
        <v>3086</v>
      </c>
      <c r="D12" s="2970">
        <v>17815</v>
      </c>
      <c r="E12" s="2970">
        <v>133500</v>
      </c>
      <c r="F12" s="2970">
        <v>7.49</v>
      </c>
      <c r="G12" s="2970" t="s">
        <v>3087</v>
      </c>
      <c r="H12" s="2970" t="s">
        <v>3112</v>
      </c>
      <c r="I12" s="2970">
        <v>150900</v>
      </c>
      <c r="J12" s="2970">
        <v>178500</v>
      </c>
      <c r="K12" s="2970">
        <v>13370.79</v>
      </c>
      <c r="L12" s="2970">
        <v>18.29</v>
      </c>
      <c r="M12" s="2970" t="s">
        <v>3113</v>
      </c>
    </row>
    <row r="13" spans="1:13" s="2970" customFormat="1">
      <c r="A13" s="2970" t="s">
        <v>3114</v>
      </c>
      <c r="B13" s="2970" t="s">
        <v>3049</v>
      </c>
      <c r="C13" s="2970" t="s">
        <v>3086</v>
      </c>
      <c r="D13" s="2970">
        <v>8949</v>
      </c>
      <c r="E13" s="2970">
        <v>89000</v>
      </c>
      <c r="F13" s="2970">
        <v>9.9499999999999993</v>
      </c>
      <c r="G13" s="2970" t="s">
        <v>3087</v>
      </c>
      <c r="H13" s="2970" t="s">
        <v>3112</v>
      </c>
      <c r="I13" s="2970">
        <v>100600</v>
      </c>
      <c r="J13" s="2970">
        <v>107000</v>
      </c>
      <c r="K13" s="2970">
        <v>12022.46</v>
      </c>
      <c r="L13" s="2970">
        <v>6.36</v>
      </c>
      <c r="M13" s="2970" t="s">
        <v>3113</v>
      </c>
    </row>
    <row r="14" spans="1:13">
      <c r="A14" s="1633" t="s">
        <v>3115</v>
      </c>
      <c r="B14" s="1633" t="s">
        <v>3049</v>
      </c>
      <c r="C14" s="1633" t="s">
        <v>3086</v>
      </c>
      <c r="D14" s="1633">
        <v>17771</v>
      </c>
      <c r="E14" s="1633">
        <v>124600</v>
      </c>
      <c r="F14" s="1633">
        <v>7.01</v>
      </c>
      <c r="G14" s="1633" t="s">
        <v>3087</v>
      </c>
      <c r="H14" s="1633" t="s">
        <v>3116</v>
      </c>
      <c r="I14" s="1633">
        <v>140800</v>
      </c>
      <c r="J14" s="1633">
        <v>142900</v>
      </c>
      <c r="K14" s="1633">
        <v>11468.7</v>
      </c>
      <c r="L14" s="1633">
        <v>1.49</v>
      </c>
      <c r="M14" s="1633" t="s">
        <v>3117</v>
      </c>
    </row>
    <row r="15" spans="1:13" s="2970" customFormat="1">
      <c r="A15" s="2970" t="s">
        <v>3118</v>
      </c>
      <c r="B15" s="2970" t="s">
        <v>3049</v>
      </c>
      <c r="C15" s="2970" t="s">
        <v>3086</v>
      </c>
      <c r="D15" s="2970">
        <v>17064</v>
      </c>
      <c r="E15" s="2970">
        <v>128300</v>
      </c>
      <c r="F15" s="2970">
        <v>7.52</v>
      </c>
      <c r="G15" s="2970" t="s">
        <v>3087</v>
      </c>
      <c r="H15" s="2970" t="s">
        <v>3116</v>
      </c>
      <c r="I15" s="2970">
        <v>145000</v>
      </c>
      <c r="J15" s="2970">
        <v>167000</v>
      </c>
      <c r="K15" s="2970">
        <v>13016.37</v>
      </c>
      <c r="L15" s="2970">
        <v>15.17</v>
      </c>
      <c r="M15" s="2970" t="s">
        <v>3119</v>
      </c>
    </row>
    <row r="16" spans="1:13">
      <c r="A16" s="1633" t="s">
        <v>3120</v>
      </c>
      <c r="B16" s="1633" t="s">
        <v>3049</v>
      </c>
      <c r="C16" s="1633" t="s">
        <v>3086</v>
      </c>
      <c r="D16" s="1633">
        <v>1209458</v>
      </c>
      <c r="E16" s="1633">
        <v>798095</v>
      </c>
      <c r="F16" s="1633">
        <v>0.66</v>
      </c>
      <c r="G16" s="1633" t="s">
        <v>3087</v>
      </c>
      <c r="H16" s="1633" t="s">
        <v>3121</v>
      </c>
      <c r="I16" s="1633">
        <v>193000</v>
      </c>
      <c r="J16" s="1633">
        <v>193000</v>
      </c>
      <c r="K16" s="1633">
        <v>2418.2600000000002</v>
      </c>
      <c r="L16" s="1633">
        <v>0</v>
      </c>
      <c r="M16" s="1633" t="s">
        <v>3092</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K1" workbookViewId="0">
      <selection activeCell="O16" sqref="O16"/>
    </sheetView>
  </sheetViews>
  <sheetFormatPr defaultRowHeight="13.5"/>
  <sheetData>
    <row r="1" spans="1:4">
      <c r="A1" s="2976" t="s">
        <v>3155</v>
      </c>
    </row>
    <row r="2" spans="1:4">
      <c r="B2" s="2976" t="s">
        <v>3156</v>
      </c>
      <c r="C2" s="2976" t="s">
        <v>3157</v>
      </c>
    </row>
    <row r="3" spans="1:4">
      <c r="A3" s="2976" t="s">
        <v>3158</v>
      </c>
      <c r="B3">
        <f ca="1">结果表!C19</f>
        <v>124795</v>
      </c>
      <c r="C3">
        <f ca="1">结果表!D19</f>
        <v>91418</v>
      </c>
      <c r="D3">
        <f ca="1">结果表!G19</f>
        <v>114782</v>
      </c>
    </row>
    <row r="4" spans="1:4">
      <c r="A4" s="2976" t="s">
        <v>3159</v>
      </c>
      <c r="B4">
        <f ca="1">结果表!C20</f>
        <v>13014</v>
      </c>
      <c r="C4">
        <f ca="1">结果表!D20</f>
        <v>9533</v>
      </c>
      <c r="D4">
        <f ca="1">结果表!G20</f>
        <v>11970</v>
      </c>
    </row>
    <row r="5" spans="1:4">
      <c r="A5" s="2976" t="s">
        <v>3160</v>
      </c>
      <c r="B5">
        <f ca="1">结果表!C21</f>
        <v>79768</v>
      </c>
      <c r="C5">
        <f ca="1">结果表!D21</f>
        <v>58433</v>
      </c>
      <c r="D5">
        <f ca="1">结果表!G21</f>
        <v>73367</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D20" sqref="D20"/>
    </sheetView>
  </sheetViews>
  <sheetFormatPr defaultRowHeight="13.5"/>
  <cols>
    <col min="5" max="5" width="12" customWidth="1"/>
  </cols>
  <sheetData>
    <row r="1" spans="1:8">
      <c r="A1" s="2976" t="s">
        <v>3161</v>
      </c>
      <c r="B1">
        <v>7870.32</v>
      </c>
      <c r="C1" s="2976" t="s">
        <v>3165</v>
      </c>
      <c r="D1" s="3302">
        <f>0.35/3</f>
        <v>0.11666666666666665</v>
      </c>
      <c r="E1" s="3302">
        <f>B1*D1</f>
        <v>918.20399999999984</v>
      </c>
      <c r="H1">
        <f>9/34</f>
        <v>0.26470588235294118</v>
      </c>
    </row>
    <row r="2" spans="1:8">
      <c r="A2" s="2976" t="s">
        <v>3162</v>
      </c>
      <c r="B2">
        <v>3503.15</v>
      </c>
      <c r="C2" s="2976" t="s">
        <v>3166</v>
      </c>
      <c r="E2" s="3302">
        <f t="shared" ref="E2:E5" si="0">B2*D2</f>
        <v>0</v>
      </c>
    </row>
    <row r="3" spans="1:8">
      <c r="A3" s="2976" t="s">
        <v>3163</v>
      </c>
      <c r="B3">
        <v>4810.3900000000003</v>
      </c>
      <c r="C3" s="2976" t="s">
        <v>3167</v>
      </c>
      <c r="E3" s="3302">
        <f t="shared" si="0"/>
        <v>0</v>
      </c>
    </row>
    <row r="4" spans="1:8">
      <c r="A4" s="2976" t="s">
        <v>3164</v>
      </c>
      <c r="B4">
        <v>40516.14</v>
      </c>
      <c r="C4" s="2976" t="s">
        <v>3168</v>
      </c>
      <c r="D4" s="3302">
        <f>5.8/25</f>
        <v>0.23199999999999998</v>
      </c>
      <c r="E4" s="3302">
        <f t="shared" si="0"/>
        <v>9399.7444799999994</v>
      </c>
    </row>
    <row r="5" spans="1:8">
      <c r="B5">
        <v>42353.95</v>
      </c>
      <c r="C5" s="2976"/>
      <c r="D5">
        <v>0.6</v>
      </c>
      <c r="E5" s="3302">
        <f t="shared" si="0"/>
        <v>25412.37</v>
      </c>
    </row>
    <row r="6" spans="1:8">
      <c r="B6">
        <f>SUM(B1:B5)</f>
        <v>99053.95</v>
      </c>
    </row>
    <row r="7" spans="1:8">
      <c r="B7">
        <v>33600</v>
      </c>
    </row>
    <row r="8" spans="1:8">
      <c r="B8" s="3302">
        <f>B7/B6</f>
        <v>0.33920908757298424</v>
      </c>
    </row>
    <row r="9" spans="1:8">
      <c r="B9" s="3302">
        <f>B8*0.5</f>
        <v>0.16960454378649212</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1641</v>
      </c>
      <c r="B2" s="2989" t="s">
        <v>1642</v>
      </c>
      <c r="C2" s="2989" t="s">
        <v>1643</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44" t="s">
        <v>1638</v>
      </c>
      <c r="E3" s="1044" t="s">
        <v>1644</v>
      </c>
      <c r="F3" s="1044" t="s">
        <v>1638</v>
      </c>
      <c r="G3" s="1044" t="s">
        <v>1639</v>
      </c>
      <c r="H3" s="1044" t="s">
        <v>1638</v>
      </c>
      <c r="I3" s="1044" t="s">
        <v>1639</v>
      </c>
    </row>
    <row r="4" spans="1:9" ht="45">
      <c r="A4" s="1971" t="str">
        <f>项目基本情况!S2</f>
        <v>北京市通州区运河西岸Ⅷ-11地块出让国有建设用地使用权及在建建筑物房地产</v>
      </c>
      <c r="B4" s="1044">
        <f>项目基本情况!C17</f>
        <v>95896.06</v>
      </c>
      <c r="C4" s="1044">
        <f>项目基本情况!C18</f>
        <v>15644.81</v>
      </c>
      <c r="D4" s="1044">
        <f ca="1">结果表!D118</f>
        <v>102271</v>
      </c>
      <c r="E4" s="1044">
        <f ca="1">结果表!E118</f>
        <v>10664</v>
      </c>
      <c r="F4" s="1044">
        <f ca="1">结果表!F118</f>
        <v>12511</v>
      </c>
      <c r="G4" s="1044">
        <f ca="1">结果表!G118</f>
        <v>1305</v>
      </c>
      <c r="H4" s="1044">
        <f ca="1">结果表!H118</f>
        <v>114782</v>
      </c>
      <c r="I4" s="1044">
        <f ca="1">结果表!I118</f>
        <v>11969</v>
      </c>
    </row>
    <row r="5" spans="1:9" ht="30" customHeight="1">
      <c r="A5" s="2990" t="s">
        <v>1640</v>
      </c>
      <c r="B5" s="2990"/>
      <c r="C5" s="2990"/>
      <c r="D5" s="2991" t="str">
        <f ca="1">结果表!D119</f>
        <v>壹拾亿贰仟贰佰柒拾壹万元整</v>
      </c>
      <c r="E5" s="2991"/>
      <c r="F5" s="2991" t="str">
        <f ca="1">结果表!F119</f>
        <v>壹亿贰仟伍佰壹拾壹万元整</v>
      </c>
      <c r="G5" s="2991"/>
      <c r="H5" s="2991" t="str">
        <f ca="1">结果表!H119</f>
        <v>壹拾壹亿肆仟柒佰捌拾贰万元整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1640</v>
      </c>
      <c r="B7" s="2990"/>
      <c r="C7" s="2990"/>
      <c r="D7" s="2993" t="str">
        <f>结果表!D121</f>
        <v>零元整</v>
      </c>
      <c r="E7" s="2994"/>
      <c r="F7" s="2994"/>
      <c r="G7" s="2994"/>
      <c r="H7" s="2994"/>
      <c r="I7" s="2995"/>
    </row>
    <row r="8" spans="1:9" ht="15.75">
      <c r="A8" s="2992" t="str">
        <f>结果表!A122</f>
        <v>房地产抵押价值</v>
      </c>
      <c r="B8" s="2992"/>
      <c r="C8" s="2992"/>
      <c r="D8" s="2992">
        <f ca="1">结果表!D122</f>
        <v>114782</v>
      </c>
      <c r="E8" s="2992"/>
      <c r="F8" s="2992"/>
      <c r="G8" s="2992"/>
      <c r="H8" s="2992"/>
      <c r="I8" s="2992"/>
    </row>
    <row r="9" spans="1:9" ht="15">
      <c r="A9" s="2990" t="s">
        <v>1640</v>
      </c>
      <c r="B9" s="2990"/>
      <c r="C9" s="2990"/>
      <c r="D9" s="2991" t="str">
        <f ca="1">结果表!D123</f>
        <v>壹拾壹亿肆仟柒佰捌拾贰万元整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1640</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1640</v>
      </c>
      <c r="B13" s="2996"/>
      <c r="C13" s="2996"/>
      <c r="D13" s="2997" t="e">
        <f>结果表!D127</f>
        <v>#VALUE!</v>
      </c>
      <c r="E13" s="2997"/>
      <c r="F13" s="2997"/>
      <c r="G13" s="2997"/>
      <c r="H13" s="2997"/>
      <c r="I13" s="2997"/>
    </row>
    <row r="14" spans="1:9" ht="15" thickTop="1">
      <c r="A14" s="2998" t="s">
        <v>1645</v>
      </c>
      <c r="B14" s="2998"/>
      <c r="C14" s="2998"/>
      <c r="D14" s="2998"/>
      <c r="E14" s="2998"/>
      <c r="F14" s="2998"/>
      <c r="G14" s="2998"/>
      <c r="H14" s="2998"/>
      <c r="I14" s="299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9" t="s">
        <v>1662</v>
      </c>
      <c r="B1" s="2999"/>
      <c r="C1" s="2999"/>
      <c r="D1" s="2999"/>
    </row>
    <row r="2" spans="1:4" ht="18">
      <c r="A2" s="3000" t="s">
        <v>1646</v>
      </c>
      <c r="B2" s="3000"/>
      <c r="C2" s="3000"/>
      <c r="D2" s="3000"/>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3000" t="s">
        <v>1652</v>
      </c>
      <c r="B6" s="3000"/>
      <c r="C6" s="3000"/>
      <c r="D6" s="3000"/>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01" t="s">
        <v>1655</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1656</v>
      </c>
      <c r="B16" s="3005"/>
      <c r="C16" s="3005"/>
      <c r="D16" s="3005"/>
    </row>
    <row r="17" spans="1:4" ht="144" customHeight="1">
      <c r="A17" s="3005" t="s">
        <v>1657</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1658</v>
      </c>
      <c r="B22" s="3007"/>
      <c r="C22" s="3007"/>
      <c r="D22" s="3007"/>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3" t="s">
        <v>1669</v>
      </c>
      <c r="B15" s="3008" t="s">
        <v>136</v>
      </c>
      <c r="C15" s="3009"/>
    </row>
    <row r="16" spans="1:7" ht="13.5">
      <c r="A16" s="3014"/>
      <c r="B16" s="3008" t="s">
        <v>69</v>
      </c>
      <c r="C16" s="3009"/>
    </row>
    <row r="17" spans="1:3" ht="13.5">
      <c r="A17" s="3014"/>
      <c r="B17" s="3011" t="s">
        <v>1670</v>
      </c>
      <c r="C17" s="1998" t="s">
        <v>1669</v>
      </c>
    </row>
    <row r="18" spans="1:3" ht="13.5">
      <c r="A18" s="3014"/>
      <c r="B18" s="3011"/>
      <c r="C18" s="1998" t="s">
        <v>1671</v>
      </c>
    </row>
    <row r="19" spans="1:3" ht="13.5">
      <c r="A19" s="3014"/>
      <c r="B19" s="3011"/>
      <c r="C19" s="1998" t="s">
        <v>1672</v>
      </c>
    </row>
    <row r="20" spans="1:3" ht="13.5">
      <c r="A20" s="3015"/>
      <c r="B20" s="3010" t="s">
        <v>1673</v>
      </c>
      <c r="C20" s="3009"/>
    </row>
    <row r="21" spans="1:3" ht="13.5">
      <c r="A21" s="1999" t="s">
        <v>1674</v>
      </c>
      <c r="B21" s="2000"/>
      <c r="C21" s="2001"/>
    </row>
    <row r="22" spans="1:3" ht="13.5">
      <c r="A22" s="3012" t="s">
        <v>1675</v>
      </c>
      <c r="B22" s="3010" t="s">
        <v>1676</v>
      </c>
      <c r="C22" s="3009"/>
    </row>
    <row r="23" spans="1:3" ht="13.5">
      <c r="A23" s="3012"/>
      <c r="B23" s="3010" t="s">
        <v>1677</v>
      </c>
      <c r="C23" s="3009"/>
    </row>
    <row r="24" spans="1:3" ht="13.5">
      <c r="A24" s="3012"/>
      <c r="B24" s="3010" t="s">
        <v>1678</v>
      </c>
      <c r="C24" s="3009"/>
    </row>
    <row r="25" spans="1:3" ht="13.5">
      <c r="A25" s="3012"/>
      <c r="B25" s="3011" t="s">
        <v>1679</v>
      </c>
      <c r="C25" s="1998" t="s">
        <v>1680</v>
      </c>
    </row>
    <row r="26" spans="1:3" ht="13.5">
      <c r="A26" s="3012"/>
      <c r="B26" s="3011"/>
      <c r="C26" s="1998" t="s">
        <v>1681</v>
      </c>
    </row>
    <row r="27" spans="1:3" ht="13.5">
      <c r="A27" s="3012"/>
      <c r="B27" s="3011"/>
      <c r="C27" s="1998" t="s">
        <v>1682</v>
      </c>
    </row>
    <row r="28" spans="1:3" ht="13.5">
      <c r="A28" s="3012"/>
      <c r="B28" s="3011"/>
      <c r="C28" s="1998" t="s">
        <v>1683</v>
      </c>
    </row>
    <row r="29" spans="1:3" ht="13.5">
      <c r="A29" s="3012"/>
      <c r="B29" s="3011"/>
      <c r="C29" s="1998" t="s">
        <v>1684</v>
      </c>
    </row>
    <row r="30" spans="1:3" ht="13.5">
      <c r="A30" s="3012"/>
      <c r="B30" s="3011"/>
      <c r="C30" s="1998" t="s">
        <v>1685</v>
      </c>
    </row>
    <row r="31" spans="1:3" ht="13.5">
      <c r="A31" s="3012"/>
      <c r="B31" s="3011"/>
      <c r="C31" s="1998" t="s">
        <v>1686</v>
      </c>
    </row>
    <row r="32" spans="1:3" ht="13.5">
      <c r="A32" s="3012"/>
      <c r="B32" s="3011"/>
      <c r="C32" s="1998" t="s">
        <v>1687</v>
      </c>
    </row>
    <row r="33" spans="1:3" ht="13.5">
      <c r="A33" s="3012"/>
      <c r="B33" s="3011"/>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43298</v>
      </c>
      <c r="C2" s="1019" t="s">
        <v>826</v>
      </c>
      <c r="D2" s="1019"/>
    </row>
    <row r="3" spans="1:6" ht="24" customHeight="1">
      <c r="A3" s="1020" t="s">
        <v>827</v>
      </c>
      <c r="B3" s="1021" t="s">
        <v>828</v>
      </c>
      <c r="C3" s="2342" t="s">
        <v>829</v>
      </c>
      <c r="D3" s="2345" t="s">
        <v>830</v>
      </c>
      <c r="E3" s="1022" t="s">
        <v>831</v>
      </c>
      <c r="F3" s="1021" t="s">
        <v>829</v>
      </c>
    </row>
    <row r="4" spans="1:6" ht="24" customHeight="1">
      <c r="A4" s="1700" t="s">
        <v>832</v>
      </c>
      <c r="B4" s="1022">
        <f ca="1">IF(C4&lt;B2,"已过期",1119970066)</f>
        <v>1119970066</v>
      </c>
      <c r="C4" s="2343">
        <v>43849</v>
      </c>
      <c r="D4" s="2346" t="s">
        <v>832</v>
      </c>
      <c r="E4" s="1022">
        <f ca="1">IF(F4&lt;B2,"已过期",96010014)</f>
        <v>96010014</v>
      </c>
      <c r="F4" s="1030">
        <v>47118</v>
      </c>
    </row>
    <row r="5" spans="1:6" ht="24" customHeight="1">
      <c r="A5" s="1700" t="s">
        <v>833</v>
      </c>
      <c r="B5" s="1022">
        <f ca="1">IF(C5&lt;B2,"已过期",1119970074)</f>
        <v>1119970074</v>
      </c>
      <c r="C5" s="2343">
        <v>43849</v>
      </c>
      <c r="D5" s="2346" t="s">
        <v>833</v>
      </c>
      <c r="E5" s="1022">
        <f ca="1">IF(F5&lt;B2,"已过期",2002110027)</f>
        <v>2002110027</v>
      </c>
      <c r="F5" s="1030">
        <v>46752</v>
      </c>
    </row>
    <row r="6" spans="1:6" ht="24" customHeight="1">
      <c r="A6" s="1700" t="s">
        <v>834</v>
      </c>
      <c r="B6" s="1022">
        <f ca="1">IF(C6&lt;B2,"已过期",1119970111)</f>
        <v>1119970111</v>
      </c>
      <c r="C6" s="2343">
        <v>43849</v>
      </c>
      <c r="D6" s="2346" t="s">
        <v>834</v>
      </c>
      <c r="E6" s="1022">
        <f ca="1">IF(F6&lt;B2,"已过期",94010078)</f>
        <v>94010078</v>
      </c>
      <c r="F6" s="1030">
        <v>46387</v>
      </c>
    </row>
    <row r="7" spans="1:6" ht="24" customHeight="1">
      <c r="A7" s="1700" t="s">
        <v>835</v>
      </c>
      <c r="B7" s="1022">
        <f ca="1">IF(C7&lt;B2,"已过期",1120050019)</f>
        <v>1120050019</v>
      </c>
      <c r="C7" s="2343">
        <v>43359</v>
      </c>
      <c r="D7" s="2346" t="s">
        <v>835</v>
      </c>
      <c r="E7" s="1022">
        <f ca="1">IF(F7&lt;B2,"已过期",2002110030)</f>
        <v>2002110030</v>
      </c>
      <c r="F7" s="1030">
        <v>46387</v>
      </c>
    </row>
    <row r="8" spans="1:6" ht="24" customHeight="1">
      <c r="A8" s="1700" t="s">
        <v>836</v>
      </c>
      <c r="B8" s="1022">
        <f ca="1">IF(C8&lt;B2,"已过期",1120000080)</f>
        <v>1120000080</v>
      </c>
      <c r="C8" s="2343">
        <v>43849</v>
      </c>
      <c r="D8" s="2346" t="s">
        <v>836</v>
      </c>
      <c r="E8" s="1022">
        <f ca="1">IF(F8&lt;B2,"已过期",2000110082)</f>
        <v>2000110082</v>
      </c>
      <c r="F8" s="1030">
        <v>46387</v>
      </c>
    </row>
    <row r="9" spans="1:6" ht="24" customHeight="1">
      <c r="A9" s="1700" t="s">
        <v>837</v>
      </c>
      <c r="B9" s="1022">
        <f ca="1">IF(C9&lt;B2,"已过期",1419970001)</f>
        <v>1419970001</v>
      </c>
      <c r="C9" s="2343">
        <v>43867</v>
      </c>
      <c r="D9" s="2346" t="s">
        <v>837</v>
      </c>
      <c r="E9" s="1022">
        <f ca="1">IF(F9&lt;B2,"已过期",2002110125)</f>
        <v>2002110125</v>
      </c>
      <c r="F9" s="1030">
        <v>47118</v>
      </c>
    </row>
    <row r="10" spans="1:6" ht="24" customHeight="1">
      <c r="A10" s="1700" t="s">
        <v>838</v>
      </c>
      <c r="B10" s="1022">
        <f ca="1">IF(C10&lt;B2,"已过期",1120060040)</f>
        <v>1120060040</v>
      </c>
      <c r="C10" s="2343">
        <v>43483</v>
      </c>
      <c r="D10" s="2346" t="s">
        <v>838</v>
      </c>
      <c r="E10" s="1022">
        <f ca="1">IF(F10&lt;B2,"已过期",2004110096)</f>
        <v>2004110096</v>
      </c>
      <c r="F10" s="1030">
        <v>47118</v>
      </c>
    </row>
    <row r="11" spans="1:6" ht="24" customHeight="1">
      <c r="A11" s="1700" t="s">
        <v>839</v>
      </c>
      <c r="B11" s="1022">
        <f ca="1">IF(C11&lt;B2,"已过期",1120100036)</f>
        <v>1120100036</v>
      </c>
      <c r="C11" s="2343">
        <v>43622</v>
      </c>
      <c r="D11" s="2346" t="s">
        <v>839</v>
      </c>
      <c r="E11" s="1022">
        <f ca="1">IF(F11&lt;B2,"已过期",2010110070)</f>
        <v>2010110070</v>
      </c>
      <c r="F11" s="1030">
        <v>47907</v>
      </c>
    </row>
    <row r="12" spans="1:6" ht="24" customHeight="1">
      <c r="A12" s="1700" t="s">
        <v>3046</v>
      </c>
      <c r="B12" s="1022">
        <v>1120110054</v>
      </c>
      <c r="C12" s="2939">
        <v>43937</v>
      </c>
      <c r="D12" s="1700" t="s">
        <v>3046</v>
      </c>
      <c r="E12" s="1022">
        <v>2008110060</v>
      </c>
      <c r="F12" s="1030">
        <v>47177</v>
      </c>
    </row>
    <row r="13" spans="1:6" ht="24" customHeight="1">
      <c r="A13" s="1700" t="s">
        <v>840</v>
      </c>
      <c r="B13" s="1022">
        <f ca="1">IF(C13&lt;B2,"已过期",1120070131)</f>
        <v>1120070131</v>
      </c>
      <c r="C13" s="2343">
        <v>43814</v>
      </c>
      <c r="D13" s="2346" t="s">
        <v>840</v>
      </c>
      <c r="E13" s="1022">
        <v>2014110011</v>
      </c>
      <c r="F13" s="1030">
        <v>49302</v>
      </c>
    </row>
    <row r="14" spans="1:6" ht="24" customHeight="1">
      <c r="A14" s="1700" t="s">
        <v>841</v>
      </c>
      <c r="B14" s="1022">
        <f ca="1">IF(C14&lt;B2,"已过期",1120130020)</f>
        <v>1120130020</v>
      </c>
      <c r="C14" s="2343">
        <v>43622</v>
      </c>
      <c r="D14" s="2346"/>
      <c r="E14" s="1022"/>
      <c r="F14" s="1022"/>
    </row>
    <row r="15" spans="1:6" ht="24" customHeight="1">
      <c r="A15" s="1701" t="s">
        <v>1149</v>
      </c>
      <c r="B15" s="1022">
        <v>1120070085</v>
      </c>
      <c r="C15" s="2343">
        <v>43814</v>
      </c>
      <c r="D15" s="2347" t="s">
        <v>1149</v>
      </c>
      <c r="E15" s="1022">
        <v>2004110128</v>
      </c>
      <c r="F15" s="1023">
        <v>47118</v>
      </c>
    </row>
    <row r="16" spans="1:6" ht="24" customHeight="1">
      <c r="A16" s="1700" t="s">
        <v>842</v>
      </c>
      <c r="B16" s="1022">
        <f ca="1">IF(C16&lt;B2,"已过期",1120140022)</f>
        <v>1120140022</v>
      </c>
      <c r="C16" s="2343">
        <v>44029</v>
      </c>
      <c r="D16" s="2346" t="s">
        <v>842</v>
      </c>
      <c r="E16" s="1022">
        <f ca="1">IF(F16&lt;B2,"已过期",2008110059)</f>
        <v>2008110059</v>
      </c>
      <c r="F16" s="1030">
        <v>47177</v>
      </c>
    </row>
    <row r="17" spans="1:7" ht="24" customHeight="1">
      <c r="A17" s="1700"/>
      <c r="B17" s="1022"/>
      <c r="C17" s="2343"/>
      <c r="D17" s="2346"/>
      <c r="E17" s="1022"/>
      <c r="F17" s="1030"/>
    </row>
    <row r="18" spans="1:7" ht="24" customHeight="1">
      <c r="A18" s="1700"/>
      <c r="B18" s="1022"/>
      <c r="C18" s="2343"/>
      <c r="D18" s="2346"/>
      <c r="E18" s="1022"/>
      <c r="F18" s="1030"/>
    </row>
    <row r="19" spans="1:7" ht="24" customHeight="1">
      <c r="A19" s="1700"/>
      <c r="B19" s="1022"/>
      <c r="C19" s="2343"/>
      <c r="D19" s="2346"/>
      <c r="E19" s="1022"/>
      <c r="F19" s="1022"/>
    </row>
    <row r="20" spans="1:7" ht="24" customHeight="1">
      <c r="A20" s="1700"/>
      <c r="B20" s="1022"/>
      <c r="C20" s="2343"/>
      <c r="D20" s="2346"/>
      <c r="E20" s="1022"/>
      <c r="F20" s="1022"/>
    </row>
    <row r="21" spans="1:7" ht="24" customHeight="1">
      <c r="A21" s="1700"/>
      <c r="B21" s="1022"/>
      <c r="C21" s="2343"/>
      <c r="D21" s="2346" t="s">
        <v>843</v>
      </c>
      <c r="E21" s="1022">
        <f ca="1">IF(F21&lt;B2,"已过期",2011110090)</f>
        <v>2011110090</v>
      </c>
      <c r="F21" s="1030">
        <v>48302</v>
      </c>
    </row>
    <row r="22" spans="1:7" ht="24" customHeight="1">
      <c r="A22" s="1700" t="s">
        <v>844</v>
      </c>
      <c r="B22" s="1022">
        <f ca="1">IF(C22&lt;B2,"已过期",1120020033)</f>
        <v>1120020033</v>
      </c>
      <c r="C22" s="2939">
        <v>44339</v>
      </c>
      <c r="D22" s="2346" t="s">
        <v>844</v>
      </c>
      <c r="E22" s="1022">
        <f ca="1">IF(F22&lt;B2,"已过期",2000110137)</f>
        <v>2000110137</v>
      </c>
      <c r="F22" s="1030">
        <v>46387</v>
      </c>
    </row>
    <row r="23" spans="1:7" ht="24" customHeight="1">
      <c r="A23" s="1700" t="s">
        <v>845</v>
      </c>
      <c r="B23" s="1022">
        <f ca="1">IF(C23&lt;B2,"已过期",1120130048)</f>
        <v>1120130048</v>
      </c>
      <c r="C23" s="2343">
        <v>43686</v>
      </c>
      <c r="D23" s="2346"/>
      <c r="E23" s="1022"/>
      <c r="F23" s="1022"/>
    </row>
    <row r="24" spans="1:7" s="1024" customFormat="1" ht="24" customHeight="1">
      <c r="A24" s="1701" t="s">
        <v>1333</v>
      </c>
      <c r="B24" s="1701" t="s">
        <v>1333</v>
      </c>
      <c r="C24" s="2344" t="s">
        <v>1333</v>
      </c>
      <c r="D24" s="2347" t="s">
        <v>1333</v>
      </c>
      <c r="E24" s="1701" t="s">
        <v>1333</v>
      </c>
      <c r="F24" s="1701" t="s">
        <v>1333</v>
      </c>
    </row>
    <row r="25" spans="1:7" ht="24" customHeight="1">
      <c r="A25" s="3016" t="s">
        <v>846</v>
      </c>
      <c r="B25" s="3016"/>
      <c r="C25" s="3016"/>
      <c r="D25" s="3016"/>
      <c r="E25" s="3016"/>
      <c r="F25" s="3016"/>
      <c r="G25" s="3016"/>
    </row>
    <row r="26" spans="1:7" s="1025" customFormat="1" ht="24" customHeight="1">
      <c r="A26" s="3017" t="s">
        <v>847</v>
      </c>
      <c r="B26" s="3017"/>
      <c r="C26" s="3018"/>
      <c r="D26" s="3019" t="s">
        <v>848</v>
      </c>
      <c r="E26" s="3017"/>
      <c r="F26" s="3017"/>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价值表</vt:lpstr>
      <vt:lpstr>Sheet1</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2018-07-17T11:39:08Z</dcterms:modified>
</cp:coreProperties>
</file>