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F:\2025-1-0296甜水园北里\"/>
    </mc:Choice>
  </mc:AlternateContent>
  <xr:revisionPtr revIDLastSave="0" documentId="13_ncr:1_{18F534A4-DC36-483A-9920-DC020BD370AD}" xr6:coauthVersionLast="47" xr6:coauthVersionMax="47" xr10:uidLastSave="{00000000-0000-0000-0000-000000000000}"/>
  <bookViews>
    <workbookView xWindow="-120" yWindow="-120" windowWidth="38640" windowHeight="2124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住宅" sheetId="21" r:id="rId22"/>
    <sheet name="收益法 (元)" sheetId="67" r:id="rId23"/>
    <sheet name="收益法-酒店模型" sheetId="77" state="hidden" r:id="rId24"/>
    <sheet name="收益法（汇总）" sheetId="70"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 name="Sheet1" sheetId="80" r:id="rId46"/>
    <sheet name="Sheet2" sheetId="81"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1"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1">'比较法-住宅'!$A$1:$K$54,'比较法-住宅'!$A$57:$M$131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4" i="9" l="1"/>
  <c r="D33" i="43"/>
  <c r="L13" i="4"/>
  <c r="Y6" i="1"/>
  <c r="I33" i="21"/>
  <c r="G33" i="21"/>
  <c r="E33" i="21"/>
  <c r="C33" i="21"/>
  <c r="E27" i="21"/>
  <c r="G27" i="21"/>
  <c r="I27" i="21"/>
  <c r="C27" i="21"/>
  <c r="S58" i="21"/>
  <c r="I5" i="21"/>
  <c r="G5" i="21"/>
  <c r="E5" i="21"/>
  <c r="I7" i="21"/>
  <c r="G7" i="21"/>
  <c r="E7" i="21"/>
  <c r="I47" i="21"/>
  <c r="G47" i="21"/>
  <c r="S7" i="81"/>
  <c r="E47" i="21"/>
  <c r="U55" i="81"/>
  <c r="U54" i="81"/>
  <c r="U51" i="81"/>
  <c r="U52" i="81"/>
  <c r="U53" i="81"/>
  <c r="U50" i="81"/>
  <c r="U59" i="81" s="1"/>
  <c r="U44" i="81"/>
  <c r="U45" i="81"/>
  <c r="U46" i="81"/>
  <c r="U43" i="81"/>
  <c r="U47" i="81" s="1"/>
  <c r="N21" i="1"/>
  <c r="F19" i="6"/>
  <c r="D3" i="4"/>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W22" i="79"/>
  <c r="AK22" i="79" s="1"/>
  <c r="AH22" i="79"/>
  <c r="AD38" i="79"/>
  <c r="AD37" i="79"/>
  <c r="AD36" i="79"/>
  <c r="AR40" i="79"/>
  <c r="AR41" i="79" s="1"/>
  <c r="AR42" i="79" s="1"/>
  <c r="AR43" i="79" s="1"/>
  <c r="AR44" i="79" s="1"/>
  <c r="AR45" i="79" s="1"/>
  <c r="AR46" i="79" s="1"/>
  <c r="AR47" i="79" s="1"/>
  <c r="AR48" i="79" s="1"/>
  <c r="AR49" i="79" s="1"/>
  <c r="AR50" i="79" s="1"/>
  <c r="AR51" i="79" s="1"/>
  <c r="AR52" i="79" s="1"/>
  <c r="Z3" i="79"/>
  <c r="S34" i="79"/>
  <c r="AG34" i="79" s="1"/>
  <c r="S33" i="79"/>
  <c r="AG33" i="79" s="1"/>
  <c r="S35" i="79"/>
  <c r="AG35" i="79" s="1"/>
  <c r="W40" i="79"/>
  <c r="AK40" i="79" s="1"/>
  <c r="AH40" i="79"/>
  <c r="AR19" i="79"/>
  <c r="AR20" i="79" s="1"/>
  <c r="AR21" i="79" s="1"/>
  <c r="AR22" i="79" s="1"/>
  <c r="AR23" i="79" s="1"/>
  <c r="AR24" i="79" s="1"/>
  <c r="T33" i="79"/>
  <c r="T34" i="79"/>
  <c r="T35"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14" i="79" l="1"/>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4" i="79"/>
  <c r="W34" i="79"/>
  <c r="AK34" i="79" s="1"/>
  <c r="C18" i="78"/>
  <c r="W15" i="79"/>
  <c r="AK15" i="79" s="1"/>
  <c r="AH15" i="79"/>
  <c r="W13" i="79"/>
  <c r="AK13" i="79" s="1"/>
  <c r="AH13" i="79"/>
  <c r="W48" i="79"/>
  <c r="AK48" i="79" s="1"/>
  <c r="AH48" i="79"/>
  <c r="W49" i="79"/>
  <c r="AK49" i="79" s="1"/>
  <c r="AH49" i="79"/>
  <c r="W43" i="79"/>
  <c r="AK43" i="79" s="1"/>
  <c r="AH43" i="79"/>
  <c r="W38" i="79"/>
  <c r="AK38" i="79" s="1"/>
  <c r="AH38" i="79"/>
  <c r="AH33" i="79"/>
  <c r="W33" i="79"/>
  <c r="AK33" i="79" s="1"/>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D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B59" i="71" s="1"/>
  <c r="B60" i="71" s="1"/>
  <c r="S60" i="71" s="1"/>
  <c r="Q57" i="71"/>
  <c r="F58" i="71" s="1"/>
  <c r="F59" i="71" s="1"/>
  <c r="F60" i="71" s="1"/>
  <c r="V60" i="71" s="1"/>
  <c r="P57" i="71"/>
  <c r="E58" i="71"/>
  <c r="E59" i="71" s="1"/>
  <c r="O57" i="71"/>
  <c r="C58" i="71" s="1"/>
  <c r="D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F38" i="71"/>
  <c r="F39" i="71" s="1"/>
  <c r="Q37" i="71"/>
  <c r="P37" i="71"/>
  <c r="O37" i="71"/>
  <c r="N37" i="71"/>
  <c r="B38" i="71" s="1"/>
  <c r="D37" i="71"/>
  <c r="Q36" i="71"/>
  <c r="AB36" i="71" s="1"/>
  <c r="P36" i="71"/>
  <c r="O36" i="71"/>
  <c r="N36" i="71"/>
  <c r="Q35" i="71"/>
  <c r="AB35" i="71"/>
  <c r="P35" i="71"/>
  <c r="AA35" i="71" s="1"/>
  <c r="O35" i="71"/>
  <c r="N35" i="71"/>
  <c r="Q34" i="71"/>
  <c r="AB34" i="71"/>
  <c r="P34" i="71"/>
  <c r="O34" i="71"/>
  <c r="N34" i="71"/>
  <c r="Q33" i="71"/>
  <c r="P33" i="71"/>
  <c r="O33" i="71"/>
  <c r="N33" i="71"/>
  <c r="X25" i="71" s="1"/>
  <c r="D33" i="71"/>
  <c r="Q32" i="71"/>
  <c r="P32" i="71"/>
  <c r="O32" i="71"/>
  <c r="N32" i="71"/>
  <c r="Q31" i="71"/>
  <c r="P31" i="71"/>
  <c r="O31" i="71"/>
  <c r="N31" i="71"/>
  <c r="Q30" i="71"/>
  <c r="P30" i="71"/>
  <c r="O30" i="71"/>
  <c r="N30" i="71"/>
  <c r="Q29" i="71"/>
  <c r="F30" i="71" s="1"/>
  <c r="F31" i="71" s="1"/>
  <c r="F32" i="71" s="1"/>
  <c r="V32" i="71" s="1"/>
  <c r="P29" i="71"/>
  <c r="O29" i="71"/>
  <c r="Y29" i="71" s="1"/>
  <c r="Z29" i="71" s="1"/>
  <c r="N29" i="71"/>
  <c r="D29" i="71"/>
  <c r="O28" i="71"/>
  <c r="N28" i="71"/>
  <c r="X26" i="71" s="1"/>
  <c r="B30" i="71"/>
  <c r="B31" i="71"/>
  <c r="B32" i="71" s="1"/>
  <c r="S32" i="71" s="1"/>
  <c r="E30" i="71"/>
  <c r="E31" i="71" s="1"/>
  <c r="E32" i="71" s="1"/>
  <c r="U32" i="71" s="1"/>
  <c r="B39" i="71"/>
  <c r="B40" i="71" s="1"/>
  <c r="S40" i="71" s="1"/>
  <c r="E34" i="71"/>
  <c r="C30" i="71"/>
  <c r="X31" i="71"/>
  <c r="C34" i="71"/>
  <c r="D34" i="71" s="1"/>
  <c r="X34" i="71"/>
  <c r="C38" i="71"/>
  <c r="F51" i="71"/>
  <c r="F52" i="71" s="1"/>
  <c r="V52" i="71" s="1"/>
  <c r="B28" i="71"/>
  <c r="B27" i="71" s="1"/>
  <c r="B26" i="71"/>
  <c r="D30" i="71"/>
  <c r="D50" i="71"/>
  <c r="P28" i="71"/>
  <c r="E60" i="71"/>
  <c r="U60" i="71" s="1"/>
  <c r="U68" i="71"/>
  <c r="E67" i="71"/>
  <c r="E66" i="71" s="1"/>
  <c r="Q28" i="71"/>
  <c r="D54" i="71"/>
  <c r="C59" i="71"/>
  <c r="D59" i="71" s="1"/>
  <c r="C63" i="71"/>
  <c r="C64" i="71" s="1"/>
  <c r="D62" i="71"/>
  <c r="T68" i="71"/>
  <c r="O68" i="71"/>
  <c r="D68" i="71"/>
  <c r="C67" i="71"/>
  <c r="D67" i="71" s="1"/>
  <c r="Q68" i="71"/>
  <c r="E71" i="71"/>
  <c r="E70" i="71"/>
  <c r="C75" i="71"/>
  <c r="D76" i="71"/>
  <c r="D80" i="71"/>
  <c r="F28" i="71"/>
  <c r="F27" i="71"/>
  <c r="F26" i="71"/>
  <c r="AA3" i="71"/>
  <c r="D63" i="71"/>
  <c r="D75" i="71"/>
  <c r="C74" i="71"/>
  <c r="D74" i="71" s="1"/>
  <c r="C60" i="71"/>
  <c r="T60" i="71" s="1"/>
  <c r="D55" i="71"/>
  <c r="P67" i="71"/>
  <c r="D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1" i="34"/>
  <c r="H25" i="40"/>
  <c r="AB25" i="40" s="1"/>
  <c r="J25" i="40"/>
  <c r="H29" i="39"/>
  <c r="AB29" i="39" s="1"/>
  <c r="J29" i="39"/>
  <c r="J18" i="36"/>
  <c r="AC18" i="36" s="1"/>
  <c r="H18" i="35"/>
  <c r="AB18" i="35" s="1"/>
  <c r="J18" i="35"/>
  <c r="AC18" i="35" s="1"/>
  <c r="H21" i="37"/>
  <c r="F21" i="37"/>
  <c r="H21" i="34"/>
  <c r="AB21" i="34" s="1"/>
  <c r="H21" i="33"/>
  <c r="U21" i="33" s="1"/>
  <c r="F21" i="33"/>
  <c r="S21" i="33" s="1"/>
  <c r="E83" i="21"/>
  <c r="F83" i="21" s="1"/>
  <c r="H1" i="69"/>
  <c r="AC25" i="40"/>
  <c r="W25" i="40"/>
  <c r="U25" i="40"/>
  <c r="U29" i="39"/>
  <c r="W18" i="36"/>
  <c r="AB21" i="37"/>
  <c r="U21" i="37"/>
  <c r="U21" i="34"/>
  <c r="AB21" i="33"/>
  <c r="AA21" i="33"/>
  <c r="W18" i="35"/>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9" s="1"/>
  <c r="C67" i="39"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c r="H26" i="37"/>
  <c r="AB26" i="37" s="1"/>
  <c r="Q25" i="37"/>
  <c r="Z25" i="37"/>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U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H24" i="36"/>
  <c r="AB24" i="36" s="1"/>
  <c r="Q23" i="36"/>
  <c r="Z23" i="36"/>
  <c r="J23" i="36"/>
  <c r="AC23" i="36" s="1"/>
  <c r="AB23" i="36"/>
  <c r="F23" i="36"/>
  <c r="AA23" i="36"/>
  <c r="Q22" i="36"/>
  <c r="Z22" i="36" s="1"/>
  <c r="J22" i="36"/>
  <c r="AC22" i="36"/>
  <c r="Q20" i="36"/>
  <c r="Z20" i="36" s="1"/>
  <c r="Q16" i="36"/>
  <c r="Z16" i="36"/>
  <c r="Q14" i="36"/>
  <c r="Z14" i="36" s="1"/>
  <c r="Q13" i="36"/>
  <c r="Z13" i="36"/>
  <c r="Q12" i="36"/>
  <c r="Z12" i="36" s="1"/>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c r="F94" i="35" s="1"/>
  <c r="G94" i="35" s="1"/>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s="1"/>
  <c r="Q38" i="34"/>
  <c r="Z38" i="34"/>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F12" i="34"/>
  <c r="S12" i="34" s="1"/>
  <c r="Q11" i="34"/>
  <c r="Z11" i="34" s="1"/>
  <c r="Q10" i="34"/>
  <c r="Z10" i="34" s="1"/>
  <c r="F10" i="34"/>
  <c r="AA10" i="34" s="1"/>
  <c r="Q9" i="34"/>
  <c r="Z9" i="34"/>
  <c r="H9" i="34"/>
  <c r="J8" i="34"/>
  <c r="AC8" i="34" s="1"/>
  <c r="H8" i="34"/>
  <c r="U8" i="34" s="1"/>
  <c r="F8" i="34"/>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s="1"/>
  <c r="J42" i="33"/>
  <c r="AC42" i="33" s="1"/>
  <c r="AC41" i="33"/>
  <c r="W41" i="33"/>
  <c r="Q41" i="33"/>
  <c r="Z41" i="33" s="1"/>
  <c r="Q40" i="33"/>
  <c r="Z40" i="33" s="1"/>
  <c r="J40" i="33"/>
  <c r="AC40" i="33" s="1"/>
  <c r="H40" i="33"/>
  <c r="AB40" i="33"/>
  <c r="Q39" i="33"/>
  <c r="Z39" i="33" s="1"/>
  <c r="J39" i="33"/>
  <c r="AC39" i="33" s="1"/>
  <c r="Q38" i="33"/>
  <c r="Z38" i="33" s="1"/>
  <c r="J38" i="33"/>
  <c r="AC38" i="33"/>
  <c r="H38" i="33"/>
  <c r="AB38" i="33" s="1"/>
  <c r="F38" i="33"/>
  <c r="AA38" i="33"/>
  <c r="Q37" i="33"/>
  <c r="Z37" i="33" s="1"/>
  <c r="Q36" i="33"/>
  <c r="Z36" i="33" s="1"/>
  <c r="Q35" i="33"/>
  <c r="Z35" i="33" s="1"/>
  <c r="H35" i="33"/>
  <c r="AB35" i="33" s="1"/>
  <c r="Q34" i="33"/>
  <c r="Z34" i="33" s="1"/>
  <c r="Q33" i="33"/>
  <c r="Z33" i="33"/>
  <c r="J33" i="33"/>
  <c r="AC33" i="33" s="1"/>
  <c r="H33" i="33"/>
  <c r="AB33" i="33" s="1"/>
  <c r="F33" i="33"/>
  <c r="AA33" i="33" s="1"/>
  <c r="Q32" i="33"/>
  <c r="Z32" i="33" s="1"/>
  <c r="Q31" i="33"/>
  <c r="Z31" i="33" s="1"/>
  <c r="Q30" i="33"/>
  <c r="Z30" i="33" s="1"/>
  <c r="Q29" i="33"/>
  <c r="Z29" i="33"/>
  <c r="Q28" i="33"/>
  <c r="Z28" i="33" s="1"/>
  <c r="Q27" i="33"/>
  <c r="Z27" i="33"/>
  <c r="Q26" i="33"/>
  <c r="Z26" i="33" s="1"/>
  <c r="Q25" i="33"/>
  <c r="Z25" i="33"/>
  <c r="Q23" i="33"/>
  <c r="Z23" i="33" s="1"/>
  <c r="Q19" i="33"/>
  <c r="Z19" i="33" s="1"/>
  <c r="Q17" i="33"/>
  <c r="Z17" i="33" s="1"/>
  <c r="Q15" i="33"/>
  <c r="Z15" i="33"/>
  <c r="F15" i="33"/>
  <c r="AA15" i="33" s="1"/>
  <c r="Q14" i="33"/>
  <c r="Z14" i="33" s="1"/>
  <c r="Q13" i="33"/>
  <c r="Z13" i="33" s="1"/>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s="1"/>
  <c r="Q38" i="21"/>
  <c r="Z38" i="21" s="1"/>
  <c r="J39" i="21"/>
  <c r="AC39" i="21"/>
  <c r="Q39" i="21"/>
  <c r="Z39" i="21" s="1"/>
  <c r="H40" i="21"/>
  <c r="AB40" i="21"/>
  <c r="Q40" i="21"/>
  <c r="Z40" i="21" s="1"/>
  <c r="Q41" i="21"/>
  <c r="Z41" i="21"/>
  <c r="Q42" i="21"/>
  <c r="Z42" i="21" s="1"/>
  <c r="J43" i="21"/>
  <c r="AC43" i="21" s="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c r="AB41" i="21"/>
  <c r="S41" i="21"/>
  <c r="AA41" i="21"/>
  <c r="F45" i="39"/>
  <c r="S45" i="39"/>
  <c r="J45" i="39"/>
  <c r="W45" i="39" s="1"/>
  <c r="J44" i="39"/>
  <c r="AC44" i="39"/>
  <c r="F36" i="39"/>
  <c r="S36" i="39" s="1"/>
  <c r="H36" i="39"/>
  <c r="AB36" i="39"/>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U34" i="35"/>
  <c r="F36" i="34"/>
  <c r="J35" i="34"/>
  <c r="U34" i="34"/>
  <c r="H39" i="33"/>
  <c r="AB39" i="33" s="1"/>
  <c r="F26" i="33"/>
  <c r="AA26" i="33"/>
  <c r="U33" i="33"/>
  <c r="S40" i="33"/>
  <c r="W33" i="33"/>
  <c r="W39" i="33"/>
  <c r="H39" i="37"/>
  <c r="AB39" i="37"/>
  <c r="S27" i="35"/>
  <c r="F11" i="40"/>
  <c r="AA11" i="40" s="1"/>
  <c r="H11" i="40"/>
  <c r="AB11" i="40"/>
  <c r="W8" i="40"/>
  <c r="AB39" i="40"/>
  <c r="U9" i="40"/>
  <c r="S34" i="40"/>
  <c r="U38" i="40"/>
  <c r="W31"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C25" i="39"/>
  <c r="H11" i="39"/>
  <c r="S40" i="39"/>
  <c r="C15" i="39"/>
  <c r="H32" i="33"/>
  <c r="AB32" i="33"/>
  <c r="H11" i="21"/>
  <c r="U11" i="21" s="1"/>
  <c r="J11" i="21"/>
  <c r="W11" i="21" s="1"/>
  <c r="H37" i="40"/>
  <c r="U37" i="40"/>
  <c r="H36" i="40"/>
  <c r="AB36" i="40" s="1"/>
  <c r="F35" i="40"/>
  <c r="AA35" i="40"/>
  <c r="H23" i="40"/>
  <c r="AB23" i="40" s="1"/>
  <c r="H17" i="40"/>
  <c r="U17" i="40" s="1"/>
  <c r="J15" i="40"/>
  <c r="W15" i="40" s="1"/>
  <c r="J11" i="40"/>
  <c r="W11" i="40" s="1"/>
  <c r="AB12" i="35"/>
  <c r="AB12" i="36"/>
  <c r="W32" i="40"/>
  <c r="S44" i="39"/>
  <c r="F37" i="39"/>
  <c r="AA37" i="39" s="1"/>
  <c r="J34" i="36"/>
  <c r="W34" i="36"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5" i="34"/>
  <c r="S25" i="34" s="1"/>
  <c r="H23" i="34"/>
  <c r="AB23" i="34" s="1"/>
  <c r="U23" i="34"/>
  <c r="J23" i="34"/>
  <c r="F19" i="34"/>
  <c r="H17" i="34"/>
  <c r="U17" i="34"/>
  <c r="F15" i="34"/>
  <c r="AA15" i="34" s="1"/>
  <c r="J15" i="34"/>
  <c r="W15" i="34" s="1"/>
  <c r="H15" i="34"/>
  <c r="AB15" i="34" s="1"/>
  <c r="W8" i="34"/>
  <c r="J28" i="34"/>
  <c r="W28" i="34"/>
  <c r="F41" i="33"/>
  <c r="S41" i="33" s="1"/>
  <c r="S38" i="33"/>
  <c r="E113" i="33"/>
  <c r="F32" i="33"/>
  <c r="AA32" i="33" s="1"/>
  <c r="J19" i="33"/>
  <c r="AC19" i="33"/>
  <c r="J15" i="33"/>
  <c r="AC15" i="33" s="1"/>
  <c r="F11" i="33"/>
  <c r="AA11" i="33" s="1"/>
  <c r="S26" i="33"/>
  <c r="U40" i="33"/>
  <c r="W40" i="33"/>
  <c r="F37" i="40"/>
  <c r="AA37" i="40"/>
  <c r="F36" i="40"/>
  <c r="AA36" i="40" s="1"/>
  <c r="H28" i="40"/>
  <c r="U28" i="40"/>
  <c r="F23" i="40"/>
  <c r="AA23" i="40" s="1"/>
  <c r="F17" i="40"/>
  <c r="AA17" i="40" s="1"/>
  <c r="J17" i="40"/>
  <c r="W17" i="40" s="1"/>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c r="J17" i="34"/>
  <c r="W17" i="34" s="1"/>
  <c r="AB17"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J42" i="21"/>
  <c r="AC42" i="21" s="1"/>
  <c r="H42" i="21"/>
  <c r="U42" i="21" s="1"/>
  <c r="J44" i="34"/>
  <c r="F44" i="34"/>
  <c r="AA44" i="34" s="1"/>
  <c r="J10" i="35"/>
  <c r="AC10" i="35" s="1"/>
  <c r="J14" i="21"/>
  <c r="W14" i="21" s="1"/>
  <c r="F14" i="21"/>
  <c r="S14" i="21" s="1"/>
  <c r="H14" i="21"/>
  <c r="U14" i="21"/>
  <c r="H28" i="21"/>
  <c r="AB28" i="21" s="1"/>
  <c r="F28" i="21"/>
  <c r="AA28" i="21" s="1"/>
  <c r="J28" i="21"/>
  <c r="W28" i="21" s="1"/>
  <c r="H30" i="21"/>
  <c r="AB30" i="21" s="1"/>
  <c r="F30" i="21"/>
  <c r="S30" i="21" s="1"/>
  <c r="J30" i="21"/>
  <c r="AC30" i="21" s="1"/>
  <c r="J44" i="21"/>
  <c r="AC44" i="21" s="1"/>
  <c r="H44" i="21"/>
  <c r="U44" i="21" s="1"/>
  <c r="F44" i="21"/>
  <c r="AA44" i="21" s="1"/>
  <c r="H46" i="21"/>
  <c r="U46" i="21" s="1"/>
  <c r="J46" i="2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c r="J13" i="33"/>
  <c r="H13" i="33"/>
  <c r="U13" i="33" s="1"/>
  <c r="F13" i="33"/>
  <c r="S13" i="33"/>
  <c r="J29" i="33"/>
  <c r="H29" i="33"/>
  <c r="U29" i="33" s="1"/>
  <c r="F29" i="33"/>
  <c r="S29" i="33" s="1"/>
  <c r="J31" i="33"/>
  <c r="W31" i="33" s="1"/>
  <c r="H31" i="33"/>
  <c r="F31" i="33"/>
  <c r="H45" i="33"/>
  <c r="U45" i="33" s="1"/>
  <c r="J45" i="33"/>
  <c r="W45" i="33" s="1"/>
  <c r="F45" i="33"/>
  <c r="AA45" i="33" s="1"/>
  <c r="J14" i="34"/>
  <c r="W14" i="34" s="1"/>
  <c r="F14" i="34"/>
  <c r="S14" i="34"/>
  <c r="H14" i="34"/>
  <c r="H30" i="34"/>
  <c r="F30" i="34"/>
  <c r="S30" i="34"/>
  <c r="J30" i="34"/>
  <c r="H32" i="34"/>
  <c r="F32" i="34"/>
  <c r="J32" i="34"/>
  <c r="W32" i="34" s="1"/>
  <c r="H46" i="34"/>
  <c r="AB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c r="F13" i="34"/>
  <c r="AA13" i="34" s="1"/>
  <c r="J29" i="34"/>
  <c r="F29" i="34"/>
  <c r="S29" i="34"/>
  <c r="H29" i="34"/>
  <c r="AB29" i="34" s="1"/>
  <c r="J31" i="34"/>
  <c r="AC31" i="34" s="1"/>
  <c r="H31" i="34"/>
  <c r="F31" i="34"/>
  <c r="S31" i="34" s="1"/>
  <c r="H45" i="34"/>
  <c r="U45" i="34" s="1"/>
  <c r="J45" i="34"/>
  <c r="W45" i="34" s="1"/>
  <c r="F45" i="34"/>
  <c r="S45" i="34" s="1"/>
  <c r="H47" i="34"/>
  <c r="U47" i="34"/>
  <c r="F47" i="34"/>
  <c r="S47" i="34" s="1"/>
  <c r="J47" i="34"/>
  <c r="AC47" i="34" s="1"/>
  <c r="F13" i="35"/>
  <c r="J13" i="35"/>
  <c r="AC13" i="35" s="1"/>
  <c r="H13" i="35"/>
  <c r="U13" i="35" s="1"/>
  <c r="J25" i="35"/>
  <c r="W25" i="35" s="1"/>
  <c r="F25" i="35"/>
  <c r="S25" i="35" s="1"/>
  <c r="H25" i="35"/>
  <c r="AB25" i="35"/>
  <c r="J35" i="35"/>
  <c r="AC35" i="35" s="1"/>
  <c r="F35" i="35"/>
  <c r="AA35" i="35" s="1"/>
  <c r="H35" i="35"/>
  <c r="J25" i="36"/>
  <c r="W25" i="36" s="1"/>
  <c r="F25" i="36"/>
  <c r="S25" i="36" s="1"/>
  <c r="H25" i="36"/>
  <c r="AB25" i="36" s="1"/>
  <c r="H13" i="37"/>
  <c r="AB13" i="37" s="1"/>
  <c r="F13" i="37"/>
  <c r="S13" i="37"/>
  <c r="J13" i="37"/>
  <c r="W13" i="37" s="1"/>
  <c r="F28" i="37"/>
  <c r="AA28" i="37" s="1"/>
  <c r="J28" i="37"/>
  <c r="AC28" i="37"/>
  <c r="H28" i="37"/>
  <c r="H38" i="37"/>
  <c r="AB38" i="37" s="1"/>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U14" i="40" s="1"/>
  <c r="J14" i="40"/>
  <c r="W14" i="40" s="1"/>
  <c r="F14" i="40"/>
  <c r="AA14" i="40"/>
  <c r="J14" i="37"/>
  <c r="J27" i="37"/>
  <c r="AC27" i="37" s="1"/>
  <c r="AA44" i="33"/>
  <c r="AA14" i="33"/>
  <c r="J36" i="37"/>
  <c r="AC36" i="37"/>
  <c r="J10" i="36"/>
  <c r="AC10" i="36" s="1"/>
  <c r="AA14" i="37"/>
  <c r="W31" i="34"/>
  <c r="AA14" i="34"/>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BA580" i="3"/>
  <c r="BA578" i="3"/>
  <c r="BA576" i="3"/>
  <c r="AZ576" i="3" s="1"/>
  <c r="BA574" i="3"/>
  <c r="AZ574" i="3" s="1"/>
  <c r="BA572" i="3"/>
  <c r="AZ572" i="3" s="1"/>
  <c r="BA570" i="3"/>
  <c r="AZ570" i="3" s="1"/>
  <c r="BA568" i="3"/>
  <c r="AZ568" i="3" s="1"/>
  <c r="BA566" i="3"/>
  <c r="BA564" i="3"/>
  <c r="BA562" i="3"/>
  <c r="BA560" i="3"/>
  <c r="AZ560" i="3" s="1"/>
  <c r="BA558" i="3"/>
  <c r="AZ558" i="3" s="1"/>
  <c r="BA556" i="3"/>
  <c r="AZ556" i="3"/>
  <c r="BA554" i="3"/>
  <c r="AZ554" i="3" s="1"/>
  <c r="BA552" i="3"/>
  <c r="AZ552" i="3"/>
  <c r="BA548" i="3"/>
  <c r="BA546" i="3"/>
  <c r="AZ546" i="3" s="1"/>
  <c r="BA544" i="3"/>
  <c r="AZ544" i="3"/>
  <c r="BA542" i="3"/>
  <c r="AZ542" i="3" s="1"/>
  <c r="BA540" i="3"/>
  <c r="BA538" i="3"/>
  <c r="AZ538" i="3" s="1"/>
  <c r="BA536" i="3"/>
  <c r="AZ536" i="3" s="1"/>
  <c r="BA534" i="3"/>
  <c r="AZ534" i="3" s="1"/>
  <c r="BA532" i="3"/>
  <c r="AZ532" i="3" s="1"/>
  <c r="BA530" i="3"/>
  <c r="AZ530" i="3" s="1"/>
  <c r="BA528" i="3"/>
  <c r="AZ528" i="3" s="1"/>
  <c r="BA526" i="3"/>
  <c r="BA524" i="3"/>
  <c r="BA522" i="3"/>
  <c r="BA520" i="3"/>
  <c r="AZ520" i="3" s="1"/>
  <c r="BA518" i="3"/>
  <c r="BA516" i="3"/>
  <c r="BA514" i="3"/>
  <c r="BA512" i="3"/>
  <c r="AZ512" i="3" s="1"/>
  <c r="BA510" i="3"/>
  <c r="AZ510" i="3"/>
  <c r="BA508" i="3"/>
  <c r="BA506" i="3"/>
  <c r="BA504" i="3"/>
  <c r="AZ504" i="3"/>
  <c r="BA502" i="3"/>
  <c r="BA500" i="3"/>
  <c r="BA498" i="3"/>
  <c r="AZ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s="1"/>
  <c r="BQ579" i="3"/>
  <c r="BL579" i="3"/>
  <c r="BQ577" i="3"/>
  <c r="BL577" i="3" s="1"/>
  <c r="BQ575" i="3"/>
  <c r="BL575" i="3" s="1"/>
  <c r="BQ573" i="3"/>
  <c r="BL573" i="3" s="1"/>
  <c r="AZ573" i="3" s="1"/>
  <c r="BQ571" i="3"/>
  <c r="BL571" i="3" s="1"/>
  <c r="BQ569" i="3"/>
  <c r="BL569" i="3" s="1"/>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BQ545" i="3"/>
  <c r="BL545" i="3" s="1"/>
  <c r="BQ543" i="3"/>
  <c r="BL543" i="3" s="1"/>
  <c r="AZ543" i="3" s="1"/>
  <c r="BQ541" i="3"/>
  <c r="BL541" i="3" s="1"/>
  <c r="AZ541" i="3" s="1"/>
  <c r="BQ539" i="3"/>
  <c r="BL539" i="3" s="1"/>
  <c r="BQ537" i="3"/>
  <c r="BL537" i="3"/>
  <c r="BQ535" i="3"/>
  <c r="BL535" i="3" s="1"/>
  <c r="AZ535" i="3" s="1"/>
  <c r="BQ533" i="3"/>
  <c r="BL533" i="3" s="1"/>
  <c r="AZ533" i="3" s="1"/>
  <c r="BQ531" i="3"/>
  <c r="BL531" i="3" s="1"/>
  <c r="AZ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s="1"/>
  <c r="BQ511" i="3"/>
  <c r="BL511" i="3" s="1"/>
  <c r="AZ511" i="3" s="1"/>
  <c r="BA509" i="3"/>
  <c r="AC509" i="3"/>
  <c r="BQ509" i="3"/>
  <c r="BL509" i="3" s="1"/>
  <c r="AZ509" i="3" s="1"/>
  <c r="BL508" i="3"/>
  <c r="AZ508" i="3"/>
  <c r="G507" i="3"/>
  <c r="G505" i="3"/>
  <c r="G503" i="3"/>
  <c r="G501" i="3"/>
  <c r="G499" i="3"/>
  <c r="G497" i="3"/>
  <c r="G495" i="3"/>
  <c r="BQ507" i="3"/>
  <c r="BQ505" i="3"/>
  <c r="BL505" i="3" s="1"/>
  <c r="AZ505" i="3" s="1"/>
  <c r="BQ503" i="3"/>
  <c r="BL503" i="3" s="1"/>
  <c r="AZ503" i="3"/>
  <c r="BQ501" i="3"/>
  <c r="BL501" i="3" s="1"/>
  <c r="AZ501" i="3" s="1"/>
  <c r="BQ499" i="3"/>
  <c r="BL499" i="3"/>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s="1"/>
  <c r="S28" i="31"/>
  <c r="S27" i="31"/>
  <c r="S26" i="31"/>
  <c r="W23" i="35"/>
  <c r="U39" i="37"/>
  <c r="U26" i="37"/>
  <c r="AC36" i="34"/>
  <c r="AA13" i="33"/>
  <c r="AC31" i="33"/>
  <c r="AC45" i="33"/>
  <c r="W44" i="33"/>
  <c r="U11" i="33"/>
  <c r="U19" i="21"/>
  <c r="W44" i="21"/>
  <c r="F43" i="33"/>
  <c r="AA43" i="33" s="1"/>
  <c r="AC15" i="34"/>
  <c r="W16" i="35"/>
  <c r="G107" i="37"/>
  <c r="H107" i="37"/>
  <c r="I107" i="37" s="1"/>
  <c r="J107" i="37" s="1"/>
  <c r="K107" i="37" s="1"/>
  <c r="L107" i="37" s="1"/>
  <c r="M107" i="37" s="1"/>
  <c r="H37" i="21"/>
  <c r="U37" i="21" s="1"/>
  <c r="H19" i="34"/>
  <c r="AB19" i="34" s="1"/>
  <c r="F36" i="35"/>
  <c r="S36" i="35" s="1"/>
  <c r="J9" i="37"/>
  <c r="W9" i="37" s="1"/>
  <c r="H9" i="37"/>
  <c r="U9" i="37" s="1"/>
  <c r="F9" i="37"/>
  <c r="S9" i="37" s="1"/>
  <c r="J12" i="37"/>
  <c r="H12" i="37"/>
  <c r="AB12" i="37" s="1"/>
  <c r="F12" i="37"/>
  <c r="S12" i="37" s="1"/>
  <c r="E71" i="37"/>
  <c r="F71" i="37" s="1"/>
  <c r="G71" i="37" s="1"/>
  <c r="F15" i="37"/>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C7" i="36"/>
  <c r="C46" i="36" s="1"/>
  <c r="D46" i="36" s="1"/>
  <c r="E46" i="36" s="1"/>
  <c r="F46" i="36" s="1"/>
  <c r="G46" i="36" s="1"/>
  <c r="H46" i="36" s="1"/>
  <c r="I46" i="36" s="1"/>
  <c r="W35" i="40"/>
  <c r="A118" i="9"/>
  <c r="A4" i="52"/>
  <c r="B41" i="72" s="1"/>
  <c r="J11" i="39"/>
  <c r="W11" i="39"/>
  <c r="F11" i="39"/>
  <c r="G4" i="4"/>
  <c r="I4" i="4"/>
  <c r="A2" i="9"/>
  <c r="F61" i="43"/>
  <c r="H64" i="43" s="1"/>
  <c r="AZ497" i="3"/>
  <c r="BL549" i="3"/>
  <c r="AZ494" i="3"/>
  <c r="AZ514" i="3"/>
  <c r="AZ522"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AZ115" i="3"/>
  <c r="BL116" i="3"/>
  <c r="G117" i="3"/>
  <c r="BA119" i="3"/>
  <c r="BL120" i="3"/>
  <c r="G121" i="3"/>
  <c r="BA123" i="3"/>
  <c r="BL124" i="3"/>
  <c r="G125" i="3"/>
  <c r="BA127" i="3"/>
  <c r="AZ127" i="3" s="1"/>
  <c r="BL128" i="3"/>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AZ160" i="3" s="1"/>
  <c r="G161" i="3"/>
  <c r="BA163" i="3"/>
  <c r="AZ163" i="3" s="1"/>
  <c r="BL164" i="3"/>
  <c r="G165" i="3"/>
  <c r="BA167" i="3"/>
  <c r="BL168" i="3"/>
  <c r="AZ168" i="3" s="1"/>
  <c r="G169" i="3"/>
  <c r="BA171" i="3"/>
  <c r="BL172" i="3"/>
  <c r="G173" i="3"/>
  <c r="BA175" i="3"/>
  <c r="AZ175" i="3" s="1"/>
  <c r="BL176" i="3"/>
  <c r="G177" i="3"/>
  <c r="BA179" i="3"/>
  <c r="BL180" i="3"/>
  <c r="G181" i="3"/>
  <c r="BA183" i="3"/>
  <c r="BL184" i="3"/>
  <c r="G185" i="3"/>
  <c r="BA187" i="3"/>
  <c r="BL188" i="3"/>
  <c r="AZ188" i="3" s="1"/>
  <c r="G189" i="3"/>
  <c r="BA191" i="3"/>
  <c r="AZ191" i="3"/>
  <c r="BL192" i="3"/>
  <c r="G193" i="3"/>
  <c r="BA195" i="3"/>
  <c r="AZ195" i="3"/>
  <c r="BL196" i="3"/>
  <c r="G197" i="3"/>
  <c r="BA199" i="3"/>
  <c r="AZ199" i="3" s="1"/>
  <c r="BL200" i="3"/>
  <c r="AZ200" i="3" s="1"/>
  <c r="G201" i="3"/>
  <c r="BA203" i="3"/>
  <c r="BL204" i="3"/>
  <c r="AZ144"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AZ342" i="3" s="1"/>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500" i="3"/>
  <c r="BA16" i="3"/>
  <c r="BL303" i="3"/>
  <c r="AZ303" i="3" s="1"/>
  <c r="G304" i="3"/>
  <c r="BA306" i="3"/>
  <c r="BL307" i="3"/>
  <c r="AZ307" i="3" s="1"/>
  <c r="G308" i="3"/>
  <c r="BA310" i="3"/>
  <c r="AZ310" i="3"/>
  <c r="BL311" i="3"/>
  <c r="AZ311" i="3" s="1"/>
  <c r="G312" i="3"/>
  <c r="BA314" i="3"/>
  <c r="AZ314" i="3"/>
  <c r="BL315" i="3"/>
  <c r="G316" i="3"/>
  <c r="BA318" i="3"/>
  <c r="BL319" i="3"/>
  <c r="AZ319" i="3" s="1"/>
  <c r="G320" i="3"/>
  <c r="BA322" i="3"/>
  <c r="BL323" i="3"/>
  <c r="G324" i="3"/>
  <c r="BA326" i="3"/>
  <c r="AZ326" i="3"/>
  <c r="BL327" i="3"/>
  <c r="AZ327" i="3"/>
  <c r="G328" i="3"/>
  <c r="BA330" i="3"/>
  <c r="BL331" i="3"/>
  <c r="AZ331" i="3" s="1"/>
  <c r="G332" i="3"/>
  <c r="BA334" i="3"/>
  <c r="BL335" i="3"/>
  <c r="G336" i="3"/>
  <c r="BA338" i="3"/>
  <c r="AZ338" i="3" s="1"/>
  <c r="BL339" i="3"/>
  <c r="G340" i="3"/>
  <c r="BL343" i="3"/>
  <c r="G344" i="3"/>
  <c r="G348" i="3"/>
  <c r="G355" i="3"/>
  <c r="AZ218" i="3"/>
  <c r="G342" i="3"/>
  <c r="BL345" i="3"/>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33" i="3"/>
  <c r="BA379" i="3"/>
  <c r="BL380" i="3"/>
  <c r="G381" i="3"/>
  <c r="BA383" i="3"/>
  <c r="AZ383" i="3" s="1"/>
  <c r="BL384" i="3"/>
  <c r="G385" i="3"/>
  <c r="BA387" i="3"/>
  <c r="AZ387" i="3" s="1"/>
  <c r="BL388" i="3"/>
  <c r="G389" i="3"/>
  <c r="BA391" i="3"/>
  <c r="AZ391" i="3" s="1"/>
  <c r="BL392" i="3"/>
  <c r="G393" i="3"/>
  <c r="AZ275" i="3"/>
  <c r="BO5" i="3"/>
  <c r="BM5" i="3"/>
  <c r="F29" i="6" s="1"/>
  <c r="BJ5" i="3"/>
  <c r="BH5" i="3"/>
  <c r="BF5" i="3"/>
  <c r="BD5" i="3"/>
  <c r="AZ325" i="3"/>
  <c r="AC5" i="3"/>
  <c r="AZ506" i="3"/>
  <c r="AZ496" i="3"/>
  <c r="G548" i="3"/>
  <c r="G538" i="3"/>
  <c r="G520" i="3"/>
  <c r="G502" i="3"/>
  <c r="BS5" i="3"/>
  <c r="BP5" i="3"/>
  <c r="BN5" i="3"/>
  <c r="BK5" i="3"/>
  <c r="BI5" i="3"/>
  <c r="BG5" i="3"/>
  <c r="BE5" i="3"/>
  <c r="BC5" i="3"/>
  <c r="G17" i="3"/>
  <c r="BA17" i="3"/>
  <c r="BT5" i="3"/>
  <c r="BA15" i="3"/>
  <c r="BB5" i="3"/>
  <c r="BR5" i="3"/>
  <c r="AZ380" i="3"/>
  <c r="AZ392" i="3"/>
  <c r="AZ499" i="3"/>
  <c r="G509" i="3"/>
  <c r="BL493" i="3"/>
  <c r="AZ493" i="3" s="1"/>
  <c r="U36" i="40"/>
  <c r="F83" i="43"/>
  <c r="H85" i="43" s="1"/>
  <c r="F50" i="43"/>
  <c r="H54" i="43" s="1"/>
  <c r="F72" i="43"/>
  <c r="H75" i="43" s="1"/>
  <c r="U17" i="39"/>
  <c r="S14" i="35"/>
  <c r="U35" i="21"/>
  <c r="AC35" i="21"/>
  <c r="AC11" i="39"/>
  <c r="AZ563" i="3"/>
  <c r="W37" i="37"/>
  <c r="W44" i="34"/>
  <c r="AC44" i="34"/>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F96" i="37"/>
  <c r="H27" i="40"/>
  <c r="U27" i="40"/>
  <c r="J27" i="40"/>
  <c r="F27" i="40"/>
  <c r="S27" i="40"/>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H44" i="34"/>
  <c r="U44" i="34" s="1"/>
  <c r="AC38" i="39"/>
  <c r="F39" i="39"/>
  <c r="S39" i="39" s="1"/>
  <c r="J39" i="39"/>
  <c r="AC39" i="39" s="1"/>
  <c r="E96" i="39"/>
  <c r="F96" i="39" s="1"/>
  <c r="G96" i="39" s="1"/>
  <c r="AZ386" i="3"/>
  <c r="C40" i="11"/>
  <c r="AZ227" i="3"/>
  <c r="AZ235" i="3"/>
  <c r="AZ248" i="3"/>
  <c r="AZ72" i="3"/>
  <c r="AZ82" i="3"/>
  <c r="F23" i="39"/>
  <c r="S23" i="39" s="1"/>
  <c r="H27" i="36"/>
  <c r="U27" i="36" s="1"/>
  <c r="F27" i="36"/>
  <c r="AA27" i="36" s="1"/>
  <c r="H33" i="34"/>
  <c r="AB33" i="34" s="1"/>
  <c r="F32" i="37"/>
  <c r="AA32" i="37"/>
  <c r="G96" i="37"/>
  <c r="H96" i="37" s="1"/>
  <c r="I96" i="37" s="1"/>
  <c r="J96" i="37" s="1"/>
  <c r="K96" i="37" s="1"/>
  <c r="L96" i="37" s="1"/>
  <c r="M96" i="37" s="1"/>
  <c r="F20" i="36"/>
  <c r="AA20" i="36" s="1"/>
  <c r="J33" i="34"/>
  <c r="AC33" i="34" s="1"/>
  <c r="H23" i="39"/>
  <c r="U23" i="39" s="1"/>
  <c r="D48" i="9"/>
  <c r="M52" i="9" s="1"/>
  <c r="K9" i="1"/>
  <c r="M9" i="1" s="1"/>
  <c r="K6" i="1"/>
  <c r="AP6" i="1" s="1"/>
  <c r="G29" i="6"/>
  <c r="AC26" i="33"/>
  <c r="W26" i="33"/>
  <c r="W27" i="34"/>
  <c r="AC27" i="34"/>
  <c r="AB34" i="36"/>
  <c r="U34" i="36"/>
  <c r="AB33" i="36"/>
  <c r="U33" i="36"/>
  <c r="AC12" i="39"/>
  <c r="W12" i="39"/>
  <c r="AC39" i="40"/>
  <c r="W39" i="40"/>
  <c r="W12" i="33"/>
  <c r="AC12" i="33"/>
  <c r="AA32" i="36"/>
  <c r="S32" i="36"/>
  <c r="BL14" i="3"/>
  <c r="U30" i="33"/>
  <c r="AC13" i="34"/>
  <c r="AA47" i="34"/>
  <c r="W28" i="37"/>
  <c r="S19" i="39"/>
  <c r="F12" i="33"/>
  <c r="H12" i="39"/>
  <c r="AB12" i="39"/>
  <c r="F39" i="40"/>
  <c r="BA14" i="3"/>
  <c r="AZ367" i="3"/>
  <c r="AZ250" i="3"/>
  <c r="B12" i="1"/>
  <c r="E12" i="1" s="1"/>
  <c r="B10" i="1"/>
  <c r="E10" i="1" s="1"/>
  <c r="K12" i="1"/>
  <c r="M12" i="1" s="1"/>
  <c r="S13" i="1"/>
  <c r="AR13" i="1" s="1"/>
  <c r="R13" i="1"/>
  <c r="J51" i="67"/>
  <c r="C42" i="1"/>
  <c r="C24" i="12" s="1"/>
  <c r="AC34" i="33"/>
  <c r="AA34" i="33"/>
  <c r="AB37" i="40"/>
  <c r="S35" i="40"/>
  <c r="U35" i="40"/>
  <c r="AC36" i="40"/>
  <c r="W38" i="40"/>
  <c r="AA32" i="40"/>
  <c r="S17" i="40"/>
  <c r="S23" i="40"/>
  <c r="AC17" i="40"/>
  <c r="AC15" i="40"/>
  <c r="AB27" i="40"/>
  <c r="AA19" i="40"/>
  <c r="S28" i="40"/>
  <c r="AA27" i="40"/>
  <c r="U21" i="40"/>
  <c r="AB19" i="40"/>
  <c r="U37" i="39"/>
  <c r="S43" i="39"/>
  <c r="S37" i="39"/>
  <c r="U35" i="39"/>
  <c r="F32" i="39"/>
  <c r="S32" i="39" s="1"/>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W32" i="33" s="1"/>
  <c r="S46" i="33"/>
  <c r="W43" i="33"/>
  <c r="S43" i="33"/>
  <c r="F91" i="33"/>
  <c r="H27" i="33"/>
  <c r="F87" i="33"/>
  <c r="H25" i="33"/>
  <c r="U25" i="33" s="1"/>
  <c r="F25" i="33"/>
  <c r="J23" i="33"/>
  <c r="AC23" i="33" s="1"/>
  <c r="F85" i="33"/>
  <c r="H23" i="33"/>
  <c r="AB23" i="33" s="1"/>
  <c r="F81" i="33"/>
  <c r="F19" i="33"/>
  <c r="S19" i="33" s="1"/>
  <c r="W19" i="33"/>
  <c r="J17" i="33"/>
  <c r="F79" i="33"/>
  <c r="G79" i="33" s="1"/>
  <c r="S15" i="33"/>
  <c r="W15" i="33"/>
  <c r="U9" i="33"/>
  <c r="J10" i="33"/>
  <c r="W10" i="33" s="1"/>
  <c r="H10" i="33"/>
  <c r="U10" i="33" s="1"/>
  <c r="AC11" i="33"/>
  <c r="AB14" i="33"/>
  <c r="W41" i="21"/>
  <c r="AB39" i="21"/>
  <c r="S39" i="21"/>
  <c r="AA36" i="21"/>
  <c r="AC40" i="21"/>
  <c r="J15" i="21"/>
  <c r="W15" i="21" s="1"/>
  <c r="F77" i="21"/>
  <c r="G77" i="21"/>
  <c r="F23" i="21"/>
  <c r="S23" i="21" s="1"/>
  <c r="E85" i="21"/>
  <c r="AA14" i="21"/>
  <c r="D120" i="9"/>
  <c r="D121" i="9" s="1"/>
  <c r="D7" i="52"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3"/>
  <c r="C7" i="21"/>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U28" i="21"/>
  <c r="S45" i="21"/>
  <c r="F33" i="21"/>
  <c r="AA33" i="21" s="1"/>
  <c r="J33" i="21"/>
  <c r="AC33" i="21" s="1"/>
  <c r="H33" i="21"/>
  <c r="AB33" i="21" s="1"/>
  <c r="F37" i="21"/>
  <c r="AA37" i="21" s="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H9" i="21"/>
  <c r="AB9" i="21" s="1"/>
  <c r="J9" i="21"/>
  <c r="AA31" i="21"/>
  <c r="U17" i="21"/>
  <c r="W29" i="21"/>
  <c r="S19" i="21"/>
  <c r="S9" i="21"/>
  <c r="AA9" i="21"/>
  <c r="K141" i="21"/>
  <c r="K144" i="21"/>
  <c r="K143" i="21"/>
  <c r="AB25" i="21"/>
  <c r="AA30" i="21"/>
  <c r="W13" i="21"/>
  <c r="W42" i="21"/>
  <c r="AC45" i="21"/>
  <c r="F10" i="21"/>
  <c r="AA10" i="21" s="1"/>
  <c r="K145" i="21"/>
  <c r="W25" i="21"/>
  <c r="W31" i="21"/>
  <c r="S17" i="21"/>
  <c r="AA15" i="21"/>
  <c r="AB29" i="21"/>
  <c r="S28"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AB21" i="39"/>
  <c r="U21" i="39"/>
  <c r="AA21" i="39"/>
  <c r="S21" i="39"/>
  <c r="AC17" i="37"/>
  <c r="S17" i="37"/>
  <c r="J19" i="37"/>
  <c r="W19" i="37" s="1"/>
  <c r="G75" i="37"/>
  <c r="AA19" i="37"/>
  <c r="AA23" i="37"/>
  <c r="J23" i="37"/>
  <c r="W23" i="37" s="1"/>
  <c r="G79" i="37"/>
  <c r="J10" i="37"/>
  <c r="W10" i="37" s="1"/>
  <c r="G63" i="37"/>
  <c r="H63" i="37" s="1"/>
  <c r="I63" i="37" s="1"/>
  <c r="H11" i="37"/>
  <c r="AB11" i="37" s="1"/>
  <c r="H11" i="34"/>
  <c r="U11" i="34" s="1"/>
  <c r="J10" i="34"/>
  <c r="AC10" i="34" s="1"/>
  <c r="AB41" i="33"/>
  <c r="W35" i="33"/>
  <c r="AC35" i="33"/>
  <c r="H111" i="33"/>
  <c r="I111" i="33" s="1"/>
  <c r="J111" i="33" s="1"/>
  <c r="K111" i="33" s="1"/>
  <c r="L111" i="33" s="1"/>
  <c r="M111" i="33" s="1"/>
  <c r="J36" i="33"/>
  <c r="W36" i="33" s="1"/>
  <c r="H36" i="33"/>
  <c r="U36" i="33" s="1"/>
  <c r="S36" i="33"/>
  <c r="AC32" i="33"/>
  <c r="U27" i="33"/>
  <c r="AB27" i="33"/>
  <c r="G91" i="33"/>
  <c r="H91" i="33" s="1"/>
  <c r="I91" i="33" s="1"/>
  <c r="J91" i="33" s="1"/>
  <c r="K91" i="33" s="1"/>
  <c r="L91" i="33" s="1"/>
  <c r="M91" i="33" s="1"/>
  <c r="J27" i="33"/>
  <c r="W27" i="33" s="1"/>
  <c r="AB25" i="33"/>
  <c r="S25" i="33"/>
  <c r="AA25" i="33"/>
  <c r="G87" i="33"/>
  <c r="H87" i="33"/>
  <c r="I87" i="33"/>
  <c r="J87" i="33" s="1"/>
  <c r="K87" i="33" s="1"/>
  <c r="L87" i="33" s="1"/>
  <c r="M87" i="33" s="1"/>
  <c r="J25" i="33"/>
  <c r="AC25" i="33" s="1"/>
  <c r="U23" i="33"/>
  <c r="F23" i="33"/>
  <c r="G85" i="33"/>
  <c r="H19" i="33"/>
  <c r="AB19" i="33" s="1"/>
  <c r="G81" i="33"/>
  <c r="H17" i="33"/>
  <c r="U17" i="33" s="1"/>
  <c r="F17" i="33"/>
  <c r="S17" i="33" s="1"/>
  <c r="W17" i="33"/>
  <c r="AC17" i="33"/>
  <c r="AB15" i="21"/>
  <c r="J23" i="21"/>
  <c r="AC23" i="21" s="1"/>
  <c r="F85" i="21"/>
  <c r="G85" i="21" s="1"/>
  <c r="H23" i="21"/>
  <c r="S13" i="21"/>
  <c r="D6" i="52"/>
  <c r="AP7" i="1"/>
  <c r="U9" i="21"/>
  <c r="W9" i="21"/>
  <c r="AC9" i="21"/>
  <c r="A18" i="62"/>
  <c r="B64" i="72" s="1"/>
  <c r="U32" i="39"/>
  <c r="AC32" i="39"/>
  <c r="J63" i="37"/>
  <c r="K63" i="37" s="1"/>
  <c r="L63" i="37" s="1"/>
  <c r="M63" i="37" s="1"/>
  <c r="J11" i="37"/>
  <c r="AC11" i="37" s="1"/>
  <c r="J11" i="34"/>
  <c r="W11" i="34" s="1"/>
  <c r="W25" i="33"/>
  <c r="U19" i="33"/>
  <c r="AA17" i="33"/>
  <c r="U23" i="21"/>
  <c r="AB23" i="21"/>
  <c r="W23" i="21"/>
  <c r="H109" i="9"/>
  <c r="M49" i="9" s="1"/>
  <c r="H112" i="9"/>
  <c r="D21" i="53"/>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6" i="67"/>
  <c r="F42" i="15"/>
  <c r="F6" i="15"/>
  <c r="L48" i="67"/>
  <c r="D34" i="9"/>
  <c r="F40" i="15"/>
  <c r="F7" i="67"/>
  <c r="F38" i="15"/>
  <c r="E8" i="76"/>
  <c r="D35" i="9"/>
  <c r="B8" i="76"/>
  <c r="B11" i="76"/>
  <c r="E2" i="68"/>
  <c r="F4" i="73"/>
  <c r="F7" i="73"/>
  <c r="E13" i="76"/>
  <c r="B10" i="76"/>
  <c r="E11" i="76"/>
  <c r="M6" i="15"/>
  <c r="F38" i="67"/>
  <c r="B12" i="76"/>
  <c r="L48" i="15"/>
  <c r="E9" i="76"/>
  <c r="E10" i="76"/>
  <c r="F5" i="73"/>
  <c r="F16" i="15"/>
  <c r="B9" i="76"/>
  <c r="F6" i="67"/>
  <c r="M26" i="67"/>
  <c r="F36" i="15"/>
  <c r="E2" i="69"/>
  <c r="C76" i="15"/>
  <c r="L47" i="15"/>
  <c r="M29" i="15"/>
  <c r="F6" i="73"/>
  <c r="M24" i="15"/>
  <c r="B7" i="76"/>
  <c r="M26" i="15"/>
  <c r="F26" i="67"/>
  <c r="B13" i="76"/>
  <c r="M28" i="15"/>
  <c r="F43" i="67"/>
  <c r="M8" i="67"/>
  <c r="F7" i="15"/>
  <c r="F13" i="67"/>
  <c r="AO13" i="1"/>
  <c r="F3" i="73"/>
  <c r="F13" i="15"/>
  <c r="F20" i="31"/>
  <c r="M28" i="67"/>
  <c r="E12" i="76"/>
  <c r="F26" i="15"/>
  <c r="F8" i="15"/>
  <c r="L47" i="67"/>
  <c r="M24" i="67"/>
  <c r="J15" i="15"/>
  <c r="F8" i="67"/>
  <c r="F16" i="67"/>
  <c r="C76" i="67"/>
  <c r="F37" i="15"/>
  <c r="E7" i="76"/>
  <c r="F9" i="67"/>
  <c r="M22" i="67"/>
  <c r="F40" i="67"/>
  <c r="F43" i="15"/>
  <c r="F36" i="67"/>
  <c r="F37" i="67"/>
  <c r="M8" i="15"/>
  <c r="F42" i="67"/>
  <c r="D6" i="73"/>
  <c r="F9" i="15"/>
  <c r="F101" i="21" l="1"/>
  <c r="G101" i="21" s="1"/>
  <c r="H101" i="21" s="1"/>
  <c r="I101" i="21" s="1"/>
  <c r="J101" i="21" s="1"/>
  <c r="K101" i="21" s="1"/>
  <c r="L101" i="21" s="1"/>
  <c r="M101" i="21" s="1"/>
  <c r="H32" i="21"/>
  <c r="U32" i="21" s="1"/>
  <c r="F32" i="21"/>
  <c r="S32" i="21" s="1"/>
  <c r="AB44" i="21"/>
  <c r="S44" i="21"/>
  <c r="C18" i="9"/>
  <c r="D18" i="9" s="1"/>
  <c r="D78" i="43"/>
  <c r="AC38" i="21"/>
  <c r="AA38" i="21"/>
  <c r="AB38" i="21"/>
  <c r="AB42" i="21"/>
  <c r="W43" i="21"/>
  <c r="AA43" i="21"/>
  <c r="U43" i="21"/>
  <c r="S37" i="21"/>
  <c r="AC34" i="21"/>
  <c r="U34" i="21"/>
  <c r="AC27" i="21"/>
  <c r="J32" i="21"/>
  <c r="W32" i="21" s="1"/>
  <c r="S42" i="21"/>
  <c r="W36" i="21"/>
  <c r="U27" i="21"/>
  <c r="S27" i="21"/>
  <c r="F89" i="21"/>
  <c r="J26" i="21"/>
  <c r="W26" i="21" s="1"/>
  <c r="B41" i="1"/>
  <c r="F52" i="9" s="1"/>
  <c r="D93" i="9"/>
  <c r="F32" i="15"/>
  <c r="F60" i="15" s="1"/>
  <c r="F28" i="15"/>
  <c r="F32" i="67"/>
  <c r="F60" i="67" s="1"/>
  <c r="F28" i="67"/>
  <c r="F30" i="68"/>
  <c r="F48" i="68" s="1"/>
  <c r="D68" i="9"/>
  <c r="F30" i="69"/>
  <c r="F48" i="69" s="1"/>
  <c r="C21" i="68"/>
  <c r="C40" i="69"/>
  <c r="M47" i="9"/>
  <c r="C7" i="35"/>
  <c r="C48" i="35" s="1"/>
  <c r="D48" i="35" s="1"/>
  <c r="C7" i="37"/>
  <c r="C52" i="37" s="1"/>
  <c r="D52" i="37" s="1"/>
  <c r="C7" i="40"/>
  <c r="C63" i="40" s="1"/>
  <c r="AC27" i="33"/>
  <c r="AC23" i="37"/>
  <c r="U33" i="34"/>
  <c r="AA23" i="39"/>
  <c r="AZ379" i="3"/>
  <c r="AZ341" i="3"/>
  <c r="AZ306" i="3"/>
  <c r="W17" i="21"/>
  <c r="AB36" i="33"/>
  <c r="AB45" i="21"/>
  <c r="AA23" i="21"/>
  <c r="AA19" i="33"/>
  <c r="AC15" i="21"/>
  <c r="AA43" i="34"/>
  <c r="S43" i="34"/>
  <c r="AA30" i="40"/>
  <c r="AZ318" i="3"/>
  <c r="AZ364" i="3"/>
  <c r="AZ329" i="3"/>
  <c r="S11" i="39"/>
  <c r="AA11" i="39"/>
  <c r="S40" i="34"/>
  <c r="AA40" i="34"/>
  <c r="AC27" i="40"/>
  <c r="W27" i="40"/>
  <c r="AB32" i="37"/>
  <c r="U32" i="37"/>
  <c r="AZ322" i="3"/>
  <c r="S15" i="37"/>
  <c r="AA15" i="37"/>
  <c r="W12" i="37"/>
  <c r="AC12" i="37"/>
  <c r="W40" i="37"/>
  <c r="AZ539" i="3"/>
  <c r="AZ529" i="3"/>
  <c r="AZ537" i="3"/>
  <c r="AZ518" i="3"/>
  <c r="AZ526" i="3"/>
  <c r="AZ564" i="3"/>
  <c r="AZ580" i="3"/>
  <c r="AB45" i="33"/>
  <c r="S11" i="36"/>
  <c r="AB26" i="33"/>
  <c r="U46" i="34"/>
  <c r="U30" i="21"/>
  <c r="AA41" i="33"/>
  <c r="H25" i="37"/>
  <c r="F25" i="37"/>
  <c r="AZ577" i="3"/>
  <c r="AZ513" i="3"/>
  <c r="AZ575" i="3"/>
  <c r="AZ566" i="3"/>
  <c r="AZ582" i="3"/>
  <c r="AZ502" i="3"/>
  <c r="S45" i="33"/>
  <c r="U46" i="33"/>
  <c r="AB14" i="40"/>
  <c r="BL587" i="3"/>
  <c r="AZ587" i="3" s="1"/>
  <c r="BL586" i="3"/>
  <c r="AZ586" i="3" s="1"/>
  <c r="J25" i="37"/>
  <c r="AB8" i="39"/>
  <c r="AA9" i="40"/>
  <c r="S31" i="35"/>
  <c r="G587" i="3"/>
  <c r="H36" i="35"/>
  <c r="J12" i="36"/>
  <c r="AZ413" i="3"/>
  <c r="AZ14" i="3"/>
  <c r="AZ345" i="3"/>
  <c r="AZ334" i="3"/>
  <c r="AZ372" i="3"/>
  <c r="AZ347" i="3"/>
  <c r="AZ337" i="3"/>
  <c r="AZ183" i="3"/>
  <c r="AZ376" i="3"/>
  <c r="AZ309" i="3"/>
  <c r="AZ549" i="3"/>
  <c r="W47" i="34"/>
  <c r="AZ515" i="3"/>
  <c r="AZ523" i="3"/>
  <c r="AZ547" i="3"/>
  <c r="AZ569" i="3"/>
  <c r="AZ571" i="3"/>
  <c r="AZ579" i="3"/>
  <c r="AZ516" i="3"/>
  <c r="AZ524" i="3"/>
  <c r="AC28" i="21"/>
  <c r="AC11" i="35"/>
  <c r="U35" i="33"/>
  <c r="BL585" i="3"/>
  <c r="AZ585" i="3" s="1"/>
  <c r="F9" i="34"/>
  <c r="AA9" i="34" s="1"/>
  <c r="J9" i="34"/>
  <c r="J12" i="34"/>
  <c r="H12" i="34"/>
  <c r="G570" i="3"/>
  <c r="AZ217" i="3"/>
  <c r="G551" i="3"/>
  <c r="BL550" i="3"/>
  <c r="G542" i="3"/>
  <c r="BL15" i="3"/>
  <c r="AZ15" i="3" s="1"/>
  <c r="BA398" i="3"/>
  <c r="BA399" i="3"/>
  <c r="AZ399" i="3" s="1"/>
  <c r="BL401" i="3"/>
  <c r="AZ401" i="3" s="1"/>
  <c r="BL404" i="3"/>
  <c r="BL405" i="3"/>
  <c r="BL407" i="3"/>
  <c r="BA412" i="3"/>
  <c r="AZ412" i="3" s="1"/>
  <c r="BA414" i="3"/>
  <c r="AZ414" i="3" s="1"/>
  <c r="BA415" i="3"/>
  <c r="BA416" i="3"/>
  <c r="AZ416" i="3" s="1"/>
  <c r="BA418" i="3"/>
  <c r="BA421" i="3"/>
  <c r="AZ421" i="3" s="1"/>
  <c r="BA423" i="3"/>
  <c r="AZ423" i="3" s="1"/>
  <c r="BA425" i="3"/>
  <c r="BA426" i="3"/>
  <c r="BA427" i="3"/>
  <c r="AZ427" i="3" s="1"/>
  <c r="BA433" i="3"/>
  <c r="AZ433" i="3" s="1"/>
  <c r="BA435" i="3"/>
  <c r="BL437" i="3"/>
  <c r="AZ437" i="3" s="1"/>
  <c r="BL441" i="3"/>
  <c r="AZ441" i="3" s="1"/>
  <c r="BL442" i="3"/>
  <c r="BL444" i="3"/>
  <c r="G446" i="3"/>
  <c r="BL448" i="3"/>
  <c r="G450" i="3"/>
  <c r="BL466" i="3"/>
  <c r="AZ483"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A253" i="3"/>
  <c r="G574" i="3"/>
  <c r="BL16" i="3"/>
  <c r="AZ16" i="3" s="1"/>
  <c r="AZ404" i="3"/>
  <c r="AZ405" i="3"/>
  <c r="AZ407" i="3"/>
  <c r="AZ419" i="3"/>
  <c r="AZ422" i="3"/>
  <c r="BL438" i="3"/>
  <c r="BL439" i="3"/>
  <c r="AZ444" i="3"/>
  <c r="AZ448" i="3"/>
  <c r="G455" i="3"/>
  <c r="BL456" i="3"/>
  <c r="BA464" i="3"/>
  <c r="AZ464" i="3" s="1"/>
  <c r="AZ466" i="3"/>
  <c r="BL467" i="3"/>
  <c r="BL468" i="3"/>
  <c r="BL470" i="3"/>
  <c r="BL473" i="3"/>
  <c r="AZ473" i="3" s="1"/>
  <c r="BL474" i="3"/>
  <c r="BA482" i="3"/>
  <c r="BA484" i="3"/>
  <c r="AZ484" i="3" s="1"/>
  <c r="BA247" i="3"/>
  <c r="AZ247" i="3" s="1"/>
  <c r="BL247" i="3"/>
  <c r="BA249" i="3"/>
  <c r="AZ249" i="3" s="1"/>
  <c r="BL249" i="3"/>
  <c r="BA251" i="3"/>
  <c r="AZ251" i="3" s="1"/>
  <c r="BL251" i="3"/>
  <c r="BA254" i="3"/>
  <c r="AZ254" i="3" s="1"/>
  <c r="BA551" i="3"/>
  <c r="AZ551" i="3" s="1"/>
  <c r="BA550" i="3"/>
  <c r="AZ550" i="3" s="1"/>
  <c r="BL548" i="3"/>
  <c r="AZ548" i="3" s="1"/>
  <c r="G399" i="3"/>
  <c r="BL400" i="3"/>
  <c r="AZ400" i="3" s="1"/>
  <c r="BL408" i="3"/>
  <c r="BL411" i="3"/>
  <c r="BL413" i="3"/>
  <c r="G416" i="3"/>
  <c r="BL417" i="3"/>
  <c r="BL418" i="3"/>
  <c r="BL420" i="3"/>
  <c r="G423" i="3"/>
  <c r="BL424" i="3"/>
  <c r="G427" i="3"/>
  <c r="BL428" i="3"/>
  <c r="BL429" i="3"/>
  <c r="BL432" i="3"/>
  <c r="BL435" i="3"/>
  <c r="BL436" i="3"/>
  <c r="BA439" i="3"/>
  <c r="BA440" i="3"/>
  <c r="AZ440" i="3" s="1"/>
  <c r="BA442" i="3"/>
  <c r="BA445" i="3"/>
  <c r="BA447" i="3"/>
  <c r="AZ447" i="3" s="1"/>
  <c r="BA449" i="3"/>
  <c r="BL453" i="3"/>
  <c r="BL454" i="3"/>
  <c r="AZ454" i="3" s="1"/>
  <c r="G458" i="3"/>
  <c r="BL459" i="3"/>
  <c r="AZ459" i="3" s="1"/>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BA397" i="3"/>
  <c r="AZ397" i="3" s="1"/>
  <c r="BL397" i="3"/>
  <c r="BA210" i="3"/>
  <c r="AZ210" i="3" s="1"/>
  <c r="BL210" i="3"/>
  <c r="BL212" i="3"/>
  <c r="BL214" i="3"/>
  <c r="AZ214" i="3" s="1"/>
  <c r="BL225" i="3"/>
  <c r="BL226" i="3"/>
  <c r="BA239" i="3"/>
  <c r="AZ239" i="3" s="1"/>
  <c r="BL239" i="3"/>
  <c r="BA241" i="3"/>
  <c r="AZ241" i="3" s="1"/>
  <c r="BL241" i="3"/>
  <c r="BA244" i="3"/>
  <c r="AZ244" i="3" s="1"/>
  <c r="BL244" i="3"/>
  <c r="BA246" i="3"/>
  <c r="G255" i="3"/>
  <c r="BA258" i="3"/>
  <c r="BL398" i="3"/>
  <c r="G402" i="3"/>
  <c r="BL403" i="3"/>
  <c r="AZ403" i="3" s="1"/>
  <c r="G405" i="3"/>
  <c r="G406" i="3"/>
  <c r="BA408" i="3"/>
  <c r="AZ408" i="3" s="1"/>
  <c r="BA409" i="3"/>
  <c r="AZ409" i="3" s="1"/>
  <c r="BA411" i="3"/>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AZ457" i="3" s="1"/>
  <c r="BL460" i="3"/>
  <c r="AZ460" i="3" s="1"/>
  <c r="BL461" i="3"/>
  <c r="AZ461" i="3" s="1"/>
  <c r="BL463" i="3"/>
  <c r="G465" i="3"/>
  <c r="BA471" i="3"/>
  <c r="AZ471" i="3" s="1"/>
  <c r="G486" i="3"/>
  <c r="G488" i="3"/>
  <c r="BL317" i="3"/>
  <c r="BA349" i="3"/>
  <c r="AZ349" i="3" s="1"/>
  <c r="BA353" i="3"/>
  <c r="AZ353" i="3" s="1"/>
  <c r="BL353" i="3"/>
  <c r="BA358" i="3"/>
  <c r="AZ358" i="3" s="1"/>
  <c r="BL365" i="3"/>
  <c r="AZ365" i="3" s="1"/>
  <c r="BA368" i="3"/>
  <c r="AZ368" i="3" s="1"/>
  <c r="BL368" i="3"/>
  <c r="BA374" i="3"/>
  <c r="AZ374" i="3" s="1"/>
  <c r="BA388" i="3"/>
  <c r="AZ388" i="3" s="1"/>
  <c r="BA396" i="3"/>
  <c r="BA209" i="3"/>
  <c r="BL217" i="3"/>
  <c r="BA219" i="3"/>
  <c r="AZ219" i="3" s="1"/>
  <c r="BA221" i="3"/>
  <c r="BA223" i="3"/>
  <c r="AZ223" i="3" s="1"/>
  <c r="BL228" i="3"/>
  <c r="AZ228" i="3" s="1"/>
  <c r="BA230" i="3"/>
  <c r="AZ230" i="3" s="1"/>
  <c r="BL232" i="3"/>
  <c r="BL234" i="3"/>
  <c r="BA236" i="3"/>
  <c r="BA238" i="3"/>
  <c r="AZ238" i="3" s="1"/>
  <c r="BA243" i="3"/>
  <c r="AZ243" i="3" s="1"/>
  <c r="BL256" i="3"/>
  <c r="AZ256" i="3" s="1"/>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BL292" i="3"/>
  <c r="BA294" i="3"/>
  <c r="BL295" i="3"/>
  <c r="BA298" i="3"/>
  <c r="AZ298" i="3" s="1"/>
  <c r="BL301" i="3"/>
  <c r="AZ301" i="3" s="1"/>
  <c r="BL302" i="3"/>
  <c r="BA114" i="3"/>
  <c r="BL123" i="3"/>
  <c r="AZ123" i="3" s="1"/>
  <c r="BA128" i="3"/>
  <c r="AZ128" i="3" s="1"/>
  <c r="BL134" i="3"/>
  <c r="BL137" i="3"/>
  <c r="G143" i="3"/>
  <c r="BA146" i="3"/>
  <c r="AZ146" i="3" s="1"/>
  <c r="BA150" i="3"/>
  <c r="BL167" i="3"/>
  <c r="AZ167" i="3" s="1"/>
  <c r="BL185" i="3"/>
  <c r="BL193" i="3"/>
  <c r="BA205" i="3"/>
  <c r="AZ205" i="3" s="1"/>
  <c r="BA19" i="3"/>
  <c r="BA27" i="3"/>
  <c r="BA33" i="3"/>
  <c r="BL35" i="3"/>
  <c r="BA43" i="3"/>
  <c r="BA47" i="3"/>
  <c r="AZ47" i="3" s="1"/>
  <c r="BA67" i="3"/>
  <c r="AZ67" i="3" s="1"/>
  <c r="BL155" i="3"/>
  <c r="AZ155" i="3" s="1"/>
  <c r="BA164" i="3"/>
  <c r="AZ164" i="3" s="1"/>
  <c r="BA166" i="3"/>
  <c r="AZ166" i="3" s="1"/>
  <c r="BA169" i="3"/>
  <c r="AZ169" i="3" s="1"/>
  <c r="BL171" i="3"/>
  <c r="AZ171" i="3" s="1"/>
  <c r="G174" i="3"/>
  <c r="BA176" i="3"/>
  <c r="AZ176" i="3" s="1"/>
  <c r="BL179" i="3"/>
  <c r="AZ179" i="3" s="1"/>
  <c r="BA181" i="3"/>
  <c r="AZ181" i="3" s="1"/>
  <c r="BA182" i="3"/>
  <c r="BA194" i="3"/>
  <c r="AZ194" i="3" s="1"/>
  <c r="BA196" i="3"/>
  <c r="AZ196" i="3" s="1"/>
  <c r="BA202" i="3"/>
  <c r="AZ52" i="3"/>
  <c r="BA65" i="3"/>
  <c r="AZ65" i="3" s="1"/>
  <c r="BL264" i="3"/>
  <c r="BL266" i="3"/>
  <c r="BA268" i="3"/>
  <c r="BL273" i="3"/>
  <c r="BA277" i="3"/>
  <c r="AZ277" i="3" s="1"/>
  <c r="BL277" i="3"/>
  <c r="BA282" i="3"/>
  <c r="AZ282" i="3" s="1"/>
  <c r="BL282" i="3"/>
  <c r="BA284" i="3"/>
  <c r="AZ284" i="3" s="1"/>
  <c r="BL290" i="3"/>
  <c r="BL291" i="3"/>
  <c r="AZ291" i="3" s="1"/>
  <c r="BL293" i="3"/>
  <c r="BL294" i="3"/>
  <c r="BA297" i="3"/>
  <c r="BL297" i="3"/>
  <c r="BL300" i="3"/>
  <c r="BA302" i="3"/>
  <c r="AZ302" i="3" s="1"/>
  <c r="G115" i="3"/>
  <c r="BA117" i="3"/>
  <c r="BA130" i="3"/>
  <c r="AZ130" i="3" s="1"/>
  <c r="BL130" i="3"/>
  <c r="BA137" i="3"/>
  <c r="AZ137" i="3" s="1"/>
  <c r="BL138" i="3"/>
  <c r="BA140" i="3"/>
  <c r="AZ140" i="3" s="1"/>
  <c r="BA142" i="3"/>
  <c r="BL149" i="3"/>
  <c r="AZ149" i="3" s="1"/>
  <c r="BL150" i="3"/>
  <c r="BA152" i="3"/>
  <c r="AZ152" i="3" s="1"/>
  <c r="BA154" i="3"/>
  <c r="AZ154" i="3" s="1"/>
  <c r="BL162" i="3"/>
  <c r="AZ162" i="3" s="1"/>
  <c r="BA173" i="3"/>
  <c r="AZ173" i="3" s="1"/>
  <c r="BA174" i="3"/>
  <c r="G252" i="3"/>
  <c r="G254" i="3"/>
  <c r="BA259" i="3"/>
  <c r="AZ259" i="3" s="1"/>
  <c r="BL261" i="3"/>
  <c r="BA263" i="3"/>
  <c r="AZ263" i="3" s="1"/>
  <c r="BA267" i="3"/>
  <c r="AZ267" i="3" s="1"/>
  <c r="BA269" i="3"/>
  <c r="AZ269" i="3" s="1"/>
  <c r="BA271" i="3"/>
  <c r="AZ271" i="3" s="1"/>
  <c r="BL271" i="3"/>
  <c r="BA274" i="3"/>
  <c r="AZ274" i="3" s="1"/>
  <c r="BL274" i="3"/>
  <c r="BA276" i="3"/>
  <c r="BA279" i="3"/>
  <c r="BA281" i="3"/>
  <c r="G286" i="3"/>
  <c r="BL286" i="3"/>
  <c r="AZ286" i="3" s="1"/>
  <c r="BA296" i="3"/>
  <c r="BA116" i="3"/>
  <c r="AZ116" i="3" s="1"/>
  <c r="BA121" i="3"/>
  <c r="AZ121" i="3" s="1"/>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G178" i="3"/>
  <c r="BL178" i="3"/>
  <c r="AZ178" i="3" s="1"/>
  <c r="BA180" i="3"/>
  <c r="AZ180" i="3" s="1"/>
  <c r="BL182" i="3"/>
  <c r="G183" i="3"/>
  <c r="BA184" i="3"/>
  <c r="AZ184" i="3" s="1"/>
  <c r="BL187" i="3"/>
  <c r="AZ187" i="3" s="1"/>
  <c r="G188" i="3"/>
  <c r="BL189" i="3"/>
  <c r="AZ189" i="3" s="1"/>
  <c r="BL190" i="3"/>
  <c r="G191" i="3"/>
  <c r="BA192" i="3"/>
  <c r="AZ192" i="3" s="1"/>
  <c r="BL194" i="3"/>
  <c r="BA198" i="3"/>
  <c r="AZ198" i="3" s="1"/>
  <c r="G199" i="3"/>
  <c r="BA25" i="3"/>
  <c r="BL30" i="3"/>
  <c r="BL31" i="3"/>
  <c r="BL40" i="3"/>
  <c r="BL41" i="3"/>
  <c r="BA62" i="3"/>
  <c r="AZ62" i="3" s="1"/>
  <c r="BL207" i="3"/>
  <c r="BL18" i="3"/>
  <c r="G19" i="3"/>
  <c r="BL19" i="3"/>
  <c r="BA20" i="3"/>
  <c r="AZ20" i="3" s="1"/>
  <c r="BL25" i="3"/>
  <c r="BL27" i="3"/>
  <c r="AZ27" i="3" s="1"/>
  <c r="BA28" i="3"/>
  <c r="AZ28" i="3" s="1"/>
  <c r="BA31" i="3"/>
  <c r="AZ31" i="3" s="1"/>
  <c r="BA32" i="3"/>
  <c r="G38" i="3"/>
  <c r="BA38" i="3"/>
  <c r="AZ38" i="3" s="1"/>
  <c r="BA41" i="3"/>
  <c r="BA42" i="3"/>
  <c r="G46" i="3"/>
  <c r="G47" i="3"/>
  <c r="BL48" i="3"/>
  <c r="BL54" i="3"/>
  <c r="BL55" i="3"/>
  <c r="AZ55" i="3" s="1"/>
  <c r="G57" i="3"/>
  <c r="G58" i="3"/>
  <c r="BA59" i="3"/>
  <c r="AZ59" i="3" s="1"/>
  <c r="G61" i="3"/>
  <c r="BL61" i="3"/>
  <c r="G64" i="3"/>
  <c r="BA64" i="3"/>
  <c r="AZ64" i="3" s="1"/>
  <c r="G67" i="3"/>
  <c r="BL68" i="3"/>
  <c r="BA69" i="3"/>
  <c r="AZ69" i="3" s="1"/>
  <c r="G72" i="3"/>
  <c r="BL73" i="3"/>
  <c r="BA74" i="3"/>
  <c r="AZ74" i="3" s="1"/>
  <c r="BA75" i="3"/>
  <c r="AZ75" i="3" s="1"/>
  <c r="G81" i="3"/>
  <c r="G85" i="3"/>
  <c r="BL91" i="3"/>
  <c r="BL105" i="3"/>
  <c r="BL107" i="3"/>
  <c r="S18" i="36"/>
  <c r="E28" i="71"/>
  <c r="AA27" i="71"/>
  <c r="AA28" i="71"/>
  <c r="D38" i="71"/>
  <c r="C39" i="71"/>
  <c r="C31" i="71"/>
  <c r="Y30" i="71"/>
  <c r="Z30" i="71" s="1"/>
  <c r="AA38" i="71"/>
  <c r="AA39" i="71"/>
  <c r="D84" i="71"/>
  <c r="C83" i="71"/>
  <c r="AB27" i="71"/>
  <c r="V24" i="71"/>
  <c r="E23" i="71"/>
  <c r="E22" i="71" s="1"/>
  <c r="E21" i="71" s="1"/>
  <c r="E20" i="71" s="1"/>
  <c r="BL45" i="3"/>
  <c r="BA48" i="3"/>
  <c r="BA49" i="3"/>
  <c r="BA51" i="3"/>
  <c r="BL56" i="3"/>
  <c r="BA58" i="3"/>
  <c r="BL59" i="3"/>
  <c r="BL60" i="3"/>
  <c r="BA61" i="3"/>
  <c r="AZ61" i="3" s="1"/>
  <c r="BA68" i="3"/>
  <c r="BA73" i="3"/>
  <c r="BA80" i="3"/>
  <c r="BL84" i="3"/>
  <c r="BA89" i="3"/>
  <c r="BL92" i="3"/>
  <c r="BL94" i="3"/>
  <c r="AZ94" i="3" s="1"/>
  <c r="BL99" i="3"/>
  <c r="G101" i="3"/>
  <c r="BA101" i="3"/>
  <c r="BA102" i="3"/>
  <c r="BL110" i="3"/>
  <c r="BL111" i="3"/>
  <c r="AZ111" i="3" s="1"/>
  <c r="AA21" i="37"/>
  <c r="S21" i="37"/>
  <c r="P65" i="71"/>
  <c r="P66" i="71"/>
  <c r="Y26" i="71"/>
  <c r="Z26" i="71" s="1"/>
  <c r="C28" i="71"/>
  <c r="Y28" i="71"/>
  <c r="Z28" i="71" s="1"/>
  <c r="Y25" i="71"/>
  <c r="Z25" i="71" s="1"/>
  <c r="Y35" i="71"/>
  <c r="Z35" i="71" s="1"/>
  <c r="Y37" i="71"/>
  <c r="Z37" i="71" s="1"/>
  <c r="X36" i="71"/>
  <c r="X35" i="71"/>
  <c r="X38" i="71"/>
  <c r="C47" i="71"/>
  <c r="D47" i="71" s="1"/>
  <c r="D46" i="71"/>
  <c r="BL177" i="3"/>
  <c r="AZ177" i="3" s="1"/>
  <c r="G179" i="3"/>
  <c r="BL183" i="3"/>
  <c r="BA186" i="3"/>
  <c r="AZ186" i="3" s="1"/>
  <c r="BA190" i="3"/>
  <c r="AZ190" i="3" s="1"/>
  <c r="G196" i="3"/>
  <c r="BA197" i="3"/>
  <c r="AZ197" i="3" s="1"/>
  <c r="BL201" i="3"/>
  <c r="AZ201" i="3" s="1"/>
  <c r="BL203" i="3"/>
  <c r="AZ203" i="3" s="1"/>
  <c r="BA204" i="3"/>
  <c r="AZ204" i="3" s="1"/>
  <c r="BA18" i="3"/>
  <c r="G21" i="3"/>
  <c r="BL21" i="3"/>
  <c r="AZ21" i="3" s="1"/>
  <c r="G23" i="3"/>
  <c r="G29" i="3"/>
  <c r="BL29" i="3"/>
  <c r="AZ29" i="3" s="1"/>
  <c r="G33" i="3"/>
  <c r="G34" i="3"/>
  <c r="BA37" i="3"/>
  <c r="G39" i="3"/>
  <c r="BL39" i="3"/>
  <c r="AZ39" i="3" s="1"/>
  <c r="G43" i="3"/>
  <c r="G44" i="3"/>
  <c r="BA45" i="3"/>
  <c r="AZ45" i="3" s="1"/>
  <c r="BA46" i="3"/>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G98" i="3"/>
  <c r="G99" i="3"/>
  <c r="BA105" i="3"/>
  <c r="AZ105" i="3" s="1"/>
  <c r="BA106" i="3"/>
  <c r="BL108" i="3"/>
  <c r="G110" i="3"/>
  <c r="BL112" i="3"/>
  <c r="P27" i="6"/>
  <c r="Y27" i="71"/>
  <c r="Z27" i="71" s="1"/>
  <c r="AB32" i="71"/>
  <c r="AA34" i="71"/>
  <c r="AA30" i="71"/>
  <c r="AA37" i="71"/>
  <c r="C51" i="71"/>
  <c r="D56" i="71"/>
  <c r="T56" i="71"/>
  <c r="N67" i="71"/>
  <c r="B66" i="71"/>
  <c r="F66" i="71"/>
  <c r="Q67" i="71"/>
  <c r="T80" i="71"/>
  <c r="C79" i="71"/>
  <c r="AZ103" i="3"/>
  <c r="AC29" i="39"/>
  <c r="W29" i="39"/>
  <c r="F34" i="71"/>
  <c r="F35" i="71" s="1"/>
  <c r="F36" i="71" s="1"/>
  <c r="V36" i="71" s="1"/>
  <c r="AB33" i="71"/>
  <c r="AB28" i="71"/>
  <c r="T72" i="71"/>
  <c r="C71" i="71"/>
  <c r="U76" i="71"/>
  <c r="E75" i="71"/>
  <c r="E74" i="71" s="1"/>
  <c r="BL85" i="3"/>
  <c r="BA86" i="3"/>
  <c r="AZ86" i="3" s="1"/>
  <c r="BA87" i="3"/>
  <c r="BA91" i="3"/>
  <c r="AZ91" i="3" s="1"/>
  <c r="G96" i="3"/>
  <c r="BL97" i="3"/>
  <c r="AZ97" i="3" s="1"/>
  <c r="BL101" i="3"/>
  <c r="BL102" i="3"/>
  <c r="G104" i="3"/>
  <c r="G105" i="3"/>
  <c r="BL106" i="3"/>
  <c r="BA108" i="3"/>
  <c r="BA110" i="3"/>
  <c r="AZ110" i="3" s="1"/>
  <c r="F3" i="35"/>
  <c r="S25" i="40"/>
  <c r="B77" i="43"/>
  <c r="AA18" i="35"/>
  <c r="O67" i="71"/>
  <c r="C87" i="71"/>
  <c r="E79" i="71"/>
  <c r="E78" i="71" s="1"/>
  <c r="AB25" i="71"/>
  <c r="C43" i="71"/>
  <c r="C35" i="71"/>
  <c r="N68" i="71"/>
  <c r="E38" i="71"/>
  <c r="E39" i="71" s="1"/>
  <c r="E40" i="71" s="1"/>
  <c r="U40" i="71" s="1"/>
  <c r="B34" i="71"/>
  <c r="B35" i="71" s="1"/>
  <c r="B36" i="71" s="1"/>
  <c r="S36" i="71" s="1"/>
  <c r="X33" i="71"/>
  <c r="AB37" i="71"/>
  <c r="C66" i="71"/>
  <c r="AB26" i="71"/>
  <c r="S28" i="71"/>
  <c r="X28" i="71"/>
  <c r="X32" i="71"/>
  <c r="F40" i="71"/>
  <c r="V40" i="71" s="1"/>
  <c r="AB38" i="71"/>
  <c r="F75" i="71"/>
  <c r="F74" i="71" s="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K16" i="1" s="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F50" i="15"/>
  <c r="F51" i="15"/>
  <c r="F71" i="15"/>
  <c r="C6" i="15"/>
  <c r="F66" i="67"/>
  <c r="L59" i="15"/>
  <c r="N59" i="15"/>
  <c r="L58" i="15"/>
  <c r="M59" i="15"/>
  <c r="F66" i="15"/>
  <c r="Q71" i="67"/>
  <c r="F64" i="15"/>
  <c r="C27" i="67"/>
  <c r="F71" i="67"/>
  <c r="C27" i="15"/>
  <c r="F65" i="15"/>
  <c r="N59" i="67"/>
  <c r="L59" i="67"/>
  <c r="L58" i="67"/>
  <c r="M59" i="67"/>
  <c r="B13" i="70"/>
  <c r="M7" i="67"/>
  <c r="F50" i="67"/>
  <c r="F68" i="67"/>
  <c r="F64" i="67"/>
  <c r="F68" i="15"/>
  <c r="C36" i="68"/>
  <c r="D9" i="68"/>
  <c r="D9" i="69"/>
  <c r="F27" i="69"/>
  <c r="C36" i="69"/>
  <c r="M23" i="15"/>
  <c r="M23" i="67"/>
  <c r="D4" i="73"/>
  <c r="M9" i="15"/>
  <c r="J15" i="67"/>
  <c r="M22" i="15"/>
  <c r="D7" i="73"/>
  <c r="D5" i="73"/>
  <c r="M9" i="67"/>
  <c r="M29" i="67"/>
  <c r="D3" i="73"/>
  <c r="C16" i="15"/>
  <c r="C16" i="67"/>
  <c r="AB32" i="21" l="1"/>
  <c r="AA32" i="21"/>
  <c r="E26" i="43"/>
  <c r="AC26" i="21"/>
  <c r="G89" i="21"/>
  <c r="H89" i="21" s="1"/>
  <c r="I89" i="21" s="1"/>
  <c r="J89" i="21" s="1"/>
  <c r="K89" i="21" s="1"/>
  <c r="L89" i="21" s="1"/>
  <c r="M89" i="21" s="1"/>
  <c r="F26" i="21"/>
  <c r="F31" i="12"/>
  <c r="C31" i="12" s="1"/>
  <c r="F54" i="9"/>
  <c r="F48" i="9"/>
  <c r="O52" i="9" s="1"/>
  <c r="F30" i="11"/>
  <c r="M18" i="67"/>
  <c r="M18" i="15"/>
  <c r="G26" i="43"/>
  <c r="N94" i="46"/>
  <c r="J26" i="43"/>
  <c r="N370" i="46"/>
  <c r="F26" i="43"/>
  <c r="D26" i="43" s="1"/>
  <c r="C25" i="43" s="1"/>
  <c r="P6" i="1"/>
  <c r="C13" i="12" s="1"/>
  <c r="J6" i="67"/>
  <c r="J18" i="67" s="1"/>
  <c r="J6" i="15"/>
  <c r="J18" i="15" s="1"/>
  <c r="O65" i="71"/>
  <c r="D66" i="71"/>
  <c r="O66" i="71"/>
  <c r="C82" i="71"/>
  <c r="D82" i="71" s="1"/>
  <c r="D83" i="71"/>
  <c r="AZ182" i="3"/>
  <c r="AZ418" i="3"/>
  <c r="AC25" i="37"/>
  <c r="W25" i="37"/>
  <c r="G5" i="3"/>
  <c r="B3" i="3" s="1"/>
  <c r="E292" i="3" s="1"/>
  <c r="AZ108" i="3"/>
  <c r="T28" i="71"/>
  <c r="D28" i="71"/>
  <c r="U28" i="71" s="1"/>
  <c r="C27" i="71"/>
  <c r="AZ102" i="3"/>
  <c r="AZ51" i="3"/>
  <c r="D31" i="71"/>
  <c r="C32" i="71"/>
  <c r="AZ41" i="3"/>
  <c r="AZ297" i="3"/>
  <c r="AZ19" i="3"/>
  <c r="AZ435" i="3"/>
  <c r="AZ425" i="3"/>
  <c r="U12" i="34"/>
  <c r="AB12" i="34"/>
  <c r="W12" i="36"/>
  <c r="AC12" i="36"/>
  <c r="G16" i="1"/>
  <c r="F10" i="39" s="1"/>
  <c r="S10" i="39" s="1"/>
  <c r="C36" i="71"/>
  <c r="D35" i="71"/>
  <c r="C86" i="71"/>
  <c r="D86" i="71" s="1"/>
  <c r="D87" i="71"/>
  <c r="AZ101" i="3"/>
  <c r="AZ49" i="3"/>
  <c r="C40" i="71"/>
  <c r="D39" i="71"/>
  <c r="AZ150" i="3"/>
  <c r="AZ294" i="3"/>
  <c r="AZ273" i="3"/>
  <c r="AZ411" i="3"/>
  <c r="AZ415" i="3"/>
  <c r="AZ398" i="3"/>
  <c r="W12" i="34"/>
  <c r="AC12" i="34"/>
  <c r="AB36" i="35"/>
  <c r="U36" i="35"/>
  <c r="AA25" i="37"/>
  <c r="S25" i="37"/>
  <c r="C44" i="71"/>
  <c r="D43" i="71"/>
  <c r="C70" i="71"/>
  <c r="D70" i="71" s="1"/>
  <c r="D71" i="71"/>
  <c r="C78" i="71"/>
  <c r="D78" i="71" s="1"/>
  <c r="D79" i="71"/>
  <c r="N65" i="71"/>
  <c r="N66" i="71"/>
  <c r="C52" i="71"/>
  <c r="D51" i="71"/>
  <c r="AZ58" i="3"/>
  <c r="AZ25" i="3"/>
  <c r="AC9" i="34"/>
  <c r="W9" i="34"/>
  <c r="U25" i="37"/>
  <c r="AB25" i="37"/>
  <c r="J7" i="37"/>
  <c r="K1" i="73"/>
  <c r="E451" i="3"/>
  <c r="E60" i="3"/>
  <c r="E250" i="3"/>
  <c r="E284" i="3"/>
  <c r="E39" i="3"/>
  <c r="E167" i="3"/>
  <c r="E352" i="3"/>
  <c r="W6" i="3"/>
  <c r="E397" i="3"/>
  <c r="E403" i="3"/>
  <c r="E53" i="3"/>
  <c r="E390" i="3"/>
  <c r="E565" i="3"/>
  <c r="E353" i="3"/>
  <c r="Q6" i="3"/>
  <c r="E256" i="3"/>
  <c r="AG6" i="3"/>
  <c r="E121" i="3"/>
  <c r="E366" i="3"/>
  <c r="E229" i="3"/>
  <c r="E320"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C32" i="67"/>
  <c r="Q60" i="67"/>
  <c r="Q73" i="67"/>
  <c r="M11" i="67"/>
  <c r="J10" i="67" s="1"/>
  <c r="F11" i="15"/>
  <c r="M11" i="15"/>
  <c r="J10" i="15" s="1"/>
  <c r="F11" i="67"/>
  <c r="F1" i="15"/>
  <c r="Q52" i="15"/>
  <c r="C32" i="15"/>
  <c r="F1" i="67"/>
  <c r="Q52" i="67"/>
  <c r="Q60" i="15"/>
  <c r="Q73" i="15"/>
  <c r="Q61" i="67"/>
  <c r="Q74" i="67"/>
  <c r="Q74" i="15"/>
  <c r="Q61" i="15"/>
  <c r="AE11" i="1"/>
  <c r="AE9" i="1"/>
  <c r="F27" i="68"/>
  <c r="AE7" i="1"/>
  <c r="AE8" i="1"/>
  <c r="AE12" i="1"/>
  <c r="AE10" i="1"/>
  <c r="AE6" i="1"/>
  <c r="G1" i="73"/>
  <c r="F41" i="67"/>
  <c r="C28" i="43" l="1"/>
  <c r="T13" i="43" s="1"/>
  <c r="V13" i="43" s="1"/>
  <c r="S26" i="21"/>
  <c r="AA26" i="21"/>
  <c r="C48" i="11"/>
  <c r="C30" i="11"/>
  <c r="AA10" i="39"/>
  <c r="F10" i="40"/>
  <c r="S10" i="40" s="1"/>
  <c r="H10" i="40"/>
  <c r="AB10" i="40" s="1"/>
  <c r="J10" i="40"/>
  <c r="AC10" i="40" s="1"/>
  <c r="J10" i="39"/>
  <c r="W10" i="39" s="1"/>
  <c r="H10" i="39"/>
  <c r="U10" i="39" s="1"/>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407" i="3"/>
  <c r="E396" i="3"/>
  <c r="E125" i="3"/>
  <c r="E88" i="3"/>
  <c r="E576" i="3"/>
  <c r="E73" i="3"/>
  <c r="E330" i="3"/>
  <c r="AN6" i="3"/>
  <c r="E237" i="3"/>
  <c r="E97" i="3"/>
  <c r="E29" i="3"/>
  <c r="E367" i="3"/>
  <c r="E93" i="3"/>
  <c r="E288" i="3"/>
  <c r="E461" i="3"/>
  <c r="E154" i="3"/>
  <c r="E373" i="3"/>
  <c r="E209" i="3"/>
  <c r="E90" i="3"/>
  <c r="J6" i="3"/>
  <c r="E113"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551" i="3"/>
  <c r="E239" i="3"/>
  <c r="E334" i="3"/>
  <c r="E581" i="3"/>
  <c r="I6" i="3"/>
  <c r="AE6" i="3"/>
  <c r="E128" i="3"/>
  <c r="E254" i="3"/>
  <c r="E338" i="3"/>
  <c r="O6" i="3"/>
  <c r="E272" i="3"/>
  <c r="U6" i="3"/>
  <c r="E208" i="3"/>
  <c r="E532" i="3"/>
  <c r="E307" i="3"/>
  <c r="E459" i="3"/>
  <c r="E375" i="3"/>
  <c r="E520" i="3"/>
  <c r="E524" i="3"/>
  <c r="E188" i="3"/>
  <c r="E81"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94" i="3"/>
  <c r="E559" i="3"/>
  <c r="N6" i="3"/>
  <c r="E316" i="3"/>
  <c r="E558" i="3"/>
  <c r="E32" i="3"/>
  <c r="E344" i="3"/>
  <c r="E238" i="3"/>
  <c r="E221" i="3"/>
  <c r="E418" i="3"/>
  <c r="E426" i="3"/>
  <c r="E126" i="3"/>
  <c r="E379" i="3"/>
  <c r="E54" i="3"/>
  <c r="E313" i="3"/>
  <c r="E98" i="3"/>
  <c r="Y6" i="3"/>
  <c r="E582" i="3"/>
  <c r="E421" i="3"/>
  <c r="AQ6" i="3"/>
  <c r="E412" i="3"/>
  <c r="J5" i="67"/>
  <c r="J24" i="67" s="1"/>
  <c r="E510" i="3"/>
  <c r="E536" i="3"/>
  <c r="E442" i="3"/>
  <c r="E554" i="3"/>
  <c r="E95" i="3"/>
  <c r="E389" i="3"/>
  <c r="E64" i="3"/>
  <c r="E310" i="3"/>
  <c r="E233" i="3"/>
  <c r="E309" i="3"/>
  <c r="AL6" i="3"/>
  <c r="E235"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212" i="3"/>
  <c r="E466" i="3"/>
  <c r="E517" i="3"/>
  <c r="E152" i="3"/>
  <c r="E544" i="3"/>
  <c r="E46" i="3"/>
  <c r="E492" i="3"/>
  <c r="E355" i="3"/>
  <c r="E513" i="3"/>
  <c r="E42" i="3"/>
  <c r="E383"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575" i="3"/>
  <c r="E449" i="3"/>
  <c r="E417" i="3"/>
  <c r="E241" i="3"/>
  <c r="E409" i="3"/>
  <c r="E267" i="3"/>
  <c r="E67" i="3"/>
  <c r="E63" i="3"/>
  <c r="E198" i="3"/>
  <c r="E18"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3" i="6"/>
  <c r="E65" i="3"/>
  <c r="E398" i="3"/>
  <c r="E176" i="3"/>
  <c r="E299" i="3"/>
  <c r="E346" i="3"/>
  <c r="E440" i="3"/>
  <c r="E326" i="3"/>
  <c r="E225" i="3"/>
  <c r="E456" i="3"/>
  <c r="E206" i="3"/>
  <c r="E33" i="3"/>
  <c r="E479" i="3"/>
  <c r="E358" i="3"/>
  <c r="E569" i="3"/>
  <c r="E282" i="3"/>
  <c r="E480" i="3"/>
  <c r="E295" i="3"/>
  <c r="E404" i="3"/>
  <c r="E443" i="3"/>
  <c r="E164" i="3"/>
  <c r="E394" i="3"/>
  <c r="E55" i="3"/>
  <c r="E424" i="3"/>
  <c r="E120" i="3"/>
  <c r="E156" i="3"/>
  <c r="E402" i="3"/>
  <c r="E17" i="3"/>
  <c r="E169" i="3"/>
  <c r="E506" i="3"/>
  <c r="E359" i="3"/>
  <c r="E153" i="3"/>
  <c r="AM6" i="3"/>
  <c r="E71" i="3"/>
  <c r="E432" i="3"/>
  <c r="E145" i="3"/>
  <c r="E357" i="3"/>
  <c r="E475" i="3"/>
  <c r="E438" i="3"/>
  <c r="E157" i="3"/>
  <c r="E122" i="3"/>
  <c r="E504" i="3"/>
  <c r="E195" i="3"/>
  <c r="E66" i="3"/>
  <c r="E341" i="3"/>
  <c r="E464" i="3"/>
  <c r="E138" i="3"/>
  <c r="E312" i="3"/>
  <c r="E521" i="3"/>
  <c r="E552" i="3"/>
  <c r="E364" i="3"/>
  <c r="E170" i="3"/>
  <c r="E178" i="3"/>
  <c r="E427" i="3"/>
  <c r="E232" i="3"/>
  <c r="E26" i="3"/>
  <c r="E525" i="3"/>
  <c r="E96" i="3"/>
  <c r="E249" i="3"/>
  <c r="E255" i="3"/>
  <c r="E230" i="3"/>
  <c r="V6" i="3"/>
  <c r="E151" i="3"/>
  <c r="E516" i="3"/>
  <c r="E553" i="3"/>
  <c r="E30" i="3"/>
  <c r="E166" i="3"/>
  <c r="E444" i="3"/>
  <c r="P6" i="3"/>
  <c r="E236" i="3"/>
  <c r="E274" i="3"/>
  <c r="E496" i="3"/>
  <c r="E437" i="3"/>
  <c r="E262" i="3"/>
  <c r="AA6" i="3"/>
  <c r="E159" i="3"/>
  <c r="E213" i="3"/>
  <c r="E298" i="3"/>
  <c r="S6" i="3"/>
  <c r="E574" i="3"/>
  <c r="E501" i="3"/>
  <c r="E291" i="3"/>
  <c r="E546" i="3"/>
  <c r="E548" i="3"/>
  <c r="E196" i="3"/>
  <c r="E257" i="3"/>
  <c r="E471" i="3"/>
  <c r="E529" i="3"/>
  <c r="E306" i="3"/>
  <c r="E82" i="3"/>
  <c r="E413" i="3"/>
  <c r="E488" i="3"/>
  <c r="E259" i="3"/>
  <c r="E47" i="3"/>
  <c r="E19" i="3"/>
  <c r="E57" i="3"/>
  <c r="E51" i="3"/>
  <c r="E155" i="3"/>
  <c r="E101" i="3"/>
  <c r="E123" i="3"/>
  <c r="E15" i="3"/>
  <c r="E463" i="3"/>
  <c r="E393" i="3"/>
  <c r="E324" i="3"/>
  <c r="E13" i="3"/>
  <c r="E205" i="3"/>
  <c r="E281" i="3"/>
  <c r="E484" i="3"/>
  <c r="E499" i="3"/>
  <c r="J5" i="15"/>
  <c r="J24" i="15" s="1"/>
  <c r="T32" i="71"/>
  <c r="D32" i="71"/>
  <c r="C26" i="71"/>
  <c r="D26" i="71" s="1"/>
  <c r="D27" i="71"/>
  <c r="T52" i="71"/>
  <c r="D52" i="71"/>
  <c r="D44" i="71"/>
  <c r="T44" i="71"/>
  <c r="D36" i="71"/>
  <c r="T36" i="71"/>
  <c r="E86" i="3"/>
  <c r="E174" i="3"/>
  <c r="E482" i="3"/>
  <c r="E391" i="3"/>
  <c r="E494" i="3"/>
  <c r="E283" i="3"/>
  <c r="E68" i="3"/>
  <c r="E184" i="3"/>
  <c r="E84" i="3"/>
  <c r="E371" i="3"/>
  <c r="E160" i="3"/>
  <c r="E467" i="3"/>
  <c r="E59" i="3"/>
  <c r="E349" i="3"/>
  <c r="E258" i="3"/>
  <c r="E37" i="3"/>
  <c r="E491" i="3"/>
  <c r="AP6" i="3"/>
  <c r="E430" i="3"/>
  <c r="E502" i="3"/>
  <c r="E286" i="3"/>
  <c r="E539" i="3"/>
  <c r="E522" i="3"/>
  <c r="E129" i="3"/>
  <c r="E75" i="3"/>
  <c r="E332" i="3"/>
  <c r="E21" i="3"/>
  <c r="E264" i="3"/>
  <c r="E381" i="3"/>
  <c r="E144" i="3"/>
  <c r="E23" i="3"/>
  <c r="E300" i="3"/>
  <c r="E103" i="3"/>
  <c r="E425" i="3"/>
  <c r="E76" i="3"/>
  <c r="E363" i="3"/>
  <c r="E192" i="3"/>
  <c r="E56" i="3"/>
  <c r="E435" i="3"/>
  <c r="I3" i="6"/>
  <c r="E541" i="3"/>
  <c r="R6" i="3"/>
  <c r="E199" i="3"/>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C40"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M27" i="67"/>
  <c r="M27" i="15"/>
  <c r="F41" i="15"/>
  <c r="C38" i="43" l="1"/>
  <c r="G38" i="43" s="1"/>
  <c r="I38" i="43" s="1"/>
  <c r="T2" i="43"/>
  <c r="V2" i="43" s="1"/>
  <c r="C42" i="43"/>
  <c r="E42" i="43" s="1"/>
  <c r="T10" i="43"/>
  <c r="V10" i="43" s="1"/>
  <c r="C39" i="43"/>
  <c r="E39" i="43" s="1"/>
  <c r="T7" i="43"/>
  <c r="V7" i="43" s="1"/>
  <c r="C33" i="43"/>
  <c r="T3" i="43"/>
  <c r="V3" i="43" s="1"/>
  <c r="T12" i="43"/>
  <c r="V12" i="43" s="1"/>
  <c r="T9" i="43"/>
  <c r="V9" i="43" s="1"/>
  <c r="C41" i="43"/>
  <c r="G41" i="43" s="1"/>
  <c r="I41" i="43" s="1"/>
  <c r="T5" i="43"/>
  <c r="V5" i="43" s="1"/>
  <c r="T4" i="43"/>
  <c r="V4" i="43" s="1"/>
  <c r="T14" i="43"/>
  <c r="V14" i="43" s="1"/>
  <c r="T11" i="43"/>
  <c r="V11" i="43" s="1"/>
  <c r="C37" i="43"/>
  <c r="E37" i="43" s="1"/>
  <c r="T6" i="43"/>
  <c r="V6" i="43" s="1"/>
  <c r="T8" i="43"/>
  <c r="V8" i="43" s="1"/>
  <c r="T16" i="43"/>
  <c r="V16" i="43" s="1"/>
  <c r="F25" i="12"/>
  <c r="C26" i="12" s="1"/>
  <c r="D25" i="12" s="1"/>
  <c r="W10" i="40"/>
  <c r="AC6" i="3"/>
  <c r="H6" i="3"/>
  <c r="F22" i="68"/>
  <c r="C44" i="68" s="1"/>
  <c r="D41" i="68" s="1"/>
  <c r="D116" i="43"/>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40" i="43"/>
  <c r="G40" i="43"/>
  <c r="I40" i="43" s="1"/>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8"/>
  <c r="D10" i="69"/>
  <c r="C34" i="69"/>
  <c r="C17" i="67"/>
  <c r="C14" i="67"/>
  <c r="C17" i="15"/>
  <c r="C34" i="43" l="1"/>
  <c r="E34" i="43" s="1"/>
  <c r="C6" i="69"/>
  <c r="C7" i="69" s="1"/>
  <c r="G42" i="43"/>
  <c r="I42" i="43" s="1"/>
  <c r="E41" i="43"/>
  <c r="E33" i="43"/>
  <c r="G39" i="43"/>
  <c r="I39" i="43" s="1"/>
  <c r="E38" i="43"/>
  <c r="G37" i="43"/>
  <c r="I37" i="43" s="1"/>
  <c r="E6" i="3"/>
  <c r="C26" i="68"/>
  <c r="D22" i="68" s="1"/>
  <c r="F41" i="68"/>
  <c r="C23" i="68"/>
  <c r="C26" i="11"/>
  <c r="D22" i="11" s="1"/>
  <c r="C44" i="11"/>
  <c r="D41" i="11" s="1"/>
  <c r="C25" i="11"/>
  <c r="C24" i="11"/>
  <c r="C44" i="69"/>
  <c r="D41" i="69" s="1"/>
  <c r="C26" i="69"/>
  <c r="D22" i="69" s="1"/>
  <c r="C16" i="71"/>
  <c r="D17"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5" i="69" l="1"/>
  <c r="C23" i="69" s="1"/>
  <c r="C31" i="43"/>
  <c r="C30" i="43"/>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E6" i="76"/>
  <c r="E2" i="76" l="1"/>
  <c r="B2" i="43"/>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B6" i="76"/>
  <c r="B2" i="76" l="1"/>
  <c r="B3" i="76" s="1"/>
  <c r="B3" i="43"/>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F35" i="67"/>
  <c r="M21" i="15"/>
  <c r="M21" i="67"/>
  <c r="E48" i="21" l="1"/>
  <c r="E52" i="21" s="1"/>
  <c r="F52" i="2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G42" i="35"/>
  <c r="H42" i="35" s="1"/>
  <c r="K65" i="40"/>
  <c r="L63" i="40"/>
  <c r="I53" i="21" l="1"/>
  <c r="J53" i="21" s="1"/>
  <c r="E53" i="21"/>
  <c r="F53" i="21"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B3" i="69"/>
  <c r="D2" i="21"/>
  <c r="C10" i="71" l="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19" i="9"/>
  <c r="L51" i="67"/>
  <c r="D2" i="33"/>
  <c r="D102" i="9" l="1"/>
  <c r="D21" i="9"/>
  <c r="B3" i="2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0" i="9"/>
  <c r="C19" i="9"/>
  <c r="D2" i="34"/>
  <c r="L51" i="15"/>
  <c r="D2" i="36"/>
  <c r="D2" i="37"/>
  <c r="D2" i="35"/>
  <c r="D103" i="9" l="1"/>
  <c r="C102" i="9"/>
  <c r="G19" i="9"/>
  <c r="G21" i="9" s="1"/>
  <c r="D22" i="9"/>
  <c r="C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AO7" i="1"/>
  <c r="AO6" i="1"/>
  <c r="AO12" i="1"/>
  <c r="AO10" i="1"/>
  <c r="AO11" i="1"/>
  <c r="AO8" i="1"/>
  <c r="AO9" i="1"/>
  <c r="C103" i="9" l="1"/>
  <c r="G20" i="9"/>
  <c r="C32" i="9" s="1"/>
  <c r="C35" i="9" s="1"/>
  <c r="C34"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B32" i="72" l="1"/>
  <c r="D14" i="53"/>
  <c r="E97" i="9"/>
  <c r="E96" i="9"/>
  <c r="C96" i="9"/>
  <c r="D9" i="52"/>
  <c r="D123" i="9"/>
  <c r="C73" i="9"/>
  <c r="C78" i="9"/>
  <c r="B31" i="72"/>
  <c r="D15" i="53"/>
  <c r="H5" i="52"/>
  <c r="H119" i="9"/>
  <c r="B53" i="72"/>
  <c r="F5" i="52"/>
  <c r="F119" i="9"/>
  <c r="B49" i="72"/>
  <c r="D5" i="52"/>
  <c r="D119" i="9"/>
  <c r="C81" i="9"/>
  <c r="H4" i="52"/>
  <c r="C104" i="9"/>
  <c r="N61" i="9"/>
  <c r="N59" i="9"/>
  <c r="N60" i="9"/>
  <c r="D13" i="53"/>
  <c r="B30" i="72"/>
  <c r="I4" i="52"/>
  <c r="C105" i="9"/>
  <c r="B52" i="72"/>
  <c r="G4" i="52"/>
  <c r="C5" i="74"/>
  <c r="C68" i="9"/>
  <c r="D54" i="9"/>
  <c r="C86" i="9"/>
  <c r="C93" i="9"/>
  <c r="H102" i="9"/>
  <c r="D7" i="53"/>
  <c r="B21" i="72"/>
  <c r="B48" i="72"/>
  <c r="E4" i="52"/>
  <c r="B20" i="72"/>
  <c r="D122" i="9"/>
  <c r="D8" i="52"/>
  <c r="P57" i="9"/>
  <c r="D55" i="9"/>
  <c r="M53" i="9"/>
  <c r="N57" i="9"/>
  <c r="N58" i="9"/>
  <c r="C64" i="9"/>
  <c r="C63" i="9"/>
  <c r="C67" i="9"/>
  <c r="D59" i="9"/>
  <c r="M55" i="9"/>
  <c r="D52" i="9"/>
  <c r="D53" i="9"/>
  <c r="M48" i="9"/>
  <c r="B47" i="72"/>
  <c r="E118" i="9"/>
  <c r="D118" i="9"/>
  <c r="D4" i="52"/>
  <c r="D5" i="53"/>
  <c r="D6" i="53"/>
  <c r="B22" i="72"/>
  <c r="H107" i="9"/>
  <c r="H108" i="9"/>
  <c r="C6" i="74"/>
  <c r="C85" i="9"/>
  <c r="C95" i="9"/>
  <c r="C97" i="9"/>
  <c r="D58" i="9"/>
  <c r="D56" i="9"/>
  <c r="M54" i="9"/>
  <c r="G118" i="9"/>
  <c r="F118" i="9"/>
  <c r="F4" i="52"/>
  <c r="B51" i="72"/>
  <c r="I118" i="9"/>
  <c r="H118" i="9"/>
  <c r="H101" i="9"/>
  <c r="D45" i="9"/>
  <c r="C72" i="9"/>
  <c r="C79" i="9"/>
  <c r="C80" i="9"/>
  <c r="E80" i="9"/>
  <c r="E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<sst xmlns="http://schemas.openxmlformats.org/spreadsheetml/2006/main" count="8097" uniqueCount="3531">
  <si>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</si>
  <si>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</si>
  <si>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</si>
  <si>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</si>
  <si>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</si>
  <si>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</si>
  <si>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</si>
  <si>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</si>
  <si>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</si>
  <si>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</si>
  <si>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</si>
  <si>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</si>
  <si>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</si>
  <si>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</si>
  <si>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</si>
  <si>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</si>
  <si>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</si>
  <si>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</si>
  <si>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</si>
  <si>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</si>
  <si>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</si>
  <si>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</si>
  <si>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</si>
  <si>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</si>
  <si>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</si>
  <si>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</si>
  <si>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</si>
  <si>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</si>
  <si>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</si>
  <si>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</si>
  <si>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</si>
  <si>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</si>
  <si>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</si>
  <si>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</si>
  <si>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</si>
  <si>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</si>
  <si>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</si>
  <si>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</si>
  <si>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</si>
  <si>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</si>
  <si>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</si>
  <si>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</si>
  <si>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</si>
  <si>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</si>
  <si>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</si>
  <si>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</si>
  <si>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</si>
  <si>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</si>
  <si>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</si>
  <si>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</si>
  <si>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</si>
  <si>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</si>
  <si>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</si>
  <si>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</si>
  <si>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</si>
  <si>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</si>
  <si>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</si>
  <si>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</si>
  <si>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</si>
  <si>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</si>
  <si>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</si>
  <si>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</si>
  <si>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</si>
  <si>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</si>
  <si>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</si>
  <si>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</si>
  <si>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</si>
  <si>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</si>
  <si>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</si>
  <si>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</si>
  <si>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</si>
  <si>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</si>
  <si>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</si>
  <si>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</si>
  <si>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</si>
  <si>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</si>
  <si>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</si>
  <si>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</si>
  <si>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</si>
  <si>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</si>
  <si>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</si>
  <si>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</si>
  <si>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</si>
  <si>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</si>
  <si>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</si>
  <si>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</si>
  <si>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</si>
  <si>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</si>
  <si>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</si>
  <si>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</si>
  <si>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</si>
  <si>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</si>
  <si>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</si>
  <si>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</si>
  <si>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</si>
  <si>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</si>
  <si>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</si>
  <si>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</si>
  <si>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</si>
  <si>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</si>
  <si>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</si>
  <si>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</si>
  <si>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</si>
  <si>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</si>
  <si>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</si>
  <si>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</si>
  <si>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</si>
  <si>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</si>
  <si>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</si>
  <si>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</si>
  <si>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</si>
  <si>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</si>
  <si>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</si>
  <si>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</si>
  <si>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</si>
  <si>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</si>
  <si>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</si>
  <si>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</si>
  <si>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</si>
  <si>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</si>
  <si>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</si>
  <si>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</si>
  <si>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</si>
  <si>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</si>
  <si>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</si>
  <si>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</si>
  <si>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</si>
  <si>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</si>
  <si>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</si>
  <si>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</si>
  <si>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</si>
  <si>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</si>
  <si>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</si>
  <si>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</si>
  <si>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</si>
  <si>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</si>
  <si>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</si>
  <si>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</si>
  <si>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</si>
  <si>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</si>
  <si>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</si>
  <si>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</si>
  <si>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</si>
  <si>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</si>
  <si>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</si>
  <si>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</si>
  <si>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</si>
  <si>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</si>
  <si>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</si>
  <si>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</si>
  <si>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</si>
  <si>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</si>
  <si>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</si>
  <si>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</si>
  <si>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</si>
  <si>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</si>
  <si>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</si>
  <si>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</si>
  <si>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</si>
  <si>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</si>
  <si>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</si>
  <si>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</si>
  <si>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</si>
  <si>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</si>
  <si>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</si>
  <si>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</si>
  <si>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</si>
  <si>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</si>
  <si>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</si>
  <si>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</si>
  <si>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</si>
  <si>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</si>
  <si>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</si>
  <si>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</si>
  <si>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</si>
  <si>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</si>
  <si>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</si>
  <si>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</si>
  <si>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</si>
  <si>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</si>
  <si>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</si>
  <si>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</si>
  <si>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</si>
  <si>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</si>
  <si>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</si>
  <si>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</si>
  <si>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</si>
  <si>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</si>
  <si>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</si>
  <si>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</si>
  <si>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</si>
  <si>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</si>
  <si>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</si>
  <si>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</si>
  <si>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</si>
  <si>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</si>
  <si>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</si>
  <si>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</si>
  <si>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</si>
  <si>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</si>
  <si>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</si>
  <si>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</si>
  <si>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</si>
  <si>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</si>
  <si>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</si>
  <si>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</si>
  <si>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</si>
  <si>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</si>
  <si>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</si>
  <si>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</si>
  <si>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</si>
  <si>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</si>
  <si>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</si>
  <si>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</si>
  <si>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</si>
  <si>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</si>
  <si>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</si>
  <si>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</si>
  <si>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</si>
  <si>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</si>
  <si>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</si>
  <si>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</si>
  <si>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</si>
  <si>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</si>
  <si>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</si>
  <si>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</si>
  <si>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</si>
  <si>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</si>
  <si>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</si>
  <si>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</si>
  <si>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</si>
  <si>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</si>
  <si>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</si>
  <si>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</si>
  <si>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</si>
  <si>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</si>
  <si>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</si>
  <si>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</si>
  <si>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</si>
  <si>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</si>
  <si>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</si>
  <si>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</si>
  <si>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</si>
  <si>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</si>
  <si>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</si>
  <si>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</si>
  <si>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</si>
  <si>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</si>
  <si>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</si>
  <si>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</si>
  <si>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</si>
  <si>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</si>
  <si>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</si>
  <si>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</si>
  <si>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</si>
  <si>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</si>
  <si>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</si>
  <si>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</si>
  <si>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</si>
  <si>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</si>
  <si>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</si>
  <si>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</si>
  <si>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</si>
  <si>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</si>
  <si>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</si>
  <si>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</si>
  <si>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</si>
  <si>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</si>
  <si>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</si>
  <si>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</si>
  <si>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</si>
  <si>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</si>
  <si>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</si>
  <si>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</si>
  <si>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</si>
  <si>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</si>
  <si>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</si>
  <si>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</si>
  <si>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</si>
  <si>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</si>
  <si>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</si>
  <si>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</si>
  <si>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</si>
  <si>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</si>
  <si>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</si>
  <si>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</si>
  <si>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</si>
  <si>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</si>
  <si>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</si>
  <si>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</si>
  <si>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</si>
  <si>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</si>
  <si>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</si>
  <si>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</si>
  <si>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</si>
  <si>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</si>
  <si>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</si>
  <si>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</si>
  <si>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</si>
  <si>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</si>
  <si>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</si>
  <si>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</si>
  <si>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</si>
  <si>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</si>
  <si>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</si>
  <si>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</si>
  <si>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</si>
  <si>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</si>
  <si>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</si>
  <si>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</si>
  <si>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</si>
  <si>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</si>
  <si>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</si>
  <si>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</si>
  <si>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</si>
  <si>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</si>
  <si>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</si>
  <si>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</si>
  <si>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</si>
  <si>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</si>
  <si>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</si>
  <si>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</si>
  <si>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</si>
  <si>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</si>
  <si>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</si>
  <si>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</si>
  <si>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</si>
  <si>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</si>
  <si>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</si>
  <si>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</si>
  <si>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</si>
  <si>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</si>
  <si>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</si>
  <si>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</si>
  <si>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</si>
  <si>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</si>
  <si>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</si>
  <si>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</si>
  <si>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</si>
  <si>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</si>
  <si>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</si>
  <si>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</si>
  <si>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</si>
  <si>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</si>
  <si>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</si>
  <si>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</si>
  <si>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</si>
  <si>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</si>
  <si>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</si>
  <si>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</si>
  <si>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</si>
  <si>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</si>
  <si>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</si>
  <si>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</si>
  <si>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</si>
  <si>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</si>
  <si>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</si>
  <si>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</si>
  <si>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</si>
  <si>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</si>
  <si>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</si>
  <si>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</si>
  <si>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</si>
  <si>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</si>
  <si>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</si>
  <si>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</si>
  <si>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</si>
  <si>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</si>
  <si>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</si>
  <si>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</si>
  <si>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</si>
  <si>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</si>
  <si>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</si>
  <si>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</si>
  <si>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</si>
  <si>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</si>
  <si>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</si>
  <si>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</si>
  <si>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</si>
  <si>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</si>
  <si>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</si>
  <si>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</si>
  <si>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</si>
  <si>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</si>
  <si>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</si>
  <si>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</si>
  <si>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</si>
  <si>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</si>
  <si>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</si>
  <si>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</si>
  <si>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</si>
  <si>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</si>
  <si>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</si>
  <si>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</si>
  <si>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</si>
  <si>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</si>
  <si>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</si>
  <si>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</si>
  <si>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</si>
  <si>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</si>
  <si>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</si>
  <si>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</si>
  <si>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</si>
  <si>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</si>
  <si>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</si>
  <si>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</si>
  <si>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</si>
  <si>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</si>
  <si>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</si>
  <si>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</si>
  <si>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</si>
  <si>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</si>
  <si>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</si>
  <si>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</si>
  <si>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</si>
  <si>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</si>
  <si>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</si>
  <si>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</si>
  <si>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</si>
  <si>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</si>
  <si>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</si>
  <si>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</si>
  <si>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</si>
  <si>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</si>
  <si>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</si>
  <si>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</si>
  <si>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</si>
  <si>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</si>
  <si>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</si>
  <si>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</si>
  <si>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</si>
  <si>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</si>
  <si>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</si>
  <si>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</si>
  <si>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</si>
  <si>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</si>
  <si>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</si>
  <si>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</si>
  <si>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</si>
  <si>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</si>
  <si>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</si>
  <si>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</si>
  <si>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</si>
  <si>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</si>
  <si>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</si>
  <si>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</si>
  <si>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</si>
  <si>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</si>
  <si>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</si>
  <si>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</si>
  <si>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</si>
  <si>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</si>
  <si>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</si>
  <si>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</si>
  <si>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</si>
  <si>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</si>
  <si>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</si>
  <si>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</si>
  <si>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</si>
  <si>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</si>
  <si>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</si>
  <si>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</si>
  <si>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</si>
  <si>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</si>
  <si>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</si>
  <si>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</si>
  <si>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</si>
  <si>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</si>
  <si>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</si>
  <si>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</si>
  <si>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</si>
  <si>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</si>
  <si>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</si>
  <si>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</si>
  <si>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</si>
  <si>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</si>
  <si>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</si>
  <si>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</si>
  <si>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</si>
  <si>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</si>
  <si>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</si>
  <si>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</si>
  <si>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</si>
  <si>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</si>
  <si>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</si>
  <si>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</si>
  <si>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</si>
  <si>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</si>
  <si>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</si>
  <si>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</si>
  <si>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</si>
  <si>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</si>
  <si>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</si>
  <si>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</si>
  <si>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</si>
  <si>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</si>
  <si>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</si>
  <si>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</si>
  <si>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</si>
  <si>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</si>
  <si>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</si>
  <si>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</si>
  <si>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</si>
  <si>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</si>
  <si>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</si>
  <si>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</si>
  <si>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</si>
  <si>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</si>
  <si>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</si>
  <si>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</si>
  <si>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</si>
  <si>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</si>
  <si>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</si>
  <si>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</si>
  <si>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</si>
  <si>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</si>
  <si>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</si>
  <si>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</si>
  <si>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</si>
  <si>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</si>
  <si>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</si>
  <si>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</si>
  <si>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</si>
  <si>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</si>
  <si>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</si>
  <si>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</si>
  <si>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</si>
  <si>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</si>
  <si>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</si>
  <si>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</si>
  <si>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</si>
  <si>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</si>
  <si>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</si>
  <si>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</si>
  <si>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</si>
  <si>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</si>
  <si>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</si>
  <si>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</si>
  <si>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</si>
  <si>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</si>
  <si>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</si>
  <si>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</si>
  <si>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</si>
  <si>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</si>
  <si>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</si>
  <si>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</si>
  <si>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</si>
  <si>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</si>
  <si>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</si>
  <si>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</si>
  <si>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</si>
  <si>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</si>
  <si>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</si>
  <si>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</si>
  <si>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</si>
  <si>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</si>
  <si>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</si>
  <si>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</si>
  <si>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</si>
  <si>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</si>
  <si>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</si>
  <si>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</si>
  <si>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</si>
  <si>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</si>
  <si>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</si>
  <si>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</si>
  <si>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</si>
  <si>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</si>
  <si>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</si>
  <si>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</si>
  <si>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</si>
  <si>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</si>
  <si>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</si>
  <si>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</si>
  <si>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</si>
  <si>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</si>
  <si>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</si>
  <si>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</si>
  <si>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</si>
  <si>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</si>
  <si>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</si>
  <si>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</si>
  <si>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</si>
  <si>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</si>
  <si>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</si>
  <si>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</si>
  <si>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</si>
  <si>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</si>
  <si>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</si>
  <si>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</si>
  <si>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</si>
  <si>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</si>
  <si>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</si>
  <si>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</si>
  <si>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</si>
  <si>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</si>
  <si>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</si>
  <si>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</si>
  <si>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</si>
  <si>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</si>
  <si>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</si>
  <si>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</si>
  <si>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</si>
  <si>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</si>
  <si>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</si>
  <si>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</si>
  <si>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</si>
  <si>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</si>
  <si>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</si>
  <si>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</si>
  <si>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</si>
  <si>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</si>
  <si>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</si>
  <si>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</si>
  <si>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</si>
  <si>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</si>
  <si>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</si>
  <si>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</si>
  <si>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</si>
  <si>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</si>
  <si>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</si>
  <si>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</si>
  <si>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</si>
  <si>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</si>
  <si>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</si>
  <si>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</si>
  <si>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</si>
  <si>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</si>
  <si>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</si>
  <si>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</si>
  <si>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</si>
  <si>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</si>
  <si>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</si>
  <si>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</si>
  <si>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</si>
  <si>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</si>
  <si>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</si>
  <si>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</si>
  <si>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</si>
  <si>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</si>
  <si>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</si>
  <si>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</si>
  <si>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</si>
  <si>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</si>
  <si>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</si>
  <si>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</si>
  <si>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</si>
  <si>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</si>
  <si>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</si>
  <si>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</si>
  <si>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</si>
  <si>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</si>
  <si>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</si>
  <si>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</si>
  <si>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</si>
  <si>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</si>
  <si>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</si>
  <si>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</si>
  <si>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</si>
  <si>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</si>
  <si>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</si>
  <si>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</si>
  <si>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</si>
  <si>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</si>
  <si>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</si>
  <si>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</si>
  <si>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</si>
  <si>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</si>
  <si>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</si>
  <si>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</si>
  <si>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</si>
  <si>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</si>
  <si>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</si>
  <si>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</si>
  <si>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</si>
  <si>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</si>
  <si>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</si>
  <si>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</si>
  <si>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</si>
  <si>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</si>
  <si>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</si>
  <si>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</si>
  <si>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</si>
  <si>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</si>
  <si>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</si>
  <si>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</si>
  <si>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</si>
  <si>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</si>
  <si>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</si>
  <si>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</si>
  <si>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</si>
  <si>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</si>
  <si>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</si>
  <si>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</si>
  <si>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</si>
  <si>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</si>
  <si>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</si>
  <si>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</si>
  <si>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</si>
  <si>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</si>
  <si>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</si>
  <si>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</si>
  <si>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</si>
  <si>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</si>
  <si>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</si>
  <si>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</si>
  <si>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</si>
  <si>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</si>
  <si>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</si>
  <si>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</si>
  <si>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</si>
  <si>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</si>
  <si>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</si>
  <si>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</si>
  <si>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</si>
  <si>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</si>
  <si>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</si>
  <si>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</si>
  <si>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</si>
  <si>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</si>
  <si>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</si>
  <si>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</si>
  <si>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</si>
  <si>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</si>
  <si>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</si>
  <si>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</si>
  <si>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</si>
  <si>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</si>
  <si>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</si>
  <si>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</si>
  <si>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</si>
  <si>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</si>
  <si>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</si>
  <si>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</si>
  <si>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</si>
  <si>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</si>
  <si>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</si>
  <si>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</si>
  <si>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</si>
  <si>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</si>
  <si>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</si>
  <si>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</si>
  <si>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</si>
  <si>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</si>
  <si>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</si>
  <si>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</si>
  <si>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</si>
  <si>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</si>
  <si>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</si>
  <si>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</si>
  <si>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</si>
  <si>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</si>
  <si>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</si>
  <si>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</si>
  <si>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</si>
  <si>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</si>
  <si>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</si>
  <si>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</si>
  <si>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</si>
  <si>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</si>
  <si>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</si>
  <si>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</si>
  <si>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</si>
  <si>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</si>
  <si>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</si>
  <si>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</si>
  <si>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</si>
  <si>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</si>
  <si>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</si>
  <si>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</si>
  <si>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</si>
  <si>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</si>
  <si>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</si>
  <si>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</si>
  <si>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</si>
  <si>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</si>
  <si>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</si>
  <si>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</si>
  <si>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</si>
  <si>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</si>
  <si>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</si>
  <si>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</si>
  <si>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</si>
  <si>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</si>
  <si>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</si>
  <si>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</si>
  <si>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</si>
  <si>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</si>
  <si>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</si>
  <si>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</si>
  <si>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</si>
  <si>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</si>
  <si>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</si>
  <si>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</si>
  <si>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</si>
  <si>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</si>
  <si>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</si>
  <si>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</si>
  <si>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</si>
  <si>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</si>
  <si>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</si>
  <si>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</si>
  <si>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</si>
  <si>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</si>
  <si>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</si>
  <si>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</si>
  <si>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</si>
  <si>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</si>
  <si>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</si>
  <si>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</si>
  <si>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</si>
  <si>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</si>
  <si>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</si>
  <si>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</si>
  <si>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</si>
  <si>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</si>
  <si>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</si>
  <si>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</si>
  <si>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</si>
  <si>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</si>
  <si>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</si>
  <si>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</si>
  <si>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</si>
  <si>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</si>
  <si>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</si>
  <si>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</si>
  <si>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</si>
  <si>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</si>
  <si>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</si>
  <si>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</si>
  <si>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</si>
  <si>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</si>
  <si>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</si>
  <si>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</si>
  <si>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</si>
  <si>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</si>
  <si>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</si>
  <si>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</si>
  <si>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</si>
  <si>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</si>
  <si>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</si>
  <si>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</si>
  <si>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</si>
  <si>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</si>
  <si>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</si>
  <si>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</si>
  <si>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</si>
  <si>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</si>
  <si>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</si>
  <si>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</si>
  <si>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</si>
  <si>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</si>
  <si>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</si>
  <si>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</si>
  <si>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</si>
  <si>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</si>
  <si>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</si>
  <si>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</si>
  <si>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</si>
  <si>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</si>
  <si>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</si>
  <si>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</si>
  <si>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</si>
  <si>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</si>
  <si>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</si>
  <si>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</si>
  <si>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</si>
  <si>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</si>
  <si>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</si>
  <si>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</si>
  <si>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</si>
  <si>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</si>
  <si>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</si>
  <si>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</si>
  <si>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</si>
  <si>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</si>
  <si>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</si>
  <si>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</si>
  <si>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</si>
  <si>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</si>
  <si>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</si>
  <si>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</si>
  <si>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</si>
  <si>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</si>
  <si>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</si>
  <si>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</si>
  <si>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</si>
  <si>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</si>
  <si>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</si>
  <si>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</si>
  <si>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</si>
  <si>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</si>
  <si>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</si>
  <si>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</si>
  <si>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</si>
  <si>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</si>
  <si>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</si>
  <si>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</si>
  <si>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</si>
  <si>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</si>
  <si>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</si>
  <si>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</si>
  <si>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</si>
  <si>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</si>
  <si>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</si>
  <si>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</si>
  <si>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</si>
  <si>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</si>
  <si>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</si>
  <si>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</si>
  <si>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</si>
  <si>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</si>
  <si>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</si>
  <si>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</si>
  <si>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</si>
  <si>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</si>
  <si>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</si>
  <si>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</si>
  <si>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</si>
  <si>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</si>
  <si>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</si>
  <si>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</si>
  <si>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</si>
  <si>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</si>
  <si>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</si>
  <si>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</si>
  <si>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</si>
  <si>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</si>
  <si>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</si>
  <si>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</si>
  <si>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</si>
  <si>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</si>
  <si>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</si>
  <si>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</si>
  <si>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</si>
  <si>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</si>
  <si>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</si>
  <si>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</si>
  <si>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</si>
  <si>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</si>
  <si>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</si>
  <si>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</si>
  <si>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</si>
  <si>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</si>
  <si>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</si>
  <si>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</si>
  <si>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</si>
  <si>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</si>
  <si>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</si>
  <si>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</si>
  <si>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</si>
  <si>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</si>
  <si>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</si>
  <si>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</si>
  <si>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</si>
  <si>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</si>
  <si>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</si>
  <si>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</si>
  <si>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</si>
  <si>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</si>
  <si>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</si>
  <si>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</si>
  <si>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</si>
  <si>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</si>
  <si>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</si>
  <si>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</si>
  <si>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</si>
  <si>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</si>
  <si>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</si>
  <si>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</si>
  <si>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</si>
  <si>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</si>
  <si>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</si>
  <si>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</si>
  <si>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</si>
  <si>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</si>
  <si>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</si>
  <si>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</si>
  <si>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</si>
  <si>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</si>
  <si>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</si>
  <si>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</si>
  <si>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</si>
  <si>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</si>
  <si>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</si>
  <si>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</si>
  <si>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</si>
  <si>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</si>
  <si>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</si>
  <si>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</si>
  <si>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</si>
  <si>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</si>
  <si>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</si>
  <si>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</si>
  <si>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</si>
  <si>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</si>
  <si>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</si>
  <si>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</si>
  <si>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</si>
  <si>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</si>
  <si>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</si>
  <si>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</si>
  <si>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</si>
  <si>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</si>
  <si>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</si>
  <si>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</si>
  <si>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</si>
  <si>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</si>
  <si>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</si>
  <si>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</si>
  <si>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</si>
  <si>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</si>
  <si>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</si>
  <si>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</si>
  <si>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</si>
  <si>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</si>
  <si>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</si>
  <si>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</si>
  <si>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</si>
  <si>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</si>
  <si>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</si>
  <si>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</si>
  <si>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</si>
  <si>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</si>
  <si>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</si>
  <si>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</si>
  <si>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</si>
  <si>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</si>
  <si>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</si>
  <si>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</si>
  <si>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</si>
  <si>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</si>
  <si>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</si>
  <si>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</si>
  <si>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</si>
  <si>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</si>
  <si>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</si>
  <si>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</si>
  <si>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</si>
  <si>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</si>
  <si>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</si>
  <si>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</si>
  <si>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</si>
  <si>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</si>
  <si>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</si>
  <si>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</si>
  <si>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</si>
  <si>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</si>
  <si>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</si>
  <si>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</si>
  <si>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</si>
  <si>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</si>
  <si>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</si>
  <si>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</si>
  <si>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</si>
  <si>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</si>
  <si>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</si>
  <si>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</si>
  <si>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</si>
  <si>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</si>
  <si>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</si>
  <si>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</si>
  <si>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</si>
  <si>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</si>
  <si>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</si>
  <si>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</si>
  <si>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</si>
  <si>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</si>
  <si>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</si>
  <si>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</si>
  <si>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</si>
  <si>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</si>
  <si>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</si>
  <si>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</si>
  <si>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</si>
  <si>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</si>
  <si>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</si>
  <si>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</si>
  <si>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</si>
  <si>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</si>
  <si>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</si>
  <si>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</si>
  <si>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</si>
  <si>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</si>
  <si>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</si>
  <si>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</si>
  <si>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</si>
  <si>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</si>
  <si>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</si>
  <si>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</si>
  <si>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</si>
  <si>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</si>
  <si>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</si>
  <si>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</si>
  <si>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</si>
  <si>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</si>
  <si>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</si>
  <si>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</si>
  <si>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</si>
  <si>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</si>
  <si>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</si>
  <si>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</si>
  <si>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</si>
  <si>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</si>
  <si>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</si>
  <si>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</si>
  <si>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</si>
  <si>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</si>
  <si>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</si>
  <si>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</si>
  <si>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</si>
  <si>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</si>
  <si>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</si>
  <si>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</si>
  <si>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</si>
  <si>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</si>
  <si>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</si>
  <si>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</si>
  <si>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</si>
  <si>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</si>
  <si>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</si>
  <si>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</si>
  <si>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</si>
  <si>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</si>
  <si>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</si>
  <si>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</si>
  <si>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</si>
  <si>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</si>
  <si>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</si>
  <si>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</si>
  <si>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</si>
  <si>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</si>
  <si>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</si>
  <si>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</si>
  <si>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</si>
  <si>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</si>
  <si>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</si>
  <si>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</si>
  <si>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</si>
  <si>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</si>
  <si>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</si>
  <si>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</si>
  <si>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</si>
  <si>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</si>
  <si>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</si>
  <si>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</si>
  <si>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</si>
  <si>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</si>
  <si>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</si>
  <si>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</si>
  <si>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</si>
  <si>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</si>
  <si>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</si>
  <si>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</si>
  <si>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</si>
  <si>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</si>
  <si>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</si>
  <si>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</si>
  <si>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</si>
  <si>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</si>
  <si>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</si>
  <si>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</si>
  <si>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</si>
  <si>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</si>
  <si>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</si>
  <si>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</si>
  <si>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</si>
  <si>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</si>
  <si>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</si>
  <si>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</si>
  <si>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</si>
  <si>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</si>
  <si>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</si>
  <si>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</si>
  <si>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</si>
  <si>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</si>
  <si>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</si>
  <si>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</si>
  <si>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</si>
  <si>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</si>
  <si>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</si>
  <si>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</si>
  <si>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</si>
  <si>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</si>
  <si>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</si>
  <si>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</si>
  <si>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</si>
  <si>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</si>
  <si>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</si>
  <si>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</si>
  <si>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</si>
  <si>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</si>
  <si>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</si>
  <si>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</si>
  <si>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</si>
  <si>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</si>
  <si>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</si>
  <si>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</si>
  <si>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</si>
  <si>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</si>
  <si>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</si>
  <si>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</si>
  <si>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</si>
  <si>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</si>
  <si>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</si>
  <si>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</si>
  <si>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</si>
  <si>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</si>
  <si>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</si>
  <si>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</si>
  <si>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</si>
  <si>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</si>
  <si>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</si>
  <si>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</si>
  <si>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</si>
  <si>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</si>
  <si>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</si>
  <si>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</si>
  <si>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</si>
  <si>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</si>
  <si>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</si>
  <si>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</si>
  <si>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</si>
  <si>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</si>
  <si>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</si>
  <si>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</si>
  <si>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</si>
  <si>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</si>
  <si>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</si>
  <si>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</si>
  <si>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</si>
  <si>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</si>
  <si>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</si>
  <si>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</si>
  <si>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</si>
  <si>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</si>
  <si>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</si>
  <si>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</si>
  <si>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</si>
  <si>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</si>
  <si>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</si>
  <si>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</si>
  <si>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</si>
  <si>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</si>
  <si>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</si>
  <si>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</si>
  <si>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</si>
  <si>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</si>
  <si>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</si>
  <si>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</si>
  <si>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</si>
  <si>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</si>
  <si>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</si>
  <si>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</si>
  <si>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</si>
  <si>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</si>
  <si>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</si>
  <si>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</si>
  <si>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</si>
  <si>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</si>
  <si>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</si>
  <si>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</si>
  <si>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</si>
  <si>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</si>
  <si>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</si>
  <si>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</si>
  <si>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</si>
  <si>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</si>
  <si>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</si>
  <si>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</si>
  <si>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</si>
  <si>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</si>
  <si>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</si>
  <si>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</si>
  <si>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</si>
  <si>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</si>
  <si>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</si>
  <si>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</si>
  <si>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</si>
  <si>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</si>
  <si>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</si>
  <si>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</si>
  <si>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</si>
  <si>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</si>
  <si>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</si>
  <si>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</si>
  <si>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</si>
  <si>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</si>
  <si>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</si>
  <si>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</si>
  <si>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</si>
  <si>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</si>
  <si>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</si>
  <si>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</si>
  <si>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</si>
  <si>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</si>
  <si>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</si>
  <si>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</si>
  <si>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</si>
  <si>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</si>
  <si>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</si>
  <si>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</si>
  <si>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</si>
  <si>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</si>
  <si>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</si>
  <si>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</si>
  <si>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</si>
  <si>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</si>
  <si>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</si>
  <si>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</si>
  <si>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</si>
  <si>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</si>
  <si>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</si>
  <si>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</si>
  <si>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</si>
  <si>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</si>
  <si>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</si>
  <si>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</si>
  <si>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</si>
  <si>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</si>
  <si>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</si>
  <si>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</si>
  <si>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</si>
  <si>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</si>
  <si>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</si>
  <si>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</si>
  <si>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</si>
  <si>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</si>
  <si>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</si>
  <si>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</si>
  <si>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</si>
  <si>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</si>
  <si>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</si>
  <si>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</si>
  <si>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</si>
  <si>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</si>
  <si>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</si>
  <si>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</si>
  <si>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</si>
  <si>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</si>
  <si>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</si>
  <si>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</si>
  <si>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</si>
  <si>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</si>
  <si>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</si>
  <si>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</si>
  <si>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</si>
  <si>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</si>
  <si>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</si>
  <si>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</si>
  <si>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</si>
  <si>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</si>
  <si>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</si>
  <si>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</si>
  <si>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</si>
  <si>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</si>
  <si>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</si>
  <si>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</si>
  <si>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</si>
  <si>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</si>
  <si>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</si>
  <si>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</si>
  <si>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</si>
  <si>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</si>
  <si>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</si>
  <si>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</si>
  <si>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</si>
  <si>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</si>
  <si>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</si>
  <si>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</si>
  <si>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</si>
  <si>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</si>
  <si>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</si>
  <si>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</si>
  <si>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</si>
  <si>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</si>
  <si>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</si>
  <si>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</si>
  <si>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</si>
  <si>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</si>
  <si>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</si>
  <si>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</si>
  <si>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</si>
  <si>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</si>
  <si>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</si>
  <si>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</si>
  <si>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</si>
  <si>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</si>
  <si>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</si>
  <si>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</si>
  <si>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</si>
  <si>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</si>
  <si>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</si>
  <si>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</si>
  <si>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</si>
  <si>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</si>
  <si>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</si>
  <si>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</si>
  <si>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</si>
  <si>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</si>
  <si>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</si>
  <si>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</si>
  <si>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</si>
  <si>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</si>
  <si>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</si>
  <si>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</si>
  <si>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</si>
  <si>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</si>
  <si>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</si>
  <si>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</si>
  <si>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</si>
  <si>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</si>
  <si>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</si>
  <si>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</si>
  <si>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</si>
  <si>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</si>
  <si>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</si>
  <si>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</si>
  <si>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</si>
  <si>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</si>
  <si>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</si>
  <si>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</si>
  <si>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</si>
  <si>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</si>
  <si>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</si>
  <si>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</si>
  <si>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</si>
  <si>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</si>
  <si>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</si>
  <si>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</si>
  <si>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</si>
  <si>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</si>
  <si>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</si>
  <si>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</si>
  <si>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</si>
  <si>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</si>
  <si>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</si>
  <si>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</si>
  <si>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</si>
  <si>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</si>
  <si>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</si>
  <si>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</si>
  <si>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</si>
  <si>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</si>
  <si>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</si>
  <si>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</si>
  <si>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</si>
  <si>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</si>
  <si>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</si>
  <si>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</si>
  <si>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</si>
  <si>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</si>
  <si>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</si>
  <si>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</si>
  <si>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</si>
  <si>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</si>
  <si>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</si>
  <si>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</si>
  <si>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</si>
  <si>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</si>
  <si>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</si>
  <si>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</si>
  <si>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</si>
  <si>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</si>
  <si>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</si>
  <si>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</si>
  <si>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</si>
  <si>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</si>
  <si>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</si>
  <si>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</si>
  <si>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</si>
  <si>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</si>
  <si>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</si>
  <si>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</si>
  <si>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</si>
  <si>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</si>
  <si>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</si>
  <si>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</si>
  <si>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</si>
  <si>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</si>
  <si>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</si>
  <si>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</si>
  <si>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</si>
  <si>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</si>
  <si>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</si>
  <si>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</si>
  <si>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</si>
  <si>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</si>
  <si>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</si>
  <si>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</si>
  <si>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</si>
  <si>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</si>
  <si>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</si>
  <si>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</si>
  <si>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</si>
  <si>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</si>
  <si>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</si>
  <si>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</si>
  <si>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</si>
  <si>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</si>
  <si>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</si>
  <si>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</si>
  <si>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</si>
  <si>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</si>
  <si>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</si>
  <si>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</si>
  <si>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</si>
  <si>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</si>
  <si>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</si>
  <si>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</si>
  <si>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</si>
  <si>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</si>
  <si>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</si>
  <si>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</si>
  <si>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</si>
  <si>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</si>
  <si>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</si>
  <si>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</si>
  <si>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</si>
  <si>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</si>
  <si>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</si>
  <si>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</si>
  <si>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</si>
  <si>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</si>
  <si>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</si>
  <si>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</si>
  <si>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</si>
  <si>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</si>
  <si>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</si>
  <si>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</si>
  <si>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</si>
  <si>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</si>
  <si>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</si>
  <si>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</si>
  <si>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</si>
  <si>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</si>
  <si>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</si>
  <si>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</si>
  <si>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</si>
  <si>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</si>
  <si>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</si>
  <si>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</si>
  <si>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</si>
  <si>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</si>
  <si>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</si>
  <si>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</si>
  <si>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</si>
  <si>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</si>
  <si>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</si>
  <si>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</si>
  <si>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</si>
  <si>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</si>
  <si>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</si>
  <si>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</si>
  <si>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</si>
  <si>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</si>
  <si>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</si>
  <si>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</si>
  <si>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</si>
  <si>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</si>
  <si>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</si>
  <si>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</si>
  <si>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</si>
  <si>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</si>
  <si>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</si>
  <si>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</si>
  <si>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</si>
  <si>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</si>
  <si>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</si>
  <si>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</si>
  <si>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</si>
  <si>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</si>
  <si>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</si>
  <si>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</si>
  <si>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</si>
  <si>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</si>
  <si>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</si>
  <si>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</si>
  <si>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</si>
  <si>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</si>
  <si>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</si>
  <si>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</si>
  <si>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</si>
  <si>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</si>
  <si>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</si>
  <si>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</si>
  <si>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</si>
  <si>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</si>
  <si>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</si>
  <si>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</si>
  <si>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</si>
  <si>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</si>
  <si>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</si>
  <si>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</si>
  <si>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</si>
  <si>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</si>
  <si>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</si>
  <si>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</si>
  <si>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</si>
  <si>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</si>
  <si>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</si>
  <si>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</si>
  <si>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</si>
  <si>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</si>
  <si>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</si>
  <si>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</si>
  <si>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</si>
  <si>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</si>
  <si>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</si>
  <si>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</si>
  <si>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</si>
  <si>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</si>
  <si>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</si>
  <si>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</si>
  <si>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</si>
  <si>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</si>
  <si>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</si>
  <si>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</si>
  <si>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</si>
  <si>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</si>
  <si>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</si>
  <si>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</si>
  <si>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</si>
  <si>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</si>
  <si>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</si>
  <si>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</si>
  <si>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</si>
  <si>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</si>
  <si>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</si>
  <si>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</si>
  <si>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</si>
  <si>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</si>
  <si>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</si>
  <si>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</si>
  <si>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</si>
  <si>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</si>
  <si>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</si>
  <si>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</si>
  <si>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</si>
  <si>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</si>
  <si>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</si>
  <si>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</si>
  <si>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</si>
  <si>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</si>
  <si>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</si>
  <si>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</si>
  <si>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</si>
  <si>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</si>
  <si>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</si>
  <si>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</si>
  <si>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</si>
  <si>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</si>
  <si>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</si>
  <si>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</si>
  <si>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</si>
  <si>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</si>
  <si>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</si>
  <si>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</si>
  <si>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</si>
  <si>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</si>
  <si>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</si>
  <si>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</si>
  <si>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</si>
  <si>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</si>
  <si>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</si>
  <si>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</si>
  <si>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</si>
  <si>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</si>
  <si>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</si>
  <si>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</si>
  <si>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</si>
  <si>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</si>
  <si>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</si>
  <si>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</si>
  <si>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</si>
  <si>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</si>
  <si>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</si>
  <si>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</si>
  <si>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</si>
  <si>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</si>
  <si>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</si>
  <si>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</si>
  <si>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</si>
  <si>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</si>
  <si>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</si>
  <si>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</si>
  <si>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</si>
  <si>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</si>
  <si>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</si>
  <si>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</si>
  <si>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</si>
  <si>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</si>
  <si>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</si>
  <si>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</si>
  <si>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</si>
  <si>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</si>
  <si>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</si>
  <si>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</si>
  <si>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</si>
  <si>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</si>
  <si>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</si>
  <si>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</si>
  <si>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</si>
  <si>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</si>
  <si>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</si>
  <si>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</si>
  <si>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</si>
  <si>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</si>
  <si>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</si>
  <si>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</si>
  <si>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</si>
  <si>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</si>
  <si>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</si>
  <si>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</si>
  <si>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</si>
  <si>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</si>
  <si>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</si>
  <si>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</si>
  <si>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</si>
  <si>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</si>
  <si>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</si>
  <si>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</si>
  <si>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</si>
  <si>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</si>
  <si>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</si>
  <si>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</si>
  <si>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</si>
  <si>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</si>
  <si>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</si>
  <si>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</si>
  <si>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</si>
  <si>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</si>
  <si>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</si>
  <si>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</si>
  <si>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</si>
  <si>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</si>
  <si>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</si>
  <si>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</si>
  <si>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</si>
  <si>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</si>
  <si>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</si>
  <si>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</si>
  <si>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</si>
  <si>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</si>
  <si>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</si>
  <si>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</si>
  <si>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</si>
  <si>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</si>
  <si>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</si>
  <si>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</si>
  <si>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</si>
  <si>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</si>
  <si>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</si>
  <si>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</si>
  <si>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</si>
  <si>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</si>
  <si>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</si>
  <si>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</si>
  <si>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</si>
  <si>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</si>
  <si>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</si>
  <si>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</si>
  <si>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</si>
  <si>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</si>
  <si>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</si>
  <si>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</si>
  <si>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</si>
  <si>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</si>
  <si>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</si>
  <si>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</si>
  <si>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</si>
  <si>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</si>
  <si>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</si>
  <si>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</si>
  <si>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</si>
  <si>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</si>
  <si>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</si>
  <si>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</si>
  <si>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</si>
  <si>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</si>
  <si>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</si>
  <si>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</si>
  <si>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</si>
  <si>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</si>
  <si>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</si>
  <si>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</si>
  <si>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</si>
  <si>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</si>
  <si>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</si>
  <si>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</si>
  <si>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</si>
  <si>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</si>
  <si>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</si>
  <si>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</si>
  <si>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</si>
  <si>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</si>
  <si>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</si>
  <si>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</si>
  <si>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</si>
  <si>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</si>
  <si>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</si>
  <si>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</si>
  <si>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</si>
  <si>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</si>
  <si>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</si>
  <si>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</si>
  <si>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</si>
  <si>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</si>
  <si>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</si>
  <si>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</si>
  <si>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</si>
  <si>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</si>
  <si>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</si>
  <si>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</si>
  <si>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</si>
  <si>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</si>
  <si>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</si>
  <si>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</si>
  <si>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</si>
  <si>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</si>
  <si>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</si>
  <si>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</si>
  <si>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</si>
  <si>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</si>
  <si>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</si>
  <si>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</si>
  <si>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</si>
  <si>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</si>
  <si>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</si>
  <si>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</si>
  <si>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</si>
  <si>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</si>
  <si>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</si>
  <si>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</si>
  <si>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</si>
  <si>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</si>
  <si>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</si>
  <si>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</si>
  <si>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</si>
  <si>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</si>
  <si>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</si>
  <si>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</si>
  <si>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</si>
  <si>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</si>
  <si>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</si>
  <si>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</si>
  <si>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</si>
  <si>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</si>
  <si>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</si>
  <si>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</si>
  <si>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</si>
  <si>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</si>
  <si>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</si>
  <si>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</si>
  <si>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</si>
  <si>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</si>
  <si>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</si>
  <si>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</si>
  <si>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</si>
  <si>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</si>
  <si>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</si>
  <si>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</si>
  <si>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</si>
  <si>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</si>
  <si>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</si>
  <si>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</si>
  <si>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</si>
  <si>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</si>
  <si>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</si>
  <si>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</si>
  <si>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</si>
  <si>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</si>
  <si>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</si>
  <si>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</si>
  <si>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</si>
  <si>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</si>
  <si>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</si>
  <si>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</si>
  <si>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</si>
  <si>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</si>
  <si>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</si>
  <si>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</si>
  <si>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</si>
  <si>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</si>
  <si>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</si>
  <si>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</si>
  <si>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</si>
  <si>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</si>
  <si>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</si>
  <si>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</si>
  <si>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</si>
  <si>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</si>
  <si>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</si>
  <si>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</si>
  <si>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</si>
  <si>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</si>
  <si>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</si>
  <si>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</si>
  <si>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</si>
  <si>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</si>
  <si>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</si>
  <si>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</si>
  <si>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</si>
  <si>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</si>
  <si>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</si>
  <si>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</si>
  <si>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</si>
  <si>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</si>
  <si>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</si>
  <si>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</si>
  <si>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</si>
  <si>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</si>
  <si>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</si>
  <si>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</si>
  <si>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</si>
  <si>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</si>
  <si>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</si>
  <si>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</si>
  <si>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</si>
  <si>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</si>
  <si>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</si>
  <si>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</si>
  <si>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</si>
  <si>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</si>
  <si>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</si>
  <si>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</si>
  <si>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</si>
  <si>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</si>
  <si>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</si>
  <si>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</si>
  <si>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</si>
  <si>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</si>
  <si>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</si>
  <si>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</si>
  <si>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</si>
  <si>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</si>
  <si>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</si>
  <si>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</si>
  <si>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</si>
  <si>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</si>
  <si>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</si>
  <si>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</si>
  <si>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</si>
  <si>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</si>
  <si>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</si>
  <si>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</si>
  <si>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</si>
  <si>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</si>
  <si>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</si>
  <si>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</si>
  <si>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</si>
  <si>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</si>
  <si>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</si>
  <si>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</si>
  <si>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</si>
  <si>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</si>
  <si>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</si>
  <si>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</si>
  <si>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</si>
  <si>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</si>
  <si>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</si>
  <si>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</si>
  <si>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</si>
  <si>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</si>
  <si>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</si>
  <si>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</si>
  <si>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</si>
  <si>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</si>
  <si>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</si>
  <si>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</si>
  <si>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</si>
  <si>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</si>
  <si>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</si>
  <si>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</si>
  <si>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</si>
  <si>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</si>
  <si>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</si>
  <si>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</si>
  <si>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</si>
  <si>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</si>
  <si>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</si>
  <si>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</si>
  <si>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</si>
  <si>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</si>
  <si>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</si>
  <si>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</si>
  <si>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</si>
  <si>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</si>
  <si>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</si>
  <si>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</si>
  <si>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</si>
  <si>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</si>
  <si>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</si>
  <si>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</si>
  <si>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</si>
  <si>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</si>
  <si>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</si>
  <si>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</si>
  <si>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</si>
  <si>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</si>
  <si>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</si>
  <si>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</si>
  <si>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</si>
  <si>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</si>
  <si>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</si>
  <si>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</si>
  <si>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</si>
  <si>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</si>
  <si>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</si>
  <si>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</si>
  <si>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</si>
  <si>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</si>
  <si>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</si>
  <si>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</si>
  <si>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</si>
  <si>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</si>
  <si>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</si>
  <si>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</si>
  <si>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</si>
  <si>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</si>
  <si>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</si>
  <si>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</si>
  <si>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</si>
  <si>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</si>
  <si>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</si>
  <si>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</si>
  <si>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</si>
  <si>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</si>
  <si>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</si>
  <si>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</si>
  <si>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</si>
  <si>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</si>
  <si>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</si>
  <si>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</si>
  <si>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</si>
  <si>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</si>
  <si>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</si>
  <si>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</si>
  <si>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</si>
  <si>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</si>
  <si>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</si>
  <si>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</si>
  <si>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</si>
  <si>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</si>
  <si>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</si>
  <si>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</si>
  <si>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</si>
  <si>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</si>
  <si>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</si>
  <si>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</si>
  <si>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</si>
  <si>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</si>
  <si>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</si>
  <si>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</si>
  <si>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</si>
  <si>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</si>
  <si>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</si>
  <si>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</si>
  <si>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</si>
  <si>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</si>
  <si>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</si>
  <si>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</si>
  <si>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</si>
  <si>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</si>
  <si>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</si>
  <si>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</si>
  <si>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</si>
  <si>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</si>
  <si>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</si>
  <si>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</si>
  <si>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</si>
  <si>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</si>
  <si>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</si>
  <si>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</si>
  <si>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</si>
  <si>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</si>
  <si>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</si>
  <si>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</si>
  <si>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</si>
  <si>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</si>
  <si>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</si>
  <si>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</si>
  <si>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</si>
  <si>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</si>
  <si>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</si>
  <si>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</si>
  <si>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</si>
  <si>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</si>
  <si>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</si>
  <si>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</si>
  <si>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</si>
  <si>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</si>
  <si>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</si>
  <si>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</si>
  <si>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</si>
  <si>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</si>
  <si>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</si>
  <si>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</si>
  <si>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</si>
  <si>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</si>
  <si>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</si>
  <si>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</si>
  <si>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</si>
  <si>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</si>
  <si>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</si>
  <si>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</si>
  <si>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</si>
  <si>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</si>
  <si>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</si>
  <si>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</si>
  <si>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</si>
  <si>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</si>
  <si>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</si>
  <si>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</si>
  <si>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</si>
  <si>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</si>
  <si>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</si>
  <si>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</si>
  <si>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</si>
  <si>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</si>
  <si>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</si>
  <si>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</si>
  <si>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</si>
  <si>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</si>
  <si>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</si>
  <si>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</si>
  <si>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</si>
  <si>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</si>
  <si>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</si>
  <si>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</si>
  <si>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</si>
  <si>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</si>
  <si>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</si>
  <si>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</si>
  <si>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</si>
  <si>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</si>
  <si>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</si>
  <si>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</si>
  <si>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</si>
  <si>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</si>
  <si>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</si>
  <si>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</si>
  <si>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</si>
  <si>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</si>
  <si>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</si>
  <si>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</si>
  <si>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</si>
  <si>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</si>
  <si>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</si>
  <si>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</si>
  <si>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</si>
  <si>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</si>
  <si>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</si>
  <si>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</si>
  <si>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</si>
  <si>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</si>
  <si>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</si>
  <si>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</si>
  <si>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</si>
  <si>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</si>
  <si>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</si>
  <si>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</si>
  <si>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</si>
  <si>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</si>
  <si>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</si>
  <si>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</si>
  <si>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</si>
  <si>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</si>
  <si>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</si>
  <si>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</si>
  <si>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</si>
  <si>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</si>
  <si>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</si>
  <si>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</si>
  <si>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</si>
  <si>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</si>
  <si>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</si>
  <si>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</si>
  <si>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</si>
  <si>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</si>
  <si>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</si>
  <si>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</si>
  <si>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</si>
  <si>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</si>
  <si>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</si>
  <si>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</si>
  <si>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</si>
  <si>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</si>
  <si>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</si>
  <si>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</si>
  <si>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</si>
  <si>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</si>
  <si>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</si>
  <si>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</si>
  <si>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</si>
  <si>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</si>
  <si>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</si>
  <si>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</si>
  <si>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</si>
  <si>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</si>
  <si>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</si>
  <si>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</si>
  <si>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</si>
  <si>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</si>
  <si>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</si>
  <si>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</si>
  <si>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</si>
  <si>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</si>
  <si>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</si>
  <si>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</si>
  <si>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</si>
  <si>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</si>
  <si>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</si>
  <si>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</si>
  <si>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</si>
  <si>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</si>
  <si>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</si>
  <si>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</si>
  <si>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</si>
  <si>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</si>
  <si>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</si>
  <si>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</si>
  <si>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</si>
  <si>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</si>
  <si>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</si>
  <si>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</si>
  <si>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</si>
  <si>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</si>
  <si>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</si>
  <si>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</si>
  <si>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</si>
  <si>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</si>
  <si>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</si>
  <si>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</si>
  <si>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</si>
  <si>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</si>
  <si>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</si>
  <si>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</si>
  <si>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</si>
  <si>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</si>
  <si>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</si>
  <si>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</si>
  <si>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</si>
  <si>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</si>
  <si>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</si>
  <si>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</si>
  <si>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</si>
  <si>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</si>
  <si>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</si>
  <si>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</si>
  <si>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</si>
  <si>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</si>
  <si>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</si>
  <si>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</si>
  <si>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</si>
  <si>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</si>
  <si>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</si>
  <si>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</si>
  <si>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</si>
  <si>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</si>
  <si>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</si>
  <si>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</si>
  <si>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</si>
  <si>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</si>
  <si>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</si>
  <si>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</si>
  <si>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</si>
  <si>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</si>
  <si>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</si>
  <si>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</si>
  <si>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</si>
  <si>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</si>
  <si>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</si>
  <si>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</si>
  <si>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</si>
  <si>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</si>
  <si>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</si>
  <si>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</si>
  <si>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</si>
  <si>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</si>
  <si>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</si>
  <si>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</si>
  <si>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</si>
  <si>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</si>
  <si>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</si>
  <si>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</si>
  <si>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</si>
  <si>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</si>
  <si>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</si>
  <si>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</si>
  <si>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</si>
  <si>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</si>
  <si>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</si>
  <si>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</si>
  <si>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</si>
  <si>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</si>
  <si>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</si>
  <si>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</si>
  <si>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</si>
  <si>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</si>
  <si>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</si>
  <si>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</si>
  <si>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</si>
  <si>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</si>
  <si>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</si>
  <si>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</si>
  <si>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</si>
  <si>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</si>
  <si>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</si>
  <si>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</si>
  <si>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</si>
  <si>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</si>
  <si>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</si>
  <si>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</si>
  <si>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</si>
  <si>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</si>
  <si>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</si>
  <si>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</si>
  <si>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</si>
  <si>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</si>
  <si>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</si>
  <si>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</si>
  <si>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</si>
  <si>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</si>
  <si>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</si>
  <si>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</si>
  <si>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</si>
  <si>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</si>
  <si>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</si>
  <si>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</si>
  <si>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</si>
  <si>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</si>
  <si>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</si>
  <si>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</si>
  <si>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</si>
  <si>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</si>
  <si>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</si>
  <si>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</si>
  <si>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</si>
  <si>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</si>
  <si>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</si>
  <si>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</si>
  <si>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</si>
  <si>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</si>
  <si>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</si>
  <si>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</si>
  <si>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</si>
  <si>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</si>
  <si>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</si>
  <si>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</si>
  <si>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</si>
  <si>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</si>
  <si>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</si>
  <si>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</si>
  <si>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</si>
  <si>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</si>
  <si>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</si>
  <si>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</si>
  <si>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</si>
  <si>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</si>
  <si>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</si>
  <si>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</si>
  <si>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</si>
  <si>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</si>
  <si>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</si>
  <si>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</si>
  <si>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</si>
  <si>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</si>
  <si>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</si>
  <si>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</si>
  <si>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</si>
  <si>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</si>
  <si>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</si>
  <si>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</si>
  <si>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</si>
  <si>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</si>
  <si>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</si>
  <si>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</si>
  <si>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</si>
  <si>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</si>
  <si>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</si>
  <si>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</si>
  <si>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</si>
  <si>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</si>
  <si>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</si>
  <si>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</si>
  <si>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</si>
  <si>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</si>
  <si>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</si>
  <si>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</si>
  <si>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</si>
  <si>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</si>
  <si>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</si>
  <si>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</si>
  <si>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</si>
  <si>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</si>
  <si>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</si>
  <si>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</si>
  <si>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</si>
  <si>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</si>
  <si>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</si>
  <si>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</si>
  <si>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</si>
  <si>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</si>
  <si>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</si>
  <si>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</si>
  <si>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</si>
  <si>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</si>
  <si>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</si>
  <si>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</si>
  <si>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</si>
  <si>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</si>
  <si>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</si>
  <si>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</si>
  <si>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</si>
  <si>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</si>
  <si>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</si>
  <si>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</si>
  <si>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</si>
  <si>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</si>
  <si>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</si>
  <si>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</si>
  <si>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</si>
  <si>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</si>
  <si>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</si>
  <si>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</si>
  <si>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</si>
  <si>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</si>
  <si>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</si>
  <si>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</si>
  <si>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</si>
  <si>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</si>
  <si>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</si>
  <si>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</si>
  <si>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</si>
  <si>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</si>
  <si>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</si>
  <si>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</si>
  <si>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</si>
  <si>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</si>
  <si>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</si>
  <si>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</si>
  <si>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</si>
  <si>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</si>
  <si>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</si>
  <si>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</si>
  <si>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</si>
  <si>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</si>
  <si>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</si>
  <si>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</si>
  <si>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</si>
  <si>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</si>
  <si>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</si>
  <si>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</si>
  <si>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</si>
  <si>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</si>
  <si>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</si>
  <si>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</si>
  <si>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</si>
  <si>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</si>
  <si>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</si>
  <si>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</si>
  <si>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</si>
  <si>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</si>
  <si>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</si>
  <si>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</si>
  <si>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</si>
  <si>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</si>
  <si>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</si>
  <si>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</si>
  <si>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</si>
  <si>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</si>
  <si>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</si>
  <si>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</si>
  <si>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</si>
  <si>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</si>
  <si>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</si>
  <si>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</si>
  <si>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</si>
  <si>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</si>
  <si>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</si>
  <si>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</si>
  <si>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</si>
  <si>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</si>
  <si>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</si>
  <si>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</si>
  <si>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</si>
  <si>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</si>
  <si>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</si>
  <si>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</si>
  <si>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</si>
  <si>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</si>
  <si>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</si>
  <si>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</si>
  <si>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</si>
  <si>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</si>
  <si>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</si>
  <si>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</si>
  <si>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</si>
  <si>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</si>
  <si>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</si>
  <si>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</si>
  <si>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</si>
  <si>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</si>
  <si>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</si>
  <si>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</si>
  <si>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</si>
  <si>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</si>
  <si>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</si>
  <si>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</si>
  <si>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</si>
  <si>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</si>
  <si>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</si>
  <si>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</si>
  <si>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</si>
  <si>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</si>
  <si>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</si>
  <si>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</si>
  <si>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</si>
  <si>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</si>
  <si>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</si>
  <si>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</si>
  <si>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</si>
  <si>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</si>
  <si>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</si>
  <si>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</si>
  <si>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</si>
  <si>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</si>
  <si>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</si>
  <si>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</si>
  <si>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</si>
  <si>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</si>
  <si>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</si>
  <si>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</si>
  <si>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</si>
  <si>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</si>
  <si>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</si>
  <si>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</si>
  <si>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</si>
  <si>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</si>
  <si>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</si>
  <si>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</si>
  <si>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</si>
  <si>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</si>
  <si>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</si>
  <si>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</si>
  <si>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</si>
  <si>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</si>
  <si>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</si>
  <si>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</si>
  <si>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</si>
  <si>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</si>
  <si>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</si>
  <si>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</si>
  <si>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</si>
  <si>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</si>
  <si>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</si>
  <si>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</si>
  <si>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</si>
  <si>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</si>
  <si>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</si>
  <si>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</si>
  <si>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</si>
  <si>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</si>
  <si>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</si>
  <si>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</si>
  <si>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</si>
  <si>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</si>
  <si>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</si>
  <si>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</si>
  <si>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</si>
  <si>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</si>
  <si>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</si>
  <si>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</si>
  <si>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</si>
  <si>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</si>
  <si>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</si>
  <si>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</si>
  <si>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</si>
  <si>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</si>
  <si>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</si>
  <si>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</si>
  <si>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</si>
  <si>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</si>
  <si>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</si>
  <si>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</si>
  <si>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</si>
  <si>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</si>
  <si>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</si>
  <si>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</si>
  <si>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</si>
  <si>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</si>
  <si>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</si>
  <si>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</si>
  <si>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</si>
  <si>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</si>
  <si>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</si>
  <si>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</si>
  <si>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</si>
  <si>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</si>
  <si>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</si>
  <si>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</si>
  <si>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</si>
  <si>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</si>
  <si>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</si>
  <si>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</si>
  <si>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</si>
  <si>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</si>
  <si>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</si>
  <si>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</si>
  <si>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</si>
  <si>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</si>
  <si>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</si>
  <si>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</si>
  <si>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</si>
  <si>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</si>
  <si>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</si>
  <si>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</si>
  <si>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</si>
  <si>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</si>
  <si>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</si>
  <si>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</si>
  <si>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</si>
  <si>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</si>
  <si>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</si>
  <si>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</si>
  <si>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</si>
  <si>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</si>
  <si>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</si>
  <si>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</si>
  <si>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</si>
  <si>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</si>
  <si>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</si>
  <si>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</si>
  <si>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</si>
  <si>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</si>
  <si>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</si>
  <si>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</si>
  <si>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</si>
  <si>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</si>
  <si>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</si>
  <si>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</si>
  <si>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</si>
  <si>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</si>
  <si>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</si>
  <si>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</si>
  <si>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</si>
  <si>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</si>
  <si>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</si>
  <si>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</si>
  <si>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</si>
  <si>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</si>
  <si>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</si>
  <si>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</si>
  <si>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</si>
  <si>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</si>
  <si>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</si>
  <si>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</si>
  <si>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</si>
  <si>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</si>
  <si>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</si>
  <si>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</si>
  <si>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</si>
  <si>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</si>
  <si>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</si>
  <si>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</si>
  <si>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</si>
  <si>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</si>
  <si>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</si>
  <si>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</si>
  <si>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</si>
  <si>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</si>
  <si>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</si>
  <si>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</si>
  <si>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</si>
  <si>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</si>
  <si>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</si>
  <si>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</si>
  <si>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</si>
  <si>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</si>
  <si>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</si>
  <si>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</si>
  <si>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</si>
  <si>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</si>
  <si>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</si>
  <si>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</si>
  <si>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</si>
  <si>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</si>
  <si>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</si>
  <si>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</si>
  <si>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</si>
  <si>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</si>
  <si>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</si>
  <si>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</si>
  <si>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</si>
  <si>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</si>
  <si>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</si>
  <si>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</si>
  <si>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</si>
  <si>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</si>
  <si>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</si>
  <si>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</si>
  <si>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</si>
  <si>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</si>
  <si>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</si>
  <si>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</si>
  <si>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</si>
  <si>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</si>
  <si>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</si>
  <si>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</si>
  <si>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</si>
  <si>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</si>
  <si>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</si>
  <si>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</si>
  <si>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</si>
  <si>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</si>
  <si>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</si>
  <si>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</si>
  <si>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</si>
  <si>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</si>
  <si>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</si>
  <si>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</si>
  <si>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</si>
  <si>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</si>
  <si>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</si>
  <si>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</si>
  <si>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</si>
  <si>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</si>
  <si>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</si>
  <si>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</si>
  <si>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</si>
  <si>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</si>
  <si>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</si>
  <si>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</si>
  <si>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</si>
  <si>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</si>
  <si>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</si>
  <si>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</si>
  <si>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</si>
  <si>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</si>
  <si>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</si>
  <si>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</si>
  <si>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</si>
  <si>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</si>
  <si>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</si>
  <si>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</si>
  <si>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</si>
  <si>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</si>
  <si>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</si>
  <si>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</si>
  <si>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</si>
  <si>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</si>
  <si>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</si>
  <si>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</si>
  <si>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</si>
  <si>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</si>
  <si>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</si>
  <si>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</si>
  <si>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</si>
  <si>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</si>
  <si>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</si>
  <si>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</si>
  <si>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</si>
  <si>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</si>
  <si>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</si>
  <si>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</si>
  <si>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</si>
  <si>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</si>
  <si>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</si>
  <si>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</si>
  <si>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</si>
  <si>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</si>
  <si>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</si>
  <si>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</si>
  <si>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</si>
  <si>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</si>
  <si>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</si>
  <si>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</si>
  <si>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</si>
  <si>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</si>
  <si>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</si>
  <si>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</si>
  <si>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</si>
  <si>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</si>
  <si>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</si>
  <si>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</si>
  <si>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</si>
  <si>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</si>
  <si>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</si>
  <si>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</si>
  <si>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</si>
  <si>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</si>
  <si>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</si>
  <si>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</si>
  <si>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</si>
  <si>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</si>
  <si>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</si>
  <si>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</si>
  <si>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</si>
  <si>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</si>
  <si>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</si>
  <si>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</si>
  <si>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</si>
  <si>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</si>
  <si>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</si>
  <si>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</si>
  <si>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</si>
  <si>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</si>
  <si>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</si>
  <si>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</si>
  <si>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</si>
  <si>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</si>
  <si>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</si>
  <si>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</si>
  <si>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</si>
  <si>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</si>
  <si>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</si>
  <si>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</si>
  <si>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</si>
  <si>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</si>
  <si>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</si>
  <si>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</si>
  <si>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</si>
  <si>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</si>
  <si>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</si>
  <si>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</si>
  <si>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</si>
  <si>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</si>
  <si>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</si>
  <si>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</si>
  <si>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</si>
  <si>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</si>
  <si>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</si>
  <si>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</si>
  <si>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</si>
  <si>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</si>
  <si>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</si>
  <si>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</si>
  <si>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</si>
  <si>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</si>
  <si>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</si>
  <si>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</si>
  <si>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</si>
  <si>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</si>
  <si>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</si>
  <si>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</si>
  <si>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</si>
  <si>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</si>
  <si>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</si>
  <si>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</si>
  <si>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</si>
  <si>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</si>
  <si>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</si>
  <si>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</si>
  <si>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</si>
  <si>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</si>
  <si>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</si>
  <si>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</si>
  <si>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</si>
  <si>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</si>
  <si>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</si>
  <si>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</si>
  <si>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</si>
  <si>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</si>
  <si>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</si>
  <si>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</si>
  <si>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</si>
  <si>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</si>
  <si>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</si>
  <si>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</si>
  <si>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</si>
  <si>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</si>
  <si>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</si>
  <si>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</si>
  <si>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</si>
  <si>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</si>
  <si>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</si>
  <si>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</si>
  <si>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</si>
  <si>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</si>
  <si>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</si>
  <si>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</si>
  <si>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</si>
  <si>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</si>
  <si>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</si>
  <si>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</si>
  <si>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</si>
  <si>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</si>
  <si>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</si>
  <si>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</si>
  <si>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</si>
  <si>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</si>
  <si>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</si>
  <si>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</si>
  <si>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</si>
  <si>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</si>
  <si>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</si>
  <si>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</si>
  <si>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</si>
  <si>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</si>
  <si>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</si>
  <si>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</si>
  <si>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</si>
  <si>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</si>
  <si>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</si>
  <si>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</si>
  <si>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</si>
  <si>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</si>
  <si>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</si>
  <si>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</si>
  <si>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</si>
  <si>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</si>
  <si>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</si>
  <si>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</si>
  <si>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</si>
  <si>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</si>
  <si>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</si>
  <si>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</si>
  <si>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</si>
  <si>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</si>
  <si>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</si>
  <si>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</si>
  <si>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</si>
  <si>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</si>
  <si>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</si>
  <si>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</si>
  <si>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</si>
  <si>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</si>
  <si>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</si>
  <si>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</si>
  <si>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</si>
  <si>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</si>
  <si>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</si>
  <si>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</si>
  <si>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</si>
  <si>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</si>
  <si>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</si>
  <si>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</si>
  <si>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</si>
  <si>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</si>
  <si>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</si>
  <si>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</si>
  <si>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</si>
  <si>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</si>
  <si>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</si>
  <si>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</si>
  <si>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</si>
  <si>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</si>
  <si>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</si>
  <si>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</si>
  <si>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</si>
  <si>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</si>
  <si>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</si>
  <si>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</si>
  <si>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</si>
  <si>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</si>
  <si>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</si>
  <si>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</si>
  <si>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</si>
  <si>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</si>
  <si>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</si>
  <si>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</si>
  <si>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</si>
  <si>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</si>
  <si>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</si>
  <si>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</si>
  <si>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</si>
  <si>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</si>
  <si>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</si>
  <si>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</si>
  <si>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</si>
  <si>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</si>
  <si>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</si>
  <si>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</si>
  <si>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</si>
  <si>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</si>
  <si>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</si>
  <si>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</si>
  <si>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</si>
  <si>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</si>
  <si>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</si>
  <si>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</si>
  <si>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</si>
  <si>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</si>
  <si>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</si>
  <si>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</si>
  <si>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</si>
  <si>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</si>
  <si>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</si>
  <si>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</si>
  <si>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</si>
  <si>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</si>
  <si>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</si>
  <si>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</si>
  <si>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</si>
  <si>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</si>
  <si>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</si>
  <si>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</si>
  <si>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</si>
  <si>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</si>
  <si>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</si>
  <si>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</si>
  <si>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</si>
  <si>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</si>
  <si>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</si>
  <si>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</si>
  <si>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</si>
  <si>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</si>
  <si>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</si>
  <si>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</si>
  <si>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</si>
  <si>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</si>
  <si>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</si>
  <si>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</si>
  <si>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</si>
  <si>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</si>
  <si>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</si>
  <si>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</si>
  <si>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</si>
  <si>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</si>
  <si>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</si>
  <si>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</si>
  <si>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</si>
  <si>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</si>
  <si>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</si>
  <si>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</si>
  <si>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</si>
  <si>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</si>
  <si>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</si>
  <si>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</si>
  <si>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</si>
  <si>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</si>
  <si>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</si>
  <si>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</si>
  <si>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</si>
  <si>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</si>
  <si>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</si>
  <si>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</si>
  <si>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</si>
  <si>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</si>
  <si>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</si>
  <si>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</si>
  <si>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</si>
  <si>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</si>
  <si>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</si>
  <si>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</si>
  <si>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</si>
  <si>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</si>
  <si>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</si>
  <si>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</si>
  <si>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</si>
  <si>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</si>
  <si>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</si>
  <si>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</si>
  <si>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</si>
  <si>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</si>
  <si>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</si>
  <si>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</si>
  <si>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</si>
  <si>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</si>
  <si>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</si>
  <si>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</si>
  <si>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</si>
  <si>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</si>
  <si>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</si>
  <si>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</si>
  <si>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</si>
  <si>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</si>
  <si>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</si>
  <si>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</si>
  <si>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</si>
  <si>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</si>
  <si>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</si>
  <si>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</si>
  <si>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</si>
  <si>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</si>
  <si>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</si>
  <si>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</si>
  <si>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</si>
  <si>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</si>
  <si>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</si>
  <si>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</si>
  <si>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</si>
  <si>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</si>
  <si>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</si>
  <si>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</si>
  <si>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</si>
  <si>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</si>
  <si>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</si>
  <si>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</si>
  <si>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</si>
  <si>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</si>
  <si>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</si>
  <si>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</si>
  <si>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</si>
  <si>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</si>
  <si>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</si>
  <si>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</si>
  <si>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</si>
  <si>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</si>
  <si>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</si>
  <si>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</si>
  <si>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</si>
  <si>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</si>
  <si>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</si>
  <si>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</si>
  <si>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</si>
  <si>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</si>
  <si>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</si>
  <si>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</si>
  <si>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</si>
  <si>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</si>
  <si>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</si>
  <si>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</si>
  <si>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</si>
  <si>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</si>
  <si>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</si>
  <si>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</si>
  <si>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</si>
  <si>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</si>
  <si>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</si>
  <si>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</si>
  <si>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</si>
  <si>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</si>
  <si>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</si>
  <si>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</si>
  <si>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</si>
  <si>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</si>
  <si>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</si>
  <si>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</si>
  <si>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</si>
  <si>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</si>
  <si>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</si>
  <si>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</si>
  <si>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</si>
  <si>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</si>
  <si>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</si>
  <si>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</si>
  <si>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</si>
  <si>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</si>
  <si>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</si>
  <si>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</si>
  <si>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</si>
  <si>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</si>
  <si>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</si>
  <si>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</si>
  <si>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</si>
  <si>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</si>
  <si>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</si>
  <si>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</si>
  <si>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</si>
  <si>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</si>
  <si>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</si>
  <si>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</si>
  <si>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</si>
  <si>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</si>
  <si>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</si>
  <si>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</si>
  <si>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</si>
  <si>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</si>
  <si>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</si>
  <si>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</si>
  <si>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</si>
  <si>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</si>
  <si>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</si>
  <si>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</si>
  <si>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</si>
  <si>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</si>
  <si>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</si>
  <si>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</si>
  <si>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</si>
  <si>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</si>
  <si>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</si>
  <si>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</si>
  <si>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</si>
  <si>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</si>
  <si>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</si>
  <si>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</si>
  <si>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</si>
  <si>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</si>
  <si>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</si>
  <si>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</si>
  <si>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</si>
  <si>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</si>
  <si>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</si>
  <si>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</si>
  <si>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</si>
  <si>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</si>
  <si>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</si>
  <si>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</si>
  <si>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</si>
  <si>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</si>
  <si>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</si>
  <si>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</si>
  <si>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</si>
  <si>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</si>
  <si>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</si>
  <si>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</si>
  <si>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</si>
  <si>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</si>
  <si>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</si>
  <si>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</si>
  <si>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</si>
  <si>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</si>
  <si>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</si>
  <si>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</si>
  <si>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</si>
  <si>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</si>
  <si>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</si>
  <si>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</si>
  <si>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</si>
  <si>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</si>
  <si>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</si>
  <si>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</si>
  <si>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</si>
  <si>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</si>
  <si>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</si>
  <si>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</si>
  <si>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</si>
  <si>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</si>
  <si>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</si>
  <si>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</si>
  <si>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</si>
  <si>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</si>
  <si>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</si>
  <si>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</si>
  <si>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</si>
  <si>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</si>
  <si>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</si>
  <si>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</si>
  <si>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</si>
  <si>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</si>
  <si>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</si>
  <si>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</si>
  <si>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</si>
  <si>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</si>
  <si>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</si>
  <si>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</si>
  <si>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</si>
  <si>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</si>
  <si>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</si>
  <si>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</si>
  <si>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</si>
  <si>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</si>
  <si>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</si>
  <si>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</si>
  <si>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</si>
  <si>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</si>
  <si>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</si>
  <si>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</si>
  <si>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</si>
  <si>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</si>
  <si>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</si>
  <si>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</si>
  <si>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</si>
  <si>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</si>
  <si>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</si>
  <si>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</si>
  <si>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</si>
  <si>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</si>
  <si>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</si>
  <si>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</si>
  <si>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</si>
  <si>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</si>
  <si>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</si>
  <si>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</si>
  <si>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</si>
  <si>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</si>
  <si>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</si>
  <si>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</si>
  <si>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</si>
  <si>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</si>
  <si>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</si>
  <si>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</si>
  <si>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</si>
  <si>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</si>
  <si>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</si>
  <si>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</si>
  <si>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</si>
  <si>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</si>
  <si>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</si>
  <si>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</si>
  <si>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</si>
  <si>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</si>
  <si>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</si>
  <si>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</si>
  <si>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</si>
  <si>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</si>
  <si>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</si>
  <si>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</si>
  <si>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</si>
  <si>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</si>
  <si>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</si>
  <si>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</si>
  <si>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</si>
  <si>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</si>
  <si>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</si>
  <si>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</si>
  <si>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</si>
  <si>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</si>
  <si>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</si>
  <si>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</si>
  <si>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</si>
  <si>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</si>
  <si>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</si>
  <si>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</si>
  <si>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</si>
  <si>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</si>
  <si>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</si>
  <si>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</si>
  <si>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</si>
  <si>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</si>
  <si>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</si>
  <si>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</si>
  <si>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</si>
  <si>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</si>
  <si>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</si>
  <si>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</si>
  <si>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</si>
  <si>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</si>
  <si>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</si>
  <si>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</si>
  <si>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</si>
  <si>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</si>
  <si>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</si>
  <si>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</si>
  <si>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</si>
  <si>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</si>
  <si>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</si>
  <si>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</si>
  <si>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</si>
  <si>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</si>
  <si>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</si>
  <si>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</si>
  <si>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</si>
  <si>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</si>
  <si>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</si>
  <si>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</si>
  <si>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</si>
  <si>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</si>
  <si>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</si>
  <si>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</si>
  <si>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</si>
  <si>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</si>
  <si>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</si>
  <si>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</si>
  <si>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</si>
  <si>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</si>
  <si>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</si>
  <si>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</si>
  <si>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</si>
  <si>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</si>
  <si>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</si>
  <si>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</si>
  <si>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</si>
  <si>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</si>
  <si>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</si>
  <si>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</si>
  <si>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</si>
  <si>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</si>
  <si>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</si>
  <si>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</si>
  <si>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</si>
  <si>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</si>
  <si>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</si>
  <si>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</si>
  <si>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</si>
  <si>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</si>
  <si>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</si>
  <si>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</si>
  <si>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</si>
  <si>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</si>
  <si>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</si>
  <si>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</si>
  <si>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</si>
  <si>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</si>
  <si>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</si>
  <si>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</si>
  <si>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</si>
  <si>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</si>
  <si>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</si>
  <si>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</si>
  <si>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</si>
  <si>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</si>
  <si>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</si>
  <si>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</si>
  <si>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</si>
  <si>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</si>
  <si>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</si>
  <si>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</si>
  <si>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</si>
  <si>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</si>
  <si>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</si>
  <si>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</si>
  <si>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</si>
  <si>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</si>
  <si>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</si>
  <si>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</si>
  <si>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</si>
  <si>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</si>
  <si>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</si>
  <si>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</si>
  <si>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</si>
  <si>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</si>
  <si>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</si>
  <si>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</si>
  <si>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</si>
  <si>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</si>
  <si>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</si>
  <si>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</si>
  <si>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</si>
  <si>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</si>
  <si>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核定资产</t>
  </si>
  <si>
    <t>房地产市场价值</t>
  </si>
  <si>
    <t>北京市</t>
  </si>
  <si>
    <t>自然人</t>
  </si>
  <si>
    <t>钢混</t>
  </si>
  <si>
    <t>非生产用房</t>
  </si>
  <si>
    <t>砖混</t>
  </si>
  <si>
    <t>否</t>
  </si>
  <si>
    <t>是</t>
  </si>
  <si>
    <t>地上</t>
  </si>
  <si>
    <t>住宅</t>
    <phoneticPr fontId="7" type="noConversion"/>
  </si>
  <si>
    <t>成新度</t>
  </si>
  <si>
    <t>  </t>
  </si>
  <si>
    <t>2025-3-21804-RB</t>
  </si>
  <si>
    <t>刘征</t>
  </si>
  <si>
    <t>北京市朝阳区</t>
  </si>
  <si>
    <t>甜水园北里14号楼2层204</t>
  </si>
  <si>
    <t>碧水园</t>
  </si>
  <si>
    <t>郑宇</t>
  </si>
  <si>
    <t>商品房</t>
  </si>
  <si>
    <t>21（-02）</t>
  </si>
  <si>
    <t>2025-3-21280-RB</t>
  </si>
  <si>
    <t>从文文</t>
  </si>
  <si>
    <t>甜水园北里7号楼5层519</t>
  </si>
  <si>
    <t>甜水园北里</t>
  </si>
  <si>
    <t>2025-3-19829-RB</t>
  </si>
  <si>
    <t>贾梦珂、徐国梁</t>
  </si>
  <si>
    <t>甜水园北里5号楼17层1709</t>
  </si>
  <si>
    <t>房改房（成本价）</t>
  </si>
  <si>
    <t>2025-3-17073-RB</t>
  </si>
  <si>
    <t>刘媛</t>
  </si>
  <si>
    <t>甜水园北里2号楼10层1004</t>
  </si>
  <si>
    <t>2025-3-11364-RB</t>
  </si>
  <si>
    <t>黄倩倩</t>
  </si>
  <si>
    <t>甜水园北里17号楼16层北1601</t>
  </si>
  <si>
    <t>2025-3-09289-RB</t>
  </si>
  <si>
    <t>刘宣汝</t>
  </si>
  <si>
    <t>甜水园北里17号楼6层北610</t>
  </si>
  <si>
    <t>2025-3-07321-RB</t>
  </si>
  <si>
    <t>邢靖靖</t>
  </si>
  <si>
    <t>甜水园北里13号楼5层509</t>
  </si>
  <si>
    <t>2025-3-03998-RB</t>
  </si>
  <si>
    <t>朱昌平</t>
  </si>
  <si>
    <t>甜水园北里5号楼3层306</t>
  </si>
  <si>
    <t>李维琛</t>
  </si>
  <si>
    <t>18（-02）</t>
  </si>
  <si>
    <t>2024-3-51188-RB</t>
  </si>
  <si>
    <t>招商银行北京分行</t>
  </si>
  <si>
    <t>甜水园北里7号楼9层915</t>
  </si>
  <si>
    <t>2024-3-44802-RA</t>
  </si>
  <si>
    <t>中国工商银行北京市分行</t>
  </si>
  <si>
    <t>甜水园北里17号楼13层北1307</t>
  </si>
  <si>
    <t>2024-3-44774-RB</t>
  </si>
  <si>
    <t>刘童</t>
  </si>
  <si>
    <t>甜水园北里2号楼12层1203</t>
  </si>
  <si>
    <t>2024-3-38905-RB</t>
  </si>
  <si>
    <t>孟冬晴</t>
  </si>
  <si>
    <t>甜水园北里15号楼1层1门102</t>
  </si>
  <si>
    <t>2024-3-38648-RB</t>
  </si>
  <si>
    <t>时幼冰</t>
  </si>
  <si>
    <t>甜水园北里6号楼6层10单元601</t>
  </si>
  <si>
    <t>2024-3-38124-RB</t>
  </si>
  <si>
    <t>李徐伟</t>
  </si>
  <si>
    <t>甜水园北里13号楼508</t>
  </si>
  <si>
    <t>2024-3-29446-RB</t>
  </si>
  <si>
    <t>洪山</t>
  </si>
  <si>
    <t>甜水园北里6号楼1层8门101</t>
  </si>
  <si>
    <t>甜水园北里</t>
    <phoneticPr fontId="134" type="noConversion"/>
  </si>
  <si>
    <t>东南</t>
  </si>
  <si>
    <t>东南</t>
    <phoneticPr fontId="134" type="noConversion"/>
  </si>
  <si>
    <t>普通装修</t>
  </si>
  <si>
    <t>普通装修</t>
    <phoneticPr fontId="134" type="noConversion"/>
  </si>
  <si>
    <t>西南</t>
  </si>
  <si>
    <t>西南</t>
    <phoneticPr fontId="134" type="noConversion"/>
  </si>
  <si>
    <t>南</t>
  </si>
  <si>
    <t>南</t>
    <phoneticPr fontId="134" type="noConversion"/>
  </si>
  <si>
    <t>甜水园北里</t>
    <phoneticPr fontId="3" type="noConversion"/>
  </si>
  <si>
    <t>99.4</t>
    <phoneticPr fontId="24" type="noConversion"/>
  </si>
  <si>
    <t>南北</t>
  </si>
  <si>
    <t>东西</t>
  </si>
  <si>
    <t>东</t>
  </si>
  <si>
    <t>西</t>
  </si>
  <si>
    <t>东北</t>
  </si>
  <si>
    <t>西北</t>
  </si>
  <si>
    <t xml:space="preserve"> 北</t>
  </si>
  <si>
    <t>5/6</t>
    <phoneticPr fontId="24" type="noConversion"/>
  </si>
  <si>
    <t>5/12</t>
    <phoneticPr fontId="24" type="noConversion"/>
  </si>
  <si>
    <t>10/18</t>
    <phoneticPr fontId="24" type="noConversion"/>
  </si>
  <si>
    <t>2/18</t>
    <phoneticPr fontId="24" type="noConversion"/>
  </si>
  <si>
    <t>钢混</t>
    <phoneticPr fontId="24" type="noConversion"/>
  </si>
  <si>
    <t>混合</t>
  </si>
  <si>
    <t>混合</t>
    <phoneticPr fontId="24" type="noConversion"/>
  </si>
  <si>
    <t>普通装修</t>
    <phoneticPr fontId="24" type="noConversion"/>
  </si>
  <si>
    <t>物业公司管理</t>
  </si>
  <si>
    <t>物业公司管理</t>
    <phoneticPr fontId="24" type="noConversion"/>
  </si>
  <si>
    <t>多层板楼</t>
  </si>
  <si>
    <t>多层板楼</t>
    <phoneticPr fontId="24" type="noConversion"/>
  </si>
  <si>
    <t>小高层塔楼</t>
  </si>
  <si>
    <t>小高层塔楼</t>
    <phoneticPr fontId="24" type="noConversion"/>
  </si>
  <si>
    <t>高层塔楼</t>
  </si>
  <si>
    <t>高层塔楼</t>
    <phoneticPr fontId="24" type="noConversion"/>
  </si>
  <si>
    <t>好</t>
  </si>
  <si>
    <t>较好</t>
  </si>
  <si>
    <t>正常</t>
  </si>
  <si>
    <t>售价</t>
  </si>
  <si>
    <t>单套模式</t>
  </si>
  <si>
    <t>押一</t>
  </si>
  <si>
    <t>收益法 (元)</t>
  </si>
  <si>
    <t>城镇住宅用地</t>
  </si>
  <si>
    <t>有</t>
  </si>
  <si>
    <t>500-1000米</t>
  </si>
  <si>
    <t>与级别开发程度一致</t>
  </si>
  <si>
    <t>一般</t>
  </si>
  <si>
    <t>比较法-住宅</t>
  </si>
  <si>
    <t>未包含在土地购买价格中</t>
  </si>
  <si>
    <t>已包含在土地取得成本中</t>
  </si>
  <si>
    <t>有无电梯</t>
    <phoneticPr fontId="24" type="noConversion"/>
  </si>
  <si>
    <t>无电梯</t>
    <phoneticPr fontId="24" type="noConversion"/>
  </si>
  <si>
    <t>有电梯</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</si>
</sst>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9"/>
      <color rgb="FF333333"/>
      <name val="Microsoft YaHei"/>
      <family val="2"/>
      <charset val="134"/>
    </font>
    <font>
      <sz val="12"/>
      <color rgb="FF333333"/>
      <name val="Microsoft YaHei"/>
      <family val="2"/>
      <charset val="134"/>
    </font>
    <font>
      <sz val="9"/>
      <color rgb="FFFF0000"/>
      <name val="Microsoft YaHei"/>
      <family val="2"/>
      <charset val="134"/>
    </font>
    <font>
      <sz val="14"/>
      <color theme="1"/>
      <name val="仿宋_GB2312"/>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7F7F7"/>
        <bgColor indexed="64"/>
      </patternFill>
    </fill>
    <fill>
      <patternFill patternType="solid">
        <fgColor rgb="FFFDFDC0"/>
        <bgColor indexed="64"/>
      </patternFill>
    </fill>
    <fill>
      <patternFill patternType="solid">
        <fgColor theme="9" tint="0.79998168889431442"/>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style="medium">
        <color rgb="FFCCCCCC"/>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3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14" fontId="0" fillId="0" borderId="0" xfId="0" applyNumberFormat="1">
      <alignment vertical="center"/>
    </xf>
    <xf numFmtId="0" fontId="271" fillId="12" borderId="176" xfId="0" applyFont="1" applyFill="1" applyBorder="1" applyAlignment="1">
      <alignment horizontal="center" vertical="center" wrapText="1"/>
    </xf>
    <xf numFmtId="0" fontId="272" fillId="12" borderId="176" xfId="0" applyFont="1" applyFill="1" applyBorder="1" applyAlignment="1">
      <alignment horizontal="center" vertical="center" wrapText="1"/>
    </xf>
    <xf numFmtId="31" fontId="271" fillId="12" borderId="176" xfId="0" applyNumberFormat="1" applyFont="1" applyFill="1" applyBorder="1" applyAlignment="1">
      <alignment horizontal="center" vertical="center" wrapText="1"/>
    </xf>
    <xf numFmtId="0" fontId="271" fillId="22" borderId="176" xfId="0" applyFont="1" applyFill="1" applyBorder="1" applyAlignment="1">
      <alignment horizontal="center" vertical="center" wrapText="1"/>
    </xf>
    <xf numFmtId="0" fontId="272" fillId="22" borderId="176" xfId="0" applyFont="1" applyFill="1" applyBorder="1" applyAlignment="1">
      <alignment horizontal="center" vertical="center" wrapText="1"/>
    </xf>
    <xf numFmtId="31" fontId="271" fillId="22" borderId="176" xfId="0" applyNumberFormat="1" applyFont="1" applyFill="1" applyBorder="1" applyAlignment="1">
      <alignment horizontal="center" vertical="center" wrapText="1"/>
    </xf>
    <xf numFmtId="0" fontId="271" fillId="23" borderId="176" xfId="0" applyFont="1" applyFill="1" applyBorder="1" applyAlignment="1">
      <alignment horizontal="center" vertical="center" wrapText="1"/>
    </xf>
    <xf numFmtId="0" fontId="272" fillId="23" borderId="176" xfId="0" applyFont="1" applyFill="1" applyBorder="1" applyAlignment="1">
      <alignment horizontal="center" vertical="center" wrapText="1"/>
    </xf>
    <xf numFmtId="31" fontId="271" fillId="23" borderId="176" xfId="0" applyNumberFormat="1" applyFont="1" applyFill="1" applyBorder="1" applyAlignment="1">
      <alignment horizontal="center" vertical="center" wrapText="1"/>
    </xf>
    <xf numFmtId="0" fontId="271" fillId="12" borderId="177" xfId="0" applyFont="1" applyFill="1" applyBorder="1" applyAlignment="1">
      <alignment horizontal="center" vertical="center" wrapText="1"/>
    </xf>
    <xf numFmtId="0" fontId="272" fillId="12" borderId="177" xfId="0" applyFont="1" applyFill="1" applyBorder="1" applyAlignment="1">
      <alignment horizontal="center" vertical="center" wrapText="1"/>
    </xf>
    <xf numFmtId="31" fontId="271" fillId="12" borderId="177" xfId="0" applyNumberFormat="1" applyFont="1" applyFill="1" applyBorder="1" applyAlignment="1">
      <alignment horizontal="center" vertical="center" wrapText="1"/>
    </xf>
    <xf numFmtId="0" fontId="273" fillId="12" borderId="177" xfId="0" applyFont="1" applyFill="1" applyBorder="1" applyAlignment="1">
      <alignment horizontal="center" vertical="center" wrapText="1"/>
    </xf>
    <xf numFmtId="0" fontId="273" fillId="22" borderId="176" xfId="0" applyFont="1" applyFill="1" applyBorder="1" applyAlignment="1">
      <alignment horizontal="center" vertical="center" wrapText="1"/>
    </xf>
    <xf numFmtId="0" fontId="273" fillId="12" borderId="176" xfId="0" applyFont="1" applyFill="1" applyBorder="1" applyAlignment="1">
      <alignment horizontal="center" vertical="center" wrapText="1"/>
    </xf>
    <xf numFmtId="0" fontId="273" fillId="23" borderId="176" xfId="0" applyFont="1" applyFill="1" applyBorder="1" applyAlignment="1">
      <alignment horizontal="center" vertical="center" wrapText="1"/>
    </xf>
    <xf numFmtId="0" fontId="271" fillId="24" borderId="176" xfId="0" applyFont="1" applyFill="1" applyBorder="1" applyAlignment="1">
      <alignment horizontal="center" vertical="center" wrapText="1"/>
    </xf>
    <xf numFmtId="0" fontId="272" fillId="24" borderId="176" xfId="0" applyFont="1" applyFill="1" applyBorder="1" applyAlignment="1">
      <alignment horizontal="center" vertical="center" wrapText="1"/>
    </xf>
    <xf numFmtId="0" fontId="273" fillId="24" borderId="176" xfId="0" applyFont="1" applyFill="1" applyBorder="1" applyAlignment="1">
      <alignment horizontal="center" vertical="center" wrapText="1"/>
    </xf>
    <xf numFmtId="31" fontId="271" fillId="24" borderId="176" xfId="0" applyNumberFormat="1" applyFont="1" applyFill="1" applyBorder="1" applyAlignment="1">
      <alignment horizontal="center" vertical="center" wrapText="1"/>
    </xf>
    <xf numFmtId="0" fontId="271" fillId="0" borderId="176" xfId="0" applyFont="1" applyFill="1" applyBorder="1" applyAlignment="1">
      <alignment horizontal="center" vertical="center" wrapText="1"/>
    </xf>
    <xf numFmtId="0" fontId="272" fillId="0" borderId="176" xfId="0" applyFont="1" applyFill="1" applyBorder="1" applyAlignment="1">
      <alignment horizontal="center" vertical="center" wrapText="1"/>
    </xf>
    <xf numFmtId="0" fontId="273" fillId="0" borderId="176" xfId="0" applyFont="1" applyFill="1" applyBorder="1" applyAlignment="1">
      <alignment horizontal="center" vertical="center" wrapText="1"/>
    </xf>
    <xf numFmtId="31" fontId="271" fillId="0" borderId="176" xfId="0" applyNumberFormat="1"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274" fillId="0" borderId="82" xfId="0" applyFont="1" applyBorder="1" applyAlignment="1" applyProtection="1">
      <alignment horizontal="center" vertical="center" wrapText="1"/>
      <protection locked="0"/>
    </xf>
    <xf numFmtId="0" fontId="274" fillId="0" borderId="65" xfId="0" applyFont="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49" fontId="44" fillId="0" borderId="44" xfId="0" applyNumberFormat="1"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599400</xdr:colOff>
      <xdr:row>31</xdr:row>
      <xdr:rowOff>75526</xdr:rowOff>
    </xdr:to>
    <xdr:pic>
      <xdr:nvPicPr>
        <xdr:cNvPr id="2" name="图片 1">
          <a:extLst>
            <a:ext uri="{FF2B5EF4-FFF2-40B4-BE49-F238E27FC236}">
              <a16:creationId xmlns:a16="http://schemas.microsoft.com/office/drawing/2014/main" id="{DAFF292B-100C-0DF1-1D13-BB64CA0A7687}"/>
            </a:ext>
          </a:extLst>
        </xdr:cNvPr>
        <xdr:cNvPicPr>
          <a:picLocks noChangeAspect="1"/>
        </xdr:cNvPicPr>
      </xdr:nvPicPr>
      <xdr:blipFill>
        <a:blip xmlns:r="http://schemas.openxmlformats.org/officeDocument/2006/relationships" r:embed="rId1"/>
        <a:stretch>
          <a:fillRect/>
        </a:stretch>
      </xdr:blipFill>
      <xdr:spPr>
        <a:xfrm>
          <a:off x="0" y="0"/>
          <a:ext cx="5400000" cy="5390476"/>
        </a:xfrm>
        <a:prstGeom prst="rect">
          <a:avLst/>
        </a:prstGeom>
      </xdr:spPr>
    </xdr:pic>
    <xdr:clientData/>
  </xdr:twoCellAnchor>
  <xdr:twoCellAnchor editAs="oneCell">
    <xdr:from>
      <xdr:col>7</xdr:col>
      <xdr:colOff>676276</xdr:colOff>
      <xdr:row>0</xdr:row>
      <xdr:rowOff>0</xdr:rowOff>
    </xdr:from>
    <xdr:to>
      <xdr:col>22</xdr:col>
      <xdr:colOff>390526</xdr:colOff>
      <xdr:row>57</xdr:row>
      <xdr:rowOff>140716</xdr:rowOff>
    </xdr:to>
    <xdr:pic>
      <xdr:nvPicPr>
        <xdr:cNvPr id="4" name="图片 3">
          <a:extLst>
            <a:ext uri="{FF2B5EF4-FFF2-40B4-BE49-F238E27FC236}">
              <a16:creationId xmlns:a16="http://schemas.microsoft.com/office/drawing/2014/main" id="{4D5ABA23-8B8E-F2D1-66D2-4B17C29A3487}"/>
            </a:ext>
          </a:extLst>
        </xdr:cNvPr>
        <xdr:cNvPicPr>
          <a:picLocks noChangeAspect="1"/>
        </xdr:cNvPicPr>
      </xdr:nvPicPr>
      <xdr:blipFill>
        <a:blip xmlns:r="http://schemas.openxmlformats.org/officeDocument/2006/relationships" r:embed="rId2"/>
        <a:stretch>
          <a:fillRect/>
        </a:stretch>
      </xdr:blipFill>
      <xdr:spPr>
        <a:xfrm>
          <a:off x="5476876" y="0"/>
          <a:ext cx="10001250" cy="9913366"/>
        </a:xfrm>
        <a:prstGeom prst="rect">
          <a:avLst/>
        </a:prstGeom>
      </xdr:spPr>
    </xdr:pic>
    <xdr:clientData/>
  </xdr:twoCellAnchor>
  <xdr:twoCellAnchor editAs="oneCell">
    <xdr:from>
      <xdr:col>22</xdr:col>
      <xdr:colOff>552450</xdr:colOff>
      <xdr:row>0</xdr:row>
      <xdr:rowOff>0</xdr:rowOff>
    </xdr:from>
    <xdr:to>
      <xdr:col>33</xdr:col>
      <xdr:colOff>618174</xdr:colOff>
      <xdr:row>52</xdr:row>
      <xdr:rowOff>122695</xdr:rowOff>
    </xdr:to>
    <xdr:pic>
      <xdr:nvPicPr>
        <xdr:cNvPr id="5" name="图片 4">
          <a:extLst>
            <a:ext uri="{FF2B5EF4-FFF2-40B4-BE49-F238E27FC236}">
              <a16:creationId xmlns:a16="http://schemas.microsoft.com/office/drawing/2014/main" id="{7CC2EE6D-8907-3A0B-A0C6-29C44CA08AB1}"/>
            </a:ext>
          </a:extLst>
        </xdr:cNvPr>
        <xdr:cNvPicPr>
          <a:picLocks noChangeAspect="1"/>
        </xdr:cNvPicPr>
      </xdr:nvPicPr>
      <xdr:blipFill>
        <a:blip xmlns:r="http://schemas.openxmlformats.org/officeDocument/2006/relationships" r:embed="rId3"/>
        <a:stretch>
          <a:fillRect/>
        </a:stretch>
      </xdr:blipFill>
      <xdr:spPr>
        <a:xfrm>
          <a:off x="15640050" y="0"/>
          <a:ext cx="7609524" cy="90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24</xdr:col>
      <xdr:colOff>122691</xdr:colOff>
      <xdr:row>0</xdr:row>
      <xdr:rowOff>9525</xdr:rowOff>
    </xdr:from>
    <xdr:to>
      <xdr:col>30</xdr:col>
      <xdr:colOff>303759</xdr:colOff>
      <xdr:row>14</xdr:row>
      <xdr:rowOff>131839</xdr:rowOff>
    </xdr:to>
    <xdr:pic>
      <xdr:nvPicPr>
        <xdr:cNvPr id="2" name="图片 1">
          <a:extLst>
            <a:ext uri="{FF2B5EF4-FFF2-40B4-BE49-F238E27FC236}">
              <a16:creationId xmlns:a16="http://schemas.microsoft.com/office/drawing/2014/main" id="{16E9E4BF-B30B-4136-9841-F0FB7E5FA432}"/>
            </a:ext>
          </a:extLst>
        </xdr:cNvPr>
        <xdr:cNvPicPr>
          <a:picLocks noChangeAspect="1"/>
        </xdr:cNvPicPr>
      </xdr:nvPicPr>
      <xdr:blipFill>
        <a:blip xmlns:r="http://schemas.openxmlformats.org/officeDocument/2006/relationships" r:embed="rId1"/>
        <a:stretch>
          <a:fillRect/>
        </a:stretch>
      </xdr:blipFill>
      <xdr:spPr>
        <a:xfrm>
          <a:off x="16696191" y="9525"/>
          <a:ext cx="4295868" cy="6237364"/>
        </a:xfrm>
        <a:prstGeom prst="rect">
          <a:avLst/>
        </a:prstGeom>
      </xdr:spPr>
    </xdr:pic>
    <xdr:clientData/>
  </xdr:twoCellAnchor>
  <xdr:twoCellAnchor editAs="oneCell">
    <xdr:from>
      <xdr:col>30</xdr:col>
      <xdr:colOff>438150</xdr:colOff>
      <xdr:row>5</xdr:row>
      <xdr:rowOff>508466</xdr:rowOff>
    </xdr:from>
    <xdr:to>
      <xdr:col>37</xdr:col>
      <xdr:colOff>84632</xdr:colOff>
      <xdr:row>8</xdr:row>
      <xdr:rowOff>352135</xdr:rowOff>
    </xdr:to>
    <xdr:pic>
      <xdr:nvPicPr>
        <xdr:cNvPr id="3" name="图片 2">
          <a:extLst>
            <a:ext uri="{FF2B5EF4-FFF2-40B4-BE49-F238E27FC236}">
              <a16:creationId xmlns:a16="http://schemas.microsoft.com/office/drawing/2014/main" id="{96CF9358-159E-5DA1-C1A7-2D28BEED4007}"/>
            </a:ext>
          </a:extLst>
        </xdr:cNvPr>
        <xdr:cNvPicPr>
          <a:picLocks noChangeAspect="1"/>
        </xdr:cNvPicPr>
      </xdr:nvPicPr>
      <xdr:blipFill>
        <a:blip xmlns:r="http://schemas.openxmlformats.org/officeDocument/2006/relationships" r:embed="rId2"/>
        <a:stretch>
          <a:fillRect/>
        </a:stretch>
      </xdr:blipFill>
      <xdr:spPr>
        <a:xfrm>
          <a:off x="21126450" y="2337266"/>
          <a:ext cx="4447082" cy="1177169"/>
        </a:xfrm>
        <a:prstGeom prst="rect">
          <a:avLst/>
        </a:prstGeom>
      </xdr:spPr>
    </xdr:pic>
    <xdr:clientData/>
  </xdr:twoCellAnchor>
  <xdr:twoCellAnchor editAs="oneCell">
    <xdr:from>
      <xdr:col>30</xdr:col>
      <xdr:colOff>161925</xdr:colOff>
      <xdr:row>1</xdr:row>
      <xdr:rowOff>66675</xdr:rowOff>
    </xdr:from>
    <xdr:to>
      <xdr:col>37</xdr:col>
      <xdr:colOff>65594</xdr:colOff>
      <xdr:row>6</xdr:row>
      <xdr:rowOff>152020</xdr:rowOff>
    </xdr:to>
    <xdr:pic>
      <xdr:nvPicPr>
        <xdr:cNvPr id="4" name="图片 3">
          <a:extLst>
            <a:ext uri="{FF2B5EF4-FFF2-40B4-BE49-F238E27FC236}">
              <a16:creationId xmlns:a16="http://schemas.microsoft.com/office/drawing/2014/main" id="{88EAB80D-F14F-2DA7-7F5B-B75F80B371B8}"/>
            </a:ext>
          </a:extLst>
        </xdr:cNvPr>
        <xdr:cNvPicPr>
          <a:picLocks noChangeAspect="1"/>
        </xdr:cNvPicPr>
      </xdr:nvPicPr>
      <xdr:blipFill>
        <a:blip xmlns:r="http://schemas.openxmlformats.org/officeDocument/2006/relationships" r:embed="rId3"/>
        <a:stretch>
          <a:fillRect/>
        </a:stretch>
      </xdr:blipFill>
      <xdr:spPr>
        <a:xfrm>
          <a:off x="20850225" y="238125"/>
          <a:ext cx="4704269" cy="2295145"/>
        </a:xfrm>
        <a:prstGeom prst="rect">
          <a:avLst/>
        </a:prstGeom>
      </xdr:spPr>
    </xdr:pic>
    <xdr:clientData/>
  </xdr:twoCellAnchor>
  <xdr:twoCellAnchor editAs="oneCell">
    <xdr:from>
      <xdr:col>28</xdr:col>
      <xdr:colOff>600075</xdr:colOff>
      <xdr:row>9</xdr:row>
      <xdr:rowOff>216548</xdr:rowOff>
    </xdr:from>
    <xdr:to>
      <xdr:col>39</xdr:col>
      <xdr:colOff>275193</xdr:colOff>
      <xdr:row>17</xdr:row>
      <xdr:rowOff>494706</xdr:rowOff>
    </xdr:to>
    <xdr:pic>
      <xdr:nvPicPr>
        <xdr:cNvPr id="5" name="图片 4">
          <a:extLst>
            <a:ext uri="{FF2B5EF4-FFF2-40B4-BE49-F238E27FC236}">
              <a16:creationId xmlns:a16="http://schemas.microsoft.com/office/drawing/2014/main" id="{EE28E232-F931-88ED-A5B7-CF8FAF51A4A6}"/>
            </a:ext>
          </a:extLst>
        </xdr:cNvPr>
        <xdr:cNvPicPr>
          <a:picLocks noChangeAspect="1"/>
        </xdr:cNvPicPr>
      </xdr:nvPicPr>
      <xdr:blipFill>
        <a:blip xmlns:r="http://schemas.openxmlformats.org/officeDocument/2006/relationships" r:embed="rId4"/>
        <a:stretch>
          <a:fillRect/>
        </a:stretch>
      </xdr:blipFill>
      <xdr:spPr>
        <a:xfrm>
          <a:off x="19916775" y="3702698"/>
          <a:ext cx="7218918" cy="4154833"/>
        </a:xfrm>
        <a:prstGeom prst="rect">
          <a:avLst/>
        </a:prstGeom>
      </xdr:spPr>
    </xdr:pic>
    <xdr:clientData/>
  </xdr:twoCellAnchor>
  <xdr:twoCellAnchor editAs="oneCell">
    <xdr:from>
      <xdr:col>23</xdr:col>
      <xdr:colOff>666911</xdr:colOff>
      <xdr:row>43</xdr:row>
      <xdr:rowOff>9524</xdr:rowOff>
    </xdr:from>
    <xdr:to>
      <xdr:col>34</xdr:col>
      <xdr:colOff>151367</xdr:colOff>
      <xdr:row>65</xdr:row>
      <xdr:rowOff>75635</xdr:rowOff>
    </xdr:to>
    <xdr:pic>
      <xdr:nvPicPr>
        <xdr:cNvPr id="6" name="图片 5">
          <a:extLst>
            <a:ext uri="{FF2B5EF4-FFF2-40B4-BE49-F238E27FC236}">
              <a16:creationId xmlns:a16="http://schemas.microsoft.com/office/drawing/2014/main" id="{F8213E02-777B-A792-1C94-ECBE9EDD5EE0}"/>
            </a:ext>
          </a:extLst>
        </xdr:cNvPr>
        <xdr:cNvPicPr>
          <a:picLocks noChangeAspect="1"/>
        </xdr:cNvPicPr>
      </xdr:nvPicPr>
      <xdr:blipFill>
        <a:blip xmlns:r="http://schemas.openxmlformats.org/officeDocument/2006/relationships" r:embed="rId5"/>
        <a:stretch>
          <a:fillRect/>
        </a:stretch>
      </xdr:blipFill>
      <xdr:spPr>
        <a:xfrm>
          <a:off x="16554611" y="7210424"/>
          <a:ext cx="7028256" cy="383801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估价对象为北京市房地产，为所有。根据《国有土地使用证》[]，估价对象（分摊）出让国有建设用地使用权面积为0平方米，建筑面积为63.97平方米。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估价对象为北京市房地产,属开发建设的，该项目尚在开发建设中。根据《国有土地使用证》[]，估价对象（分摊）出让国有建设用地使用权面积为0平方米，规划建筑面积为63.97平方米。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2025年6月4日（评估专业人员实地查勘之日）</v>
      </c>
    </row>
    <row r="13" spans="1:2">
      <c r="A13" s="1119" t="s">
        <v>529</v>
      </c>
      <c r="B13" s="1120" t="str">
        <f>'预评函-1'!A18</f>
        <v>本次估价的“房地产价值”是指在正常市场情况下，在价值时点2025年6月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本次评估采用的主估价方法为收益法和比较法。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63.97</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2"/>
      <c r="B54" s="1447" t="s">
        <v>385</v>
      </c>
      <c r="C54" s="1445" t="s">
        <v>583</v>
      </c>
    </row>
    <row r="55" spans="1:4">
      <c r="A55" s="3202"/>
      <c r="B55" s="1447" t="s">
        <v>386</v>
      </c>
      <c r="C55" s="1445" t="s">
        <v>584</v>
      </c>
    </row>
    <row r="56" spans="1:4">
      <c r="A56" s="3202"/>
      <c r="B56" s="1447" t="s">
        <v>387</v>
      </c>
      <c r="C56" s="1445" t="s">
        <v>588</v>
      </c>
    </row>
    <row r="57" spans="1:4">
      <c r="A57" s="320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03" t="s">
        <v>2580</v>
      </c>
      <c r="J2" s="3203"/>
      <c r="K2" s="3203"/>
      <c r="L2" s="3203"/>
      <c r="M2" s="3203"/>
      <c r="N2" s="3203"/>
      <c r="O2" s="3203"/>
      <c r="P2" s="3203"/>
      <c r="Q2" s="3203"/>
      <c r="R2" s="3203"/>
    </row>
    <row r="3" spans="1:18">
      <c r="A3" s="2762" t="s">
        <v>2501</v>
      </c>
      <c r="B3" s="2763">
        <f>项目基本情况!D3</f>
        <v>45812</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1.54</v>
      </c>
      <c r="D5" s="2767">
        <f>IF(ISERROR(ROUND(POWER(1+E5,A5-C5)*(POWER(1+E5,C5)-1)/(POWER(1+E5,A5)-1),3)),0,ROUND(POWER(1+E5,A5-C5)*(POWER(1+E5,C5)-1)/(POWER(1+E5,A5)-1),4))</f>
        <v>7.3999999999999996E-2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11.55</v>
      </c>
      <c r="D6" s="2767">
        <f>IF(ISERROR(ROUND(POWER(1+E6,A6-C6)*(POWER(1+E6,C6)-1)/(POWER(1+E6,A6)-1),3)),0,ROUND(POWER(1+E6,A6-C6)*(POWER(1+E6,C6)-1)/(POWER(1+E6,A6)-1),4))</f>
        <v>0.4239</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31.56</v>
      </c>
      <c r="D7" s="2767">
        <f>IF(ISERROR(ROUND(POWER(1+E7,A7-C7)*(POWER(1+E7,C7)-1)/(POWER(1+E7,A7)-1),3)),0,ROUND(POWER(1+E7,A7-C7)*(POWER(1+E7,C7)-1)/(POWER(1+E7,A7)-1),4))</f>
        <v>0.75870000000000004</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4.25" thickBot="1">
      <c r="A18" s="2772" t="s">
        <v>2516</v>
      </c>
      <c r="B18" s="2773">
        <f>ROUND(B17*F11/F12,2)</f>
        <v>5541.87</v>
      </c>
      <c r="C18" s="2773">
        <f>ROUND(F11/F12,4)</f>
        <v>1.1521999999999999</v>
      </c>
      <c r="D18" s="2774"/>
      <c r="E18" s="2774"/>
      <c r="F18" s="2775"/>
    </row>
    <row r="19" spans="1:14" ht="14.25" thickBot="1"/>
    <row r="20" spans="1:14" s="2808" customFormat="1" ht="14.2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4.2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3387</v>
      </c>
    </row>
    <row r="50" spans="1:4">
      <c r="A50" s="3144" t="s">
        <v>3388</v>
      </c>
      <c r="B50" s="3144" t="s">
        <v>3389</v>
      </c>
      <c r="C50" s="3144" t="s">
        <v>3390</v>
      </c>
      <c r="D50" s="3144" t="s">
        <v>3391</v>
      </c>
    </row>
    <row r="51" spans="1:4">
      <c r="A51" s="3144" t="s">
        <v>3392</v>
      </c>
      <c r="B51" s="2764">
        <f>B52+B53</f>
        <v>15000</v>
      </c>
      <c r="C51" s="3145">
        <f>D51/B51</f>
        <v>2666.6666666666665</v>
      </c>
      <c r="D51" s="2764">
        <f>D52+D53</f>
        <v>40000000</v>
      </c>
    </row>
    <row r="52" spans="1:4">
      <c r="A52" s="3146" t="s">
        <v>3393</v>
      </c>
      <c r="B52" s="3147">
        <v>10000</v>
      </c>
      <c r="C52" s="3147">
        <v>1500</v>
      </c>
      <c r="D52" s="3148">
        <f>C52*B52</f>
        <v>15000000</v>
      </c>
    </row>
    <row r="53" spans="1:4">
      <c r="A53" s="3146" t="s">
        <v>3394</v>
      </c>
      <c r="B53" s="3147">
        <v>5000</v>
      </c>
      <c r="C53" s="3147">
        <v>5000</v>
      </c>
      <c r="D53" s="3148">
        <f>C53*B53</f>
        <v>25000000</v>
      </c>
    </row>
    <row r="54" spans="1:4">
      <c r="A54" s="3144" t="s">
        <v>3395</v>
      </c>
      <c r="B54" s="2764">
        <f>B51</f>
        <v>15000</v>
      </c>
      <c r="C54" s="2770">
        <v>700</v>
      </c>
      <c r="D54" s="2764">
        <f t="shared" ref="D54:D55" si="5">C54*B54</f>
        <v>10500000</v>
      </c>
    </row>
    <row r="55" spans="1:4">
      <c r="A55" s="3144" t="s">
        <v>3396</v>
      </c>
      <c r="B55" s="2764">
        <f>B51</f>
        <v>15000</v>
      </c>
      <c r="C55" s="2770">
        <v>1500</v>
      </c>
      <c r="D55" s="2764">
        <f t="shared" si="5"/>
        <v>22500000</v>
      </c>
    </row>
    <row r="56" spans="1:4">
      <c r="A56" s="3144" t="s">
        <v>3397</v>
      </c>
      <c r="B56" s="2764">
        <f>B51</f>
        <v>15000</v>
      </c>
      <c r="C56" s="3149">
        <f>C51+C54+C55</f>
        <v>4866.6666666666661</v>
      </c>
      <c r="D56" s="2764">
        <f>D51+D54+D55</f>
        <v>73000000</v>
      </c>
    </row>
    <row r="58" spans="1:4">
      <c r="A58" s="3144" t="s">
        <v>3398</v>
      </c>
      <c r="B58" s="3150">
        <v>0.05</v>
      </c>
      <c r="C58" s="2764">
        <f>C56*(1+B58)</f>
        <v>5110</v>
      </c>
      <c r="D58" s="2764">
        <f>D56*B58</f>
        <v>3650000</v>
      </c>
    </row>
    <row r="60" spans="1:4">
      <c r="A60" s="3144" t="s">
        <v>3399</v>
      </c>
      <c r="B60" s="2770">
        <v>3500</v>
      </c>
      <c r="C60" s="2770">
        <f>C53</f>
        <v>5000</v>
      </c>
      <c r="D60" s="2764">
        <f>C60*B60</f>
        <v>17500000</v>
      </c>
    </row>
    <row r="62" spans="1:4">
      <c r="A62" s="3144" t="s">
        <v>3400</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C14" sqref="C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0" t="s">
        <v>2168</v>
      </c>
      <c r="B1" s="3204" t="str">
        <f>IF(B10="北京市","北京市",C10)&amp;F10&amp;IF(结果表!G1="在建","出让国有建设用地使用权及在建建筑物",IF(结果表!G1="土地","出让国有建设用地使用权",))&amp;B9&amp;"预评估"</f>
        <v>北京市房地产市场价值预评估</v>
      </c>
      <c r="C1" s="3205"/>
      <c r="D1" s="3205"/>
      <c r="E1" s="3205"/>
      <c r="F1" s="3205"/>
      <c r="G1" s="3205"/>
      <c r="H1" s="3205"/>
      <c r="I1" s="3206"/>
      <c r="J1" s="2244"/>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1" t="s">
        <v>2169</v>
      </c>
      <c r="B2" s="122"/>
      <c r="D2" s="2447"/>
      <c r="E2" s="2440"/>
      <c r="F2" s="2440"/>
      <c r="G2" s="2441"/>
      <c r="H2" s="2441"/>
      <c r="I2" s="2441"/>
      <c r="J2" s="2244"/>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4">
        <v>45812</v>
      </c>
      <c r="C3" s="2185" t="s">
        <v>2171</v>
      </c>
      <c r="D3" s="2184">
        <f>B3</f>
        <v>45812</v>
      </c>
      <c r="E3" s="2441"/>
      <c r="F3" s="2441"/>
      <c r="G3" s="2441"/>
      <c r="H3" s="2441"/>
      <c r="I3" s="2441"/>
      <c r="J3" s="2244"/>
      <c r="K3" s="2182"/>
      <c r="L3" s="2183"/>
      <c r="M3" s="2183"/>
      <c r="N3" s="2181"/>
      <c r="O3" s="1466"/>
      <c r="P3" s="2181"/>
      <c r="Q3" s="2181"/>
      <c r="R3" s="2181"/>
      <c r="S3" s="1561"/>
      <c r="T3" s="1618"/>
      <c r="U3" s="1618"/>
      <c r="V3" s="1618"/>
      <c r="W3" s="1618"/>
      <c r="X3" s="1618"/>
      <c r="Y3" s="1618"/>
      <c r="Z3" s="1618"/>
      <c r="AA3" s="1618"/>
      <c r="AB3" s="1618"/>
    </row>
    <row r="4" spans="1:30" ht="13.5"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40"/>
      <c r="F6" s="2441"/>
      <c r="G6" s="2441"/>
      <c r="H6" s="2441"/>
      <c r="I6" s="2441"/>
      <c r="J6" s="2244"/>
      <c r="K6" s="2400" t="str">
        <f>IF(COUNTIF(B6,"*上海银行*"),"上海银行","")</f>
        <v/>
      </c>
      <c r="L6" s="2398"/>
      <c r="M6" s="2398"/>
      <c r="N6" s="2244"/>
      <c r="O6" s="1670"/>
      <c r="P6" s="2244"/>
      <c r="Q6" s="2244"/>
      <c r="R6" s="2244"/>
    </row>
    <row r="7" spans="1:30">
      <c r="A7" s="2193" t="s">
        <v>2175</v>
      </c>
      <c r="B7" s="2197"/>
      <c r="C7" s="2195"/>
      <c r="D7" s="2196"/>
      <c r="E7" s="2440"/>
      <c r="F7" s="2441"/>
      <c r="G7" s="2441"/>
      <c r="H7" s="2441"/>
      <c r="I7" s="2441"/>
      <c r="J7" s="2244"/>
      <c r="K7" s="2401"/>
      <c r="L7" s="2398"/>
      <c r="M7" s="2398"/>
      <c r="N7" s="2244"/>
      <c r="O7" s="1670"/>
      <c r="P7" s="2244"/>
      <c r="Q7" s="2244"/>
      <c r="R7" s="2244"/>
    </row>
    <row r="8" spans="1:30">
      <c r="A8" s="2198" t="s">
        <v>2176</v>
      </c>
      <c r="B8" s="2199" t="s">
        <v>3412</v>
      </c>
      <c r="C8" s="2200"/>
      <c r="D8" s="3207" t="s">
        <v>2177</v>
      </c>
      <c r="E8" s="2201"/>
      <c r="F8" s="2202"/>
      <c r="G8" s="2441"/>
      <c r="H8" s="2441"/>
      <c r="I8" s="2441"/>
      <c r="J8" s="2244"/>
      <c r="K8" s="2399"/>
      <c r="L8" s="2398"/>
      <c r="M8" s="2398"/>
      <c r="N8" s="2244"/>
      <c r="O8" s="1670"/>
      <c r="P8" s="2244"/>
      <c r="Q8" s="2244"/>
      <c r="R8" s="2244"/>
    </row>
    <row r="9" spans="1:30" ht="13.5" thickBot="1">
      <c r="A9" s="2203" t="s">
        <v>2178</v>
      </c>
      <c r="B9" s="2204" t="s">
        <v>3413</v>
      </c>
      <c r="C9" s="2205"/>
      <c r="D9" s="3208"/>
      <c r="E9" s="2204"/>
      <c r="F9" s="2206"/>
      <c r="G9" s="2442"/>
      <c r="H9" s="2442"/>
      <c r="I9" s="2442"/>
      <c r="J9" s="2244"/>
      <c r="K9" s="2401"/>
      <c r="L9" s="2398"/>
      <c r="M9" s="2398"/>
      <c r="N9" s="2244"/>
      <c r="O9" s="1670"/>
      <c r="P9" s="2244"/>
      <c r="Q9" s="2244"/>
      <c r="R9" s="2244"/>
    </row>
    <row r="10" spans="1:30" ht="13.5" thickTop="1">
      <c r="A10" s="2207" t="s">
        <v>2179</v>
      </c>
      <c r="B10" s="2208" t="s">
        <v>3414</v>
      </c>
      <c r="C10" s="2209"/>
      <c r="D10" s="2192"/>
      <c r="E10" s="2210" t="s">
        <v>2180</v>
      </c>
      <c r="F10" s="2443"/>
      <c r="G10" s="2444"/>
      <c r="H10" s="2445"/>
      <c r="I10" s="2446"/>
      <c r="J10" s="2244"/>
      <c r="K10" s="2401"/>
      <c r="L10" s="2398"/>
      <c r="M10" s="2398"/>
      <c r="N10" s="2244"/>
      <c r="O10" s="1670"/>
      <c r="P10" s="2244"/>
      <c r="Q10" s="2244"/>
      <c r="R10" s="2244"/>
    </row>
    <row r="11" spans="1:30">
      <c r="A11" s="2211" t="s">
        <v>2181</v>
      </c>
      <c r="B11" s="2212" t="s">
        <v>3415</v>
      </c>
      <c r="C11" s="2213"/>
      <c r="D11" s="2214"/>
      <c r="E11" s="2181"/>
      <c r="F11" s="2181"/>
      <c r="G11" s="2181"/>
      <c r="H11" s="2181"/>
      <c r="I11" s="2181"/>
      <c r="J11" s="2801"/>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2576</v>
      </c>
      <c r="J12" s="2802"/>
      <c r="K12" s="2398"/>
      <c r="L12" s="2398"/>
      <c r="M12" s="2244"/>
      <c r="N12" s="1670"/>
      <c r="O12" s="2244"/>
      <c r="P12" s="2244"/>
      <c r="Q12" s="2244"/>
      <c r="AD12" s="1618"/>
    </row>
    <row r="13" spans="1:30">
      <c r="A13" s="3121" t="s">
        <v>3332</v>
      </c>
      <c r="B13" s="2217" t="s">
        <v>2190</v>
      </c>
      <c r="C13" s="803">
        <v>70392</v>
      </c>
      <c r="D13" s="803"/>
      <c r="E13" s="803"/>
      <c r="F13" s="803"/>
      <c r="G13" s="803"/>
      <c r="H13" s="803"/>
      <c r="I13" s="803"/>
      <c r="J13" s="2802"/>
      <c r="K13" s="2398"/>
      <c r="L13" s="3529">
        <f>1993+70</f>
        <v>2063</v>
      </c>
      <c r="M13" s="2244"/>
      <c r="N13" s="1670"/>
      <c r="O13" s="2244"/>
      <c r="P13" s="2244"/>
      <c r="Q13" s="2244"/>
      <c r="AD13" s="1618"/>
    </row>
    <row r="14" spans="1:30">
      <c r="A14" s="1018"/>
      <c r="B14" s="2217" t="s">
        <v>2191</v>
      </c>
      <c r="C14" s="2218">
        <v>70</v>
      </c>
      <c r="D14" s="2218"/>
      <c r="E14" s="2218"/>
      <c r="F14" s="2218"/>
      <c r="G14" s="2218"/>
      <c r="H14" s="2218"/>
      <c r="I14" s="2218"/>
      <c r="J14" s="2803"/>
      <c r="K14" s="2398"/>
      <c r="L14" s="2398"/>
      <c r="M14" s="2244"/>
      <c r="N14" s="1670"/>
      <c r="O14" s="2244"/>
      <c r="P14" s="2244"/>
      <c r="Q14" s="2244"/>
      <c r="AD14" s="1618"/>
    </row>
    <row r="15" spans="1:30">
      <c r="A15" s="312"/>
      <c r="B15" s="2219" t="s">
        <v>2192</v>
      </c>
      <c r="C15" s="2220">
        <f>IF(A13="出让",IF(C13="","",ROUNDDOWN(MIN((C13-$D$3)/365,C14),2)),C14)</f>
        <v>67.34</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70"/>
      <c r="L15" s="1670"/>
      <c r="M15" s="2244"/>
      <c r="N15" s="1670"/>
      <c r="O15" s="2244"/>
      <c r="P15" s="2244"/>
      <c r="Q15" s="2244"/>
      <c r="AD15" s="1618"/>
    </row>
    <row r="16" spans="1:30">
      <c r="A16" s="2210" t="s">
        <v>2193</v>
      </c>
      <c r="B16" s="3214"/>
      <c r="C16" s="3215"/>
      <c r="D16" s="3216"/>
      <c r="E16" s="2221" t="s">
        <v>2194</v>
      </c>
      <c r="F16" s="3217"/>
      <c r="G16" s="3218"/>
      <c r="H16" s="3218"/>
      <c r="I16" s="3219"/>
      <c r="J16" s="2244"/>
      <c r="K16" s="2402"/>
      <c r="L16" s="1670"/>
      <c r="M16" s="1670"/>
      <c r="N16" s="2244"/>
      <c r="O16" s="1670"/>
      <c r="P16" s="2244"/>
      <c r="Q16" s="2244"/>
      <c r="R16" s="2244"/>
    </row>
    <row r="17" spans="1:28">
      <c r="A17" s="305" t="s">
        <v>2195</v>
      </c>
      <c r="B17" s="294" t="s">
        <v>2196</v>
      </c>
      <c r="C17" s="8">
        <f>'数据-汇总表'!E3</f>
        <v>63.97</v>
      </c>
      <c r="D17" s="1256" t="s">
        <v>2197</v>
      </c>
      <c r="E17" s="3220" t="s">
        <v>2198</v>
      </c>
      <c r="F17" s="3221"/>
      <c r="G17" s="3221"/>
      <c r="H17" s="3221"/>
      <c r="I17" s="3222"/>
      <c r="J17" s="2244"/>
      <c r="K17" s="2403"/>
      <c r="L17" s="1670"/>
      <c r="M17" s="1670"/>
      <c r="N17" s="2244"/>
      <c r="O17" s="1670"/>
      <c r="P17" s="2244"/>
      <c r="Q17" s="2244"/>
      <c r="R17" s="2244"/>
      <c r="S17" s="2244"/>
      <c r="T17" s="2244"/>
      <c r="U17" s="2244"/>
      <c r="V17" s="2244"/>
    </row>
    <row r="18" spans="1:28" ht="24.75" thickBot="1">
      <c r="A18" s="2222" t="s">
        <v>2199</v>
      </c>
      <c r="B18" s="1027" t="s">
        <v>2200</v>
      </c>
      <c r="C18" s="2223">
        <f>'数据-汇总表'!D3</f>
        <v>0</v>
      </c>
      <c r="D18" s="1029" t="s">
        <v>2201</v>
      </c>
      <c r="E18" s="3223" t="s">
        <v>2202</v>
      </c>
      <c r="F18" s="3224"/>
      <c r="G18" s="3224"/>
      <c r="H18" s="3224"/>
      <c r="I18" s="3225"/>
      <c r="J18" s="2244"/>
      <c r="K18" s="2403"/>
      <c r="L18" s="1670"/>
      <c r="M18" s="1670"/>
      <c r="N18" s="2244"/>
      <c r="O18" s="1670"/>
      <c r="P18" s="2244"/>
      <c r="Q18" s="2244"/>
      <c r="R18" s="2244"/>
      <c r="S18" s="2244"/>
      <c r="T18" s="2244"/>
      <c r="U18" s="2244"/>
      <c r="V18" s="2244"/>
    </row>
    <row r="19" spans="1:28" ht="37.5"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10" t="s">
        <v>2206</v>
      </c>
      <c r="C20" s="3211"/>
      <c r="D20" s="3212" t="s">
        <v>2207</v>
      </c>
      <c r="E20" s="3213"/>
      <c r="F20" s="2429" t="s">
        <v>1056</v>
      </c>
      <c r="G20" s="2441"/>
      <c r="H20" s="2441"/>
      <c r="I20" s="2441"/>
      <c r="J20" s="2244"/>
      <c r="K20" s="320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4"/>
      <c r="K21" s="320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24.75" thickBot="1">
      <c r="A22" s="2416"/>
      <c r="B22" s="2419" t="s">
        <v>2211</v>
      </c>
      <c r="C22" s="2295" t="s">
        <v>1058</v>
      </c>
      <c r="D22" s="2441"/>
      <c r="E22" s="2441"/>
      <c r="F22" s="2441"/>
      <c r="G22" s="2441"/>
      <c r="H22" s="2441"/>
      <c r="I22" s="2441"/>
      <c r="J22" s="2244"/>
      <c r="K22" s="320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27" t="s">
        <v>2214</v>
      </c>
      <c r="B27" s="312" t="s">
        <v>2215</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c r="A28" s="3227"/>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27"/>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28"/>
      <c r="B30" s="294" t="s">
        <v>2218</v>
      </c>
      <c r="C30" s="3229"/>
      <c r="D30" s="3230"/>
      <c r="E30" s="2441"/>
      <c r="F30" s="2441"/>
      <c r="G30" s="2441"/>
      <c r="H30" s="2441"/>
      <c r="I30" s="2441"/>
      <c r="J30" s="2244"/>
      <c r="K30" s="2401"/>
      <c r="L30" s="2398"/>
      <c r="M30" s="2398"/>
      <c r="N30" s="2244"/>
      <c r="O30" s="1670"/>
      <c r="P30" s="2244"/>
      <c r="Q30" s="2244"/>
      <c r="R30" s="2244"/>
      <c r="S30" s="2244"/>
      <c r="T30" s="2244"/>
      <c r="U30" s="2244"/>
      <c r="V30" s="2244"/>
    </row>
    <row r="31" spans="1:28">
      <c r="A31" s="3231" t="s">
        <v>2219</v>
      </c>
      <c r="B31" s="2230"/>
      <c r="C31" s="12" t="str">
        <f>IF(B31="现房","成新及维护状况正常否",IF(B31="在建","工程状态是否正常",IF(B31="土地","是否闲置","-")))</f>
        <v>-</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32"/>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32"/>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226" t="s">
        <v>2228</v>
      </c>
      <c r="T34" s="315" t="str">
        <f>NUMBERSTRING(7-K34,1)&amp;"通"</f>
        <v>七通</v>
      </c>
      <c r="U34" s="2244"/>
      <c r="V34" s="2244"/>
    </row>
    <row r="35" spans="1:30">
      <c r="A35" s="2235"/>
      <c r="B35" s="3226" t="s">
        <v>2229</v>
      </c>
      <c r="C35" s="3226"/>
      <c r="D35" s="3226"/>
      <c r="E35" s="3226"/>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6"/>
      <c r="T35" s="138" t="str">
        <f>IF(T34="一通",L35,IF(T34="二通",M35,IF(T34="三通",N35,IF(T34="四通",O35,IF(T34="五通",P35,IF(T34="六通",Q35,R35))))))</f>
        <v>、、、、、、</v>
      </c>
      <c r="U35" s="2244"/>
      <c r="V35" s="2244"/>
    </row>
    <row r="36" spans="1:30">
      <c r="A36" s="2182"/>
      <c r="B36" s="8" t="s">
        <v>2185</v>
      </c>
      <c r="C36" s="8" t="s">
        <v>2186</v>
      </c>
      <c r="D36" s="8" t="s">
        <v>2184</v>
      </c>
      <c r="E36" s="8" t="s">
        <v>2189</v>
      </c>
      <c r="F36" s="2800"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t="s">
        <v>296</v>
      </c>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c r="C38" s="2237"/>
      <c r="D38" s="2237" t="s">
        <v>236</v>
      </c>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6"/>
      <c r="J40" s="2244"/>
      <c r="K40" s="2400"/>
      <c r="L40" s="1670"/>
      <c r="M40" s="1670"/>
      <c r="N40" s="2244"/>
      <c r="O40" s="1670"/>
      <c r="P40" s="2244"/>
      <c r="Q40" s="2244"/>
      <c r="R40" s="2244"/>
      <c r="S40" s="2244"/>
      <c r="T40" s="2244"/>
      <c r="U40" s="2244"/>
      <c r="V40" s="2244"/>
    </row>
    <row r="41" spans="1:30">
      <c r="A41" s="2241" t="s">
        <v>2233</v>
      </c>
      <c r="B41" s="1627"/>
      <c r="C41" s="1281"/>
      <c r="D41" s="2181"/>
      <c r="E41" s="2181"/>
      <c r="F41" s="2181"/>
      <c r="G41" s="2181"/>
      <c r="H41" s="2181"/>
      <c r="I41" s="1466"/>
      <c r="J41" s="2244"/>
      <c r="K41" s="2401"/>
      <c r="L41" s="2398"/>
      <c r="M41" s="2398"/>
      <c r="N41" s="2244"/>
      <c r="O41" s="1670"/>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115" zoomScaleNormal="100" zoomScaleSheetLayoutView="115" workbookViewId="0">
      <pane xSplit="4" ySplit="12" topLeftCell="E13" activePane="bottomRight" state="frozen"/>
      <selection activeCell="C50" sqref="C50"/>
      <selection pane="topRight" activeCell="C50" sqref="C50"/>
      <selection pane="bottomLeft" activeCell="C50" sqref="C50"/>
      <selection pane="bottomRight" activeCell="K26" sqref="K26"/>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63.97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63.97</v>
      </c>
      <c r="H5" s="13">
        <f t="shared" ref="H5:AT5" si="0">SUM(H13:H656)</f>
        <v>63.97</v>
      </c>
      <c r="I5" s="13">
        <f t="shared" si="0"/>
        <v>63.97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63.97</v>
      </c>
      <c r="BA5" s="15">
        <f t="shared" si="1"/>
        <v>63.97</v>
      </c>
      <c r="BB5" s="15">
        <f t="shared" si="1"/>
        <v>63.97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3421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3406</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3420</v>
      </c>
      <c r="E13" s="13">
        <f>IF($C$3="是",ROUND($A$3*G13/$B$3,2),ROUND($A$3*(G13-AT13)/$B$3,2))</f>
        <v>0</v>
      </c>
      <c r="F13" s="29"/>
      <c r="G13" s="30">
        <f>H13+AC13+AT13</f>
        <v>63.97</v>
      </c>
      <c r="H13" s="17">
        <f>SUMIF(I$12:AB$12,"总值",I13:AB13)</f>
        <v>63.97</v>
      </c>
      <c r="I13" s="1514">
        <v>63.97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63.97</v>
      </c>
      <c r="BA13" s="13">
        <f>SUM(BB13:BK13)</f>
        <v>63.97</v>
      </c>
      <c r="BB13" s="13">
        <f>IF($D13="是",I13-J13,0)</f>
        <v>63.97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I8" sqref="I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2" t="s">
        <v>1131</v>
      </c>
      <c r="B2" s="3242"/>
      <c r="C2" s="3242"/>
      <c r="D2" s="748" t="s">
        <v>1107</v>
      </c>
      <c r="E2" s="1523" t="s">
        <v>1108</v>
      </c>
      <c r="F2" s="2438"/>
      <c r="G2" s="2431"/>
      <c r="H2" s="2432"/>
      <c r="I2" s="2145" t="s">
        <v>1132</v>
      </c>
      <c r="J2" s="2438"/>
      <c r="K2" s="2438"/>
      <c r="L2" s="2438"/>
      <c r="M2" s="2438"/>
      <c r="N2" s="2439"/>
      <c r="O2" s="2438"/>
      <c r="P2" s="2438"/>
    </row>
    <row r="3" spans="1:16" ht="15.75" thickBot="1">
      <c r="A3" s="3243" t="s">
        <v>1105</v>
      </c>
      <c r="B3" s="3243"/>
      <c r="C3" s="3243"/>
      <c r="D3" s="41">
        <f>'数据-基础表'!AY6</f>
        <v>0</v>
      </c>
      <c r="E3" s="41">
        <f>'数据-基础表'!AZ5</f>
        <v>63.97</v>
      </c>
      <c r="F3" s="2438"/>
      <c r="G3" s="42"/>
      <c r="H3" s="43" t="s">
        <v>1106</v>
      </c>
      <c r="I3" s="802" t="e">
        <f>ROUND('数据-基础表'!B3/'数据-基础表'!A3,2)</f>
        <v>#DIV/0!</v>
      </c>
      <c r="J3" s="2438"/>
      <c r="K3" s="2438"/>
      <c r="L3" s="2438"/>
      <c r="M3" s="2438"/>
      <c r="N3" s="2439"/>
      <c r="O3" s="2438"/>
      <c r="P3" s="2438"/>
    </row>
    <row r="4" spans="1:16" ht="15">
      <c r="A4" s="3244"/>
      <c r="B4" s="3245"/>
      <c r="C4" s="3246"/>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47" t="s">
        <v>1110</v>
      </c>
      <c r="C5" s="3247"/>
      <c r="D5" s="43">
        <f>ROUND($D$3*E5/$E$3,2)</f>
        <v>0</v>
      </c>
      <c r="E5" s="44">
        <f>SUMIF('数据-基础表'!$11:$11,"住宅",'数据-基础表'!$5:$5)</f>
        <v>63.97</v>
      </c>
      <c r="F5" s="2438"/>
      <c r="G5" s="42"/>
      <c r="H5" s="43" t="s">
        <v>1106</v>
      </c>
      <c r="I5" s="802" t="e">
        <f>ROUND(E31/D31,2)</f>
        <v>#DIV/0!</v>
      </c>
      <c r="J5" s="2438"/>
      <c r="K5" s="2438"/>
      <c r="L5" s="2438"/>
      <c r="M5" s="2438"/>
      <c r="N5" s="2438"/>
      <c r="O5" s="2438"/>
      <c r="P5" s="2438"/>
    </row>
    <row r="6" spans="1:16" ht="15" thickBot="1">
      <c r="A6" s="1527"/>
      <c r="B6" s="3247" t="s">
        <v>1111</v>
      </c>
      <c r="C6" s="3247"/>
      <c r="D6" s="43">
        <f>ROUND($D$3*E6/$E$3,2)</f>
        <v>0</v>
      </c>
      <c r="E6" s="44">
        <f>E3-E5</f>
        <v>0</v>
      </c>
      <c r="F6" s="2438"/>
      <c r="G6" s="1529" t="s">
        <v>1112</v>
      </c>
      <c r="H6" s="45" t="s">
        <v>1113</v>
      </c>
      <c r="I6" s="2434" t="e">
        <f>ROUND(F31/D31,2)</f>
        <v>#DIV/0!</v>
      </c>
      <c r="J6" s="2438"/>
      <c r="K6" s="2438"/>
      <c r="L6" s="2438"/>
      <c r="M6" s="2438"/>
      <c r="N6" s="2438"/>
      <c r="O6" s="2438"/>
      <c r="P6" s="2438"/>
    </row>
    <row r="7" spans="1:16" ht="15.75" thickBot="1">
      <c r="A7" s="3239"/>
      <c r="B7" s="3240"/>
      <c r="C7" s="3241"/>
      <c r="D7" s="1524" t="s">
        <v>1107</v>
      </c>
      <c r="E7" s="1528" t="s">
        <v>1114</v>
      </c>
      <c r="F7" s="2438"/>
      <c r="G7" s="2435" t="s">
        <v>1115</v>
      </c>
      <c r="H7" s="95"/>
      <c r="I7" s="2436">
        <v>2.2000000000000002</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63.97</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63.97</v>
      </c>
      <c r="F16" s="2438"/>
      <c r="G16" s="2438"/>
      <c r="H16" s="1531" t="s">
        <v>1135</v>
      </c>
      <c r="I16" s="1532"/>
      <c r="J16" s="1071"/>
      <c r="K16" s="3236" t="s">
        <v>1135</v>
      </c>
      <c r="L16" s="3237"/>
      <c r="M16" s="3237"/>
      <c r="N16" s="3237"/>
      <c r="O16" s="3237"/>
      <c r="P16" s="3238"/>
    </row>
    <row r="17" spans="1:19" ht="15">
      <c r="A17" s="1533" t="s">
        <v>1136</v>
      </c>
      <c r="B17" s="1534" t="s">
        <v>1137</v>
      </c>
      <c r="C17" s="1535" t="s">
        <v>1138</v>
      </c>
      <c r="D17" s="1536" t="s">
        <v>1126</v>
      </c>
      <c r="E17" s="1537" t="s">
        <v>1127</v>
      </c>
      <c r="F17" s="1538"/>
      <c r="G17" s="1539"/>
      <c r="H17" s="1540" t="s">
        <v>1139</v>
      </c>
      <c r="I17" s="1541" t="s">
        <v>1124</v>
      </c>
      <c r="J17" s="1071"/>
      <c r="K17" s="3233" t="s">
        <v>1140</v>
      </c>
      <c r="L17" s="3234"/>
      <c r="M17" s="3235"/>
      <c r="N17" s="3233" t="s">
        <v>1141</v>
      </c>
      <c r="O17" s="3234"/>
      <c r="P17" s="3235"/>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3422</v>
      </c>
      <c r="D19" s="43">
        <f>ROUND($D$3*E19/$E$3,2)</f>
        <v>0</v>
      </c>
      <c r="E19" s="51">
        <f t="shared" ref="E19:E26" si="1">SUM(F19:G19)</f>
        <v>63.97</v>
      </c>
      <c r="F19" s="2557">
        <f>'数据-基础表'!I13</f>
        <v>63.97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63.97</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63.97</v>
      </c>
      <c r="F27" s="1072">
        <f>IF(SUM(F19:F26)=E8,SUM(F19:F26),"地上面积有误")</f>
        <v>63.97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63.97</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63.97</v>
      </c>
      <c r="F31" s="644">
        <f>F27+F30</f>
        <v>63.97</v>
      </c>
      <c r="G31" s="645">
        <f>G27+G30</f>
        <v>0</v>
      </c>
      <c r="H31" s="2438"/>
      <c r="I31" s="2438"/>
      <c r="J31" s="2438"/>
      <c r="K31" s="2438"/>
      <c r="L31" s="2438"/>
      <c r="M31" s="2438"/>
      <c r="N31" s="2438"/>
      <c r="O31" s="2438"/>
      <c r="P31" s="2438"/>
    </row>
    <row r="32" spans="1:19">
      <c r="A32" s="1526"/>
      <c r="B32" s="1526" t="s">
        <v>1159</v>
      </c>
      <c r="C32" s="1526"/>
      <c r="D32" s="1526"/>
      <c r="E32" s="990">
        <f>SUMIF(C19:C26,"*住宅*",E19:E26)</f>
        <v>63.97</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I7" sqref="I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45812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1588" t="s">
        <v>3406</v>
      </c>
      <c r="D6" s="805">
        <f>SUMIF(项目基本情况!C$12:I$12,C6,项目基本情况!C$14:I$14)</f>
        <v>70</v>
      </c>
      <c r="E6" s="804">
        <f>IF(B6="","",SUMIF(项目基本情况!C$12:I$12,C6,项目基本情况!C$13:I$13))</f>
        <v>70392</v>
      </c>
      <c r="F6" s="61">
        <f>SUMIF(项目基本情况!C$12:I$12,C6,项目基本情况!C$15:I$15)</f>
        <v>67.34</v>
      </c>
      <c r="G6" s="62">
        <f>IF(ISERROR(ROUND(POWER(1+H6,D6-F6)*(POWER(1+H6,F6)-1)/(POWER(1+H6,D6)-1),3)),0,ROUND(POWER(1+H6,D6-F6)*(POWER(1+H6,F6)-1)/(POWER(1+H6,D6)-1),3))</f>
        <v>0.995</v>
      </c>
      <c r="H6" s="691">
        <v>0.05</v>
      </c>
      <c r="I6" s="691">
        <v>3.5000000000000003E-2</v>
      </c>
      <c r="J6" s="63">
        <v>0.06</v>
      </c>
      <c r="K6" s="970">
        <f>SUMIF('数据-汇总表'!C$19:C$33,A6,'数据-汇总表'!E$19:E$33)</f>
        <v>63.97</v>
      </c>
      <c r="L6" s="692">
        <v>3000</v>
      </c>
      <c r="M6" s="64">
        <f t="shared" ref="M6:M14" si="0">ROUND(K6*L6/10000,0)</f>
        <v>19</v>
      </c>
      <c r="N6" s="690">
        <v>0.7</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6">
        <v>6000</v>
      </c>
      <c r="V6" s="67">
        <v>1.4999999999999999E-2</v>
      </c>
      <c r="W6" s="67">
        <v>0.05</v>
      </c>
      <c r="X6" s="979"/>
      <c r="Y6" s="68">
        <f>N6</f>
        <v>0.7</v>
      </c>
      <c r="Z6" s="69"/>
      <c r="AA6" s="63"/>
      <c r="AB6" s="63"/>
      <c r="AC6" s="979"/>
      <c r="AD6" s="70"/>
      <c r="AE6" s="980">
        <f ca="1">IF(AN6="",0,SUMIF(INDIRECT("'"&amp;AN6&amp;"'"&amp;"!E:E"),$AE$5,INDIRECT("'"&amp;AN6&amp;"'"&amp;"!F:F")))</f>
        <v>67.34</v>
      </c>
      <c r="AF6" s="74"/>
      <c r="AG6" s="130">
        <f>IF(AF6="",0,AE6-AF6)</f>
        <v>0</v>
      </c>
      <c r="AH6" s="71">
        <v>1</v>
      </c>
      <c r="AI6" s="73">
        <v>12</v>
      </c>
      <c r="AJ6" s="74"/>
      <c r="AK6" s="75">
        <v>2E-3</v>
      </c>
      <c r="AL6" s="76">
        <v>1E-3</v>
      </c>
      <c r="AM6" s="77">
        <v>0.01</v>
      </c>
      <c r="AN6" s="1589" t="s">
        <v>3519</v>
      </c>
      <c r="AO6" s="50">
        <f ca="1">SUMIF(INDIRECT("'"&amp;AN6&amp;"'"&amp;"!A:A"),"总价",INDIRECT("'"&amp;AN6&amp;"'"&amp;"!B:B"))</f>
        <v>238.91200000000001</v>
      </c>
      <c r="AP6" s="1590">
        <f>IF(C6="住宅",K6*L6,0)</f>
        <v>191910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0.995</v>
      </c>
      <c r="H16" s="84">
        <f>ROUND(SUMPRODUCT(H6:H13,K6:K13)/SUMPRODUCT((H6:H13&gt;0)*(K6:K13)),3)</f>
        <v>0.05</v>
      </c>
      <c r="I16" s="85"/>
      <c r="J16" s="85"/>
      <c r="K16" s="86">
        <f>SUM(K6:K15)</f>
        <v>63.97</v>
      </c>
      <c r="L16" s="87">
        <f>ROUND(M16*10000/SUM(K6:K14),0)</f>
        <v>2970</v>
      </c>
      <c r="M16" s="87">
        <f>SUM(M6:M14)</f>
        <v>19</v>
      </c>
      <c r="N16" s="88">
        <f>ROUND(SUMPRODUCT(M6:M14,N6:N14)/M16,3)</f>
        <v>0.7</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2302</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1</v>
      </c>
      <c r="C20" s="2561" t="s">
        <v>2300</v>
      </c>
      <c r="D20" s="2451"/>
      <c r="E20" s="2438"/>
      <c r="F20" s="2438"/>
      <c r="G20" s="2438"/>
      <c r="H20" s="2438"/>
      <c r="I20" s="2438"/>
      <c r="J20" s="2438"/>
      <c r="K20" s="2449"/>
      <c r="L20" s="2449"/>
      <c r="M20" s="2448"/>
      <c r="N20" s="2448">
        <v>1995</v>
      </c>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v>1</v>
      </c>
      <c r="C21" s="2438"/>
      <c r="D21" s="2451"/>
      <c r="E21" s="2438"/>
      <c r="F21" s="2438"/>
      <c r="G21" s="2438"/>
      <c r="H21" s="2438"/>
      <c r="I21" s="2438"/>
      <c r="J21" s="2438"/>
      <c r="K21" s="2449"/>
      <c r="L21" s="2449"/>
      <c r="M21" s="2448"/>
      <c r="N21" s="2448">
        <f>1-(1-2%)*(2025-N20)/50</f>
        <v>0.41200000000000003</v>
      </c>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1</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1</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v>160</v>
      </c>
      <c r="C27" s="2562" t="s">
        <v>2304</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0.05</v>
      </c>
      <c r="C33" s="2564" t="s">
        <v>3383</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v>0.05</v>
      </c>
      <c r="C34" s="2564" t="s">
        <v>2295</v>
      </c>
      <c r="D34" s="2459" t="s">
        <v>2301</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2296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3401</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0.01</v>
      </c>
      <c r="C37" s="2564" t="s">
        <v>3384</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0.03</v>
      </c>
      <c r="C38" s="2564" t="s">
        <v>3385</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2310</v>
      </c>
      <c r="B40" s="1015">
        <f ca="1">IF(A40="利息：取LPR",存贷款利率!G1,存贷款利率!G1+C40)</f>
        <v>0.03</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7.0000000000000007E-2</v>
      </c>
      <c r="C44" s="2564" t="s">
        <v>3386</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2297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2305</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2297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c r="C53" s="2439" t="s">
        <v>1246</v>
      </c>
      <c r="D53" s="2565" t="s">
        <v>2303</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248" t="s">
        <v>2286</v>
      </c>
      <c r="B1" s="3249"/>
      <c r="C1" s="3249"/>
      <c r="D1" s="3249"/>
      <c r="E1" s="3249"/>
      <c r="F1" s="3249"/>
      <c r="G1" s="3249"/>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6.75">
      <c r="A4" s="2247"/>
      <c r="B4" s="315" t="s">
        <v>2254</v>
      </c>
      <c r="C4" s="2268" t="s">
        <v>2255</v>
      </c>
      <c r="D4" s="2265"/>
      <c r="E4" s="2269"/>
      <c r="F4" s="1281" t="s">
        <v>2256</v>
      </c>
      <c r="G4" s="2270" t="s">
        <v>2257</v>
      </c>
      <c r="H4" s="751"/>
      <c r="I4" s="751"/>
      <c r="J4" s="751"/>
      <c r="K4" s="751"/>
      <c r="L4" s="751"/>
      <c r="M4" s="751"/>
      <c r="N4" s="751"/>
      <c r="O4" s="751"/>
      <c r="P4" s="751"/>
      <c r="Q4" s="751"/>
    </row>
    <row r="5" spans="1:29" ht="36.75">
      <c r="A5" s="2247"/>
      <c r="B5" s="315" t="s">
        <v>2258</v>
      </c>
      <c r="C5" s="2268" t="s">
        <v>2259</v>
      </c>
      <c r="D5" s="2265"/>
      <c r="E5" s="2269"/>
      <c r="F5" s="315" t="s">
        <v>2260</v>
      </c>
      <c r="G5" s="2270" t="s">
        <v>2261</v>
      </c>
      <c r="H5" s="751"/>
      <c r="I5" s="751"/>
      <c r="J5" s="751"/>
      <c r="K5" s="751"/>
      <c r="L5" s="751"/>
      <c r="M5" s="751"/>
      <c r="N5" s="751"/>
      <c r="O5" s="751"/>
      <c r="P5" s="751"/>
      <c r="Q5" s="751"/>
    </row>
    <row r="6" spans="1:29" ht="36">
      <c r="A6" s="2247"/>
      <c r="B6" s="315" t="s">
        <v>2262</v>
      </c>
      <c r="C6" s="2270" t="s">
        <v>2257</v>
      </c>
      <c r="D6" s="2265"/>
      <c r="E6" s="2269"/>
      <c r="F6" s="315" t="s">
        <v>2263</v>
      </c>
      <c r="G6" s="2270" t="s">
        <v>2264</v>
      </c>
      <c r="H6" s="751"/>
      <c r="I6" s="751"/>
      <c r="J6" s="751"/>
      <c r="K6" s="751"/>
      <c r="L6" s="751"/>
      <c r="M6" s="751"/>
      <c r="N6" s="751"/>
      <c r="O6" s="751"/>
      <c r="P6" s="751"/>
      <c r="Q6" s="751"/>
    </row>
    <row r="7" spans="1:29" ht="24.75" thickBot="1">
      <c r="A7" s="2247"/>
      <c r="B7" s="315" t="s">
        <v>2260</v>
      </c>
      <c r="C7" s="2270" t="s">
        <v>2261</v>
      </c>
      <c r="D7" s="2244"/>
      <c r="E7" s="2271"/>
      <c r="F7" s="2272" t="s">
        <v>2265</v>
      </c>
      <c r="G7" s="2273" t="s">
        <v>2266</v>
      </c>
      <c r="H7" s="751"/>
      <c r="I7" s="751"/>
      <c r="J7" s="751"/>
      <c r="K7" s="751"/>
      <c r="L7" s="751"/>
      <c r="M7" s="751"/>
      <c r="N7" s="751"/>
      <c r="O7" s="751"/>
      <c r="P7" s="751"/>
      <c r="Q7" s="751"/>
    </row>
    <row r="8" spans="1:29">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0</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45812</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SUM(D14:D23)</f>
        <v>0</v>
      </c>
      <c r="C5" s="2299">
        <f ca="1">IF(B5=D14,结果表!H102,ROUND(B5*10000/$B$1,0))</f>
        <v>0</v>
      </c>
      <c r="D5" s="2299" t="e">
        <f>ROUND(B5*10000/$B$2,0)</f>
        <v>#DIV/0!</v>
      </c>
      <c r="E5" s="2461"/>
      <c r="F5" s="2462"/>
      <c r="G5" s="2462"/>
      <c r="H5" s="2462"/>
      <c r="I5" s="2462"/>
      <c r="J5" s="2462"/>
      <c r="K5" s="2462"/>
    </row>
    <row r="6" spans="1:11" ht="16.5">
      <c r="A6" s="2299" t="s">
        <v>656</v>
      </c>
      <c r="B6" s="2299">
        <f>SUM(G14:G23)</f>
        <v>0</v>
      </c>
      <c r="C6" s="2299">
        <f ca="1">IF(B6=G14,结果表!H108,ROUND(B6*10000/$B$1,0))</f>
        <v>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3356</v>
      </c>
      <c r="D10" s="2299" t="s">
        <v>3357</v>
      </c>
      <c r="E10" s="3136"/>
      <c r="F10" s="3140" t="s">
        <v>3358</v>
      </c>
      <c r="G10" s="3137"/>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c r="C14" s="2305"/>
      <c r="D14" s="2305"/>
      <c r="E14" s="2305" t="e">
        <f>ROUND(D14*10000/B14,0)</f>
        <v>#DIV/0!</v>
      </c>
      <c r="F14" s="2305" t="e">
        <f>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K32" sqref="K32"/>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17" t="str">
        <f>项目基本情况!S2</f>
        <v>北京市房地产</v>
      </c>
      <c r="B2" s="3318"/>
      <c r="C2" s="3318"/>
      <c r="D2" s="3318"/>
      <c r="E2" s="3318"/>
      <c r="F2" s="3318"/>
      <c r="G2" s="3318"/>
      <c r="H2" s="3318"/>
      <c r="I2" s="3319"/>
    </row>
    <row r="3" spans="1:12" ht="12.75">
      <c r="A3" s="3321" t="s">
        <v>1264</v>
      </c>
      <c r="B3" s="3322"/>
      <c r="C3" s="3322"/>
      <c r="D3" s="3322"/>
      <c r="E3" s="3322"/>
      <c r="F3" s="3322"/>
      <c r="G3" s="3322"/>
      <c r="H3" s="3322"/>
      <c r="I3" s="3322"/>
    </row>
    <row r="4" spans="1:12" ht="14.25">
      <c r="A4" s="1624" t="s">
        <v>1265</v>
      </c>
      <c r="B4" s="1625" t="s">
        <v>1266</v>
      </c>
      <c r="C4" s="1626" t="s">
        <v>3519</v>
      </c>
      <c r="D4" s="1626" t="s">
        <v>3525</v>
      </c>
      <c r="E4" s="3326" t="s">
        <v>1267</v>
      </c>
      <c r="F4" s="3327"/>
      <c r="G4" s="3327"/>
      <c r="H4" s="3327"/>
      <c r="I4" s="3328"/>
      <c r="K4" s="138" t="str">
        <f>IF(ISNUMBER(FIND("比较法",结果表!C4)),"比较法",IF(ISNUMBER(FIND("成本法",结果表!C4)),"成本法",IF(ISNUMBER(FIND("假设开发法",结果表!C4)),"假设开发法",IF(ISNUMBER(FIND("收益法",结果表!C4)),"收益法","基准地价系数修正法"))))</f>
        <v>收益法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265" t="s">
        <v>1268</v>
      </c>
      <c r="B5" s="3320">
        <v>25</v>
      </c>
      <c r="C5" s="3323"/>
      <c r="D5" s="3311"/>
      <c r="E5" s="123" t="s">
        <v>1269</v>
      </c>
      <c r="F5" s="1627"/>
      <c r="G5" s="1627"/>
      <c r="H5" s="1627"/>
      <c r="I5" s="1281"/>
    </row>
    <row r="6" spans="1:12" ht="12.75">
      <c r="A6" s="3265"/>
      <c r="B6" s="3320"/>
      <c r="C6" s="3325"/>
      <c r="D6" s="3311"/>
      <c r="E6" s="123" t="s">
        <v>1270</v>
      </c>
      <c r="F6" s="1627"/>
      <c r="G6" s="1627"/>
      <c r="H6" s="1627"/>
      <c r="I6" s="1281"/>
    </row>
    <row r="7" spans="1:12" ht="12.75">
      <c r="A7" s="3265"/>
      <c r="B7" s="3320"/>
      <c r="C7" s="3324"/>
      <c r="D7" s="3311"/>
      <c r="E7" s="123" t="s">
        <v>1271</v>
      </c>
      <c r="F7" s="1627"/>
      <c r="G7" s="1627"/>
      <c r="H7" s="1627"/>
      <c r="I7" s="1281"/>
    </row>
    <row r="8" spans="1:12" ht="12.75">
      <c r="A8" s="3265" t="s">
        <v>1272</v>
      </c>
      <c r="B8" s="3320">
        <v>15</v>
      </c>
      <c r="C8" s="3323"/>
      <c r="D8" s="3311"/>
      <c r="E8" s="123" t="s">
        <v>1273</v>
      </c>
      <c r="F8" s="1627"/>
      <c r="G8" s="1627"/>
      <c r="H8" s="1627"/>
      <c r="I8" s="1281"/>
    </row>
    <row r="9" spans="1:12" ht="12.75">
      <c r="A9" s="3265"/>
      <c r="B9" s="3320"/>
      <c r="C9" s="3324"/>
      <c r="D9" s="3311"/>
      <c r="E9" s="123" t="s">
        <v>1274</v>
      </c>
      <c r="F9" s="1627"/>
      <c r="G9" s="1627"/>
      <c r="H9" s="1627"/>
      <c r="I9" s="1281"/>
    </row>
    <row r="10" spans="1:12" ht="12.75">
      <c r="A10" s="3265" t="s">
        <v>1275</v>
      </c>
      <c r="B10" s="3320">
        <v>15</v>
      </c>
      <c r="C10" s="3323"/>
      <c r="D10" s="3311"/>
      <c r="E10" s="123" t="s">
        <v>1276</v>
      </c>
      <c r="F10" s="1627"/>
      <c r="G10" s="1627"/>
      <c r="H10" s="1627"/>
      <c r="I10" s="1281"/>
    </row>
    <row r="11" spans="1:12" ht="12.75">
      <c r="A11" s="3265"/>
      <c r="B11" s="3320"/>
      <c r="C11" s="3324"/>
      <c r="D11" s="3311"/>
      <c r="E11" s="123" t="s">
        <v>1277</v>
      </c>
      <c r="F11" s="1627"/>
      <c r="G11" s="1627"/>
      <c r="H11" s="1627"/>
      <c r="I11" s="1281"/>
    </row>
    <row r="12" spans="1:12" ht="12.75">
      <c r="A12" s="3265" t="s">
        <v>1278</v>
      </c>
      <c r="B12" s="3320">
        <v>15</v>
      </c>
      <c r="C12" s="3323"/>
      <c r="D12" s="3311"/>
      <c r="E12" s="123" t="s">
        <v>1279</v>
      </c>
      <c r="F12" s="1627"/>
      <c r="G12" s="1627"/>
      <c r="H12" s="1627"/>
      <c r="I12" s="1281"/>
    </row>
    <row r="13" spans="1:12" ht="12.75">
      <c r="A13" s="3265"/>
      <c r="B13" s="3320"/>
      <c r="C13" s="3324"/>
      <c r="D13" s="3311"/>
      <c r="E13" s="123" t="s">
        <v>1280</v>
      </c>
      <c r="F13" s="1627"/>
      <c r="G13" s="1627"/>
      <c r="H13" s="1627"/>
      <c r="I13" s="1281"/>
    </row>
    <row r="14" spans="1:12" ht="12.75">
      <c r="A14" s="3265" t="s">
        <v>1281</v>
      </c>
      <c r="B14" s="3320">
        <v>30</v>
      </c>
      <c r="C14" s="3323">
        <v>2</v>
      </c>
      <c r="D14" s="3311">
        <f>10-C14</f>
        <v>8</v>
      </c>
      <c r="E14" s="123" t="s">
        <v>1282</v>
      </c>
      <c r="F14" s="1627"/>
      <c r="G14" s="1627"/>
      <c r="H14" s="1627"/>
      <c r="I14" s="1281"/>
    </row>
    <row r="15" spans="1:12" ht="12.75">
      <c r="A15" s="3265"/>
      <c r="B15" s="3320"/>
      <c r="C15" s="3325"/>
      <c r="D15" s="3311"/>
      <c r="E15" s="123" t="s">
        <v>1283</v>
      </c>
      <c r="F15" s="1627"/>
      <c r="G15" s="1627"/>
      <c r="H15" s="1627"/>
      <c r="I15" s="1281"/>
    </row>
    <row r="16" spans="1:12" ht="12.75">
      <c r="A16" s="3265"/>
      <c r="B16" s="3320"/>
      <c r="C16" s="3324"/>
      <c r="D16" s="3311"/>
      <c r="E16" s="123" t="s">
        <v>1284</v>
      </c>
      <c r="F16" s="1627"/>
      <c r="G16" s="1627"/>
      <c r="H16" s="1627"/>
      <c r="I16" s="1281"/>
    </row>
    <row r="17" spans="1:36" ht="15">
      <c r="A17" s="1628" t="s">
        <v>1285</v>
      </c>
      <c r="B17" s="54"/>
      <c r="C17" s="124">
        <f>SUM(C5:C16)</f>
        <v>2</v>
      </c>
      <c r="D17" s="124">
        <f>SUM(D5:D16)</f>
        <v>8</v>
      </c>
      <c r="E17" s="121"/>
      <c r="F17" s="121"/>
      <c r="G17" s="121"/>
      <c r="H17" s="121"/>
      <c r="I17" s="121"/>
      <c r="K17" s="294"/>
      <c r="L17" s="294" t="s">
        <v>1286</v>
      </c>
      <c r="M17" s="294" t="s">
        <v>1287</v>
      </c>
    </row>
    <row r="18" spans="1:36" ht="31.9" customHeight="1" thickBot="1">
      <c r="A18" s="1629" t="s">
        <v>1288</v>
      </c>
      <c r="B18" s="1542"/>
      <c r="C18" s="125">
        <f>ROUND(C17/SUM(C17:D17),2)</f>
        <v>0.2</v>
      </c>
      <c r="D18" s="125">
        <f>1-C18</f>
        <v>0.8</v>
      </c>
      <c r="E18" s="3342" t="s">
        <v>2131</v>
      </c>
      <c r="F18" s="3343"/>
      <c r="G18" s="3343"/>
      <c r="H18" s="3343"/>
      <c r="I18" s="3343"/>
      <c r="K18" s="294" t="s">
        <v>1289</v>
      </c>
      <c r="L18" s="294">
        <f>IF(C1="",'数据-汇总表'!E3,SUMIF(项目类型,C1,'数据-汇总表'!E17:E26)+SUMIF(项目类型,C1,'数据-汇总表'!I17:I26))</f>
        <v>63.97</v>
      </c>
      <c r="M18" s="294">
        <f>IF(C1="",'数据-汇总表'!E3,SUMIF(项目类型,C1,'数据-汇总表'!E17:E26))</f>
        <v>63.97</v>
      </c>
    </row>
    <row r="19" spans="1:36" ht="15">
      <c r="A19" s="1630" t="s">
        <v>1290</v>
      </c>
      <c r="B19" s="1631" t="s">
        <v>1291</v>
      </c>
      <c r="C19" s="126">
        <f ca="1">SUMIF(INDIRECT("'"&amp;C4&amp;"'"&amp;"!A:A"),结果表!B19,INDIRECT("'"&amp;C4&amp;"'"&amp;"!B:B"))</f>
        <v>238.91200000000001</v>
      </c>
      <c r="D19" s="127">
        <f ca="1">SUMIF(INDIRECT("'"&amp;D4&amp;"'"&amp;"!A:A"),结果表!B19,INDIRECT("'"&amp;D4&amp;"'"&amp;"!B:B"))</f>
        <v>367.73149999999998</v>
      </c>
      <c r="E19" s="1630" t="s">
        <v>1292</v>
      </c>
      <c r="F19" s="1631" t="s">
        <v>1291</v>
      </c>
      <c r="G19" s="128">
        <f ca="1">ROUND(C19*$C$18+D19*$D$18,0)</f>
        <v>342</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37348</v>
      </c>
      <c r="D20" s="130">
        <f ca="1">SUMIF(INDIRECT("'"&amp;D4&amp;"'"&amp;"!A:A"),结果表!B20,INDIRECT("'"&amp;D4&amp;"'"&amp;"!B:B"))</f>
        <v>57485</v>
      </c>
      <c r="E20" s="1633"/>
      <c r="F20" s="43" t="s">
        <v>1295</v>
      </c>
      <c r="G20" s="131">
        <f ca="1">ROUND(C20*$C$18+D20*$D$18,0)</f>
        <v>53458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0.53919225488882927</v>
      </c>
      <c r="E22" s="121"/>
      <c r="F22" s="121"/>
      <c r="G22" s="121"/>
      <c r="H22" s="121"/>
      <c r="I22" s="121"/>
    </row>
    <row r="23" spans="1:36" ht="13.5" thickBot="1">
      <c r="A23" s="646"/>
      <c r="B23" s="646"/>
      <c r="C23" s="646"/>
      <c r="D23" s="646"/>
      <c r="E23" s="121"/>
      <c r="F23" s="121"/>
      <c r="G23" s="121"/>
      <c r="H23" s="121"/>
      <c r="I23" s="121"/>
    </row>
    <row r="24" spans="1:36" ht="14.25">
      <c r="A24" s="3335" t="s">
        <v>1299</v>
      </c>
      <c r="B24" s="1631" t="s">
        <v>1291</v>
      </c>
      <c r="C24" s="128">
        <f>IF(B30=0,0,D30)</f>
        <v>0</v>
      </c>
      <c r="D24" s="1637"/>
      <c r="E24" s="121"/>
      <c r="F24" s="121"/>
      <c r="G24" s="121"/>
      <c r="H24" s="121"/>
      <c r="I24" s="121"/>
    </row>
    <row r="25" spans="1:36" ht="14.25">
      <c r="A25" s="333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40" t="s">
        <v>1305</v>
      </c>
      <c r="B32" s="1535"/>
      <c r="C32" s="136">
        <f ca="1">IF(D32="总价",G19-C24,G20-C25)</f>
        <v>53458</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12" t="s">
        <v>1312</v>
      </c>
      <c r="B36" s="1652" t="s">
        <v>1313</v>
      </c>
      <c r="C36" s="137"/>
      <c r="D36" s="1653"/>
      <c r="E36" s="1567"/>
      <c r="F36" s="1654"/>
      <c r="G36" s="121"/>
      <c r="H36" s="121"/>
      <c r="I36" s="121"/>
    </row>
    <row r="37" spans="1:15" ht="15.75" thickBot="1">
      <c r="A37" s="3313"/>
      <c r="B37" s="1555" t="s">
        <v>1314</v>
      </c>
      <c r="C37" s="139"/>
      <c r="D37" s="1071"/>
      <c r="E37" s="1071"/>
      <c r="F37" s="1654"/>
      <c r="G37" s="121"/>
      <c r="H37" s="121"/>
      <c r="I37" s="121"/>
    </row>
    <row r="38" spans="1:15" ht="15.75" thickBot="1">
      <c r="A38" s="3314"/>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32" t="s">
        <v>1326</v>
      </c>
      <c r="B45" s="3333"/>
      <c r="C45" s="3334"/>
      <c r="D45" s="147" t="e">
        <f ca="1">ROUND(H101*F45,0)</f>
        <v>#REF!</v>
      </c>
      <c r="E45" s="148" t="s">
        <v>1327</v>
      </c>
      <c r="F45" s="149">
        <v>1</v>
      </c>
      <c r="G45" s="150" t="s">
        <v>1328</v>
      </c>
      <c r="H45" s="121"/>
      <c r="I45" s="121"/>
      <c r="J45" s="3252" t="s">
        <v>1329</v>
      </c>
      <c r="K45" s="3252"/>
      <c r="L45" s="3252"/>
      <c r="M45" s="3252"/>
      <c r="N45" s="3252"/>
      <c r="O45" s="3252"/>
    </row>
    <row r="46" spans="1:15" ht="14.25" customHeight="1">
      <c r="A46" s="3329" t="s">
        <v>1330</v>
      </c>
      <c r="B46" s="3330"/>
      <c r="C46" s="3330"/>
      <c r="D46" s="3330"/>
      <c r="E46" s="3330"/>
      <c r="F46" s="3330"/>
      <c r="G46" s="3331"/>
      <c r="H46" s="1668"/>
      <c r="I46" s="151"/>
      <c r="J46" s="2309">
        <v>1</v>
      </c>
      <c r="K46" s="3253" t="s">
        <v>1331</v>
      </c>
      <c r="L46" s="3253"/>
      <c r="M46" s="3254"/>
      <c r="N46" s="3254"/>
      <c r="O46" s="3254"/>
    </row>
    <row r="47" spans="1:15" ht="12" customHeight="1">
      <c r="A47" s="152" t="s">
        <v>1332</v>
      </c>
      <c r="B47" s="153"/>
      <c r="C47" s="154"/>
      <c r="D47" s="1024" t="s">
        <v>1333</v>
      </c>
      <c r="E47" s="294" t="s">
        <v>1334</v>
      </c>
      <c r="F47" s="155" t="s">
        <v>1335</v>
      </c>
      <c r="G47" s="2332" t="s">
        <v>1336</v>
      </c>
      <c r="H47" s="2333"/>
      <c r="I47" s="151"/>
      <c r="J47" s="2309">
        <v>2</v>
      </c>
      <c r="K47" s="3253" t="s">
        <v>1337</v>
      </c>
      <c r="L47" s="3253"/>
      <c r="M47" s="3255">
        <f>'数据-取费表'!B2</f>
        <v>45812</v>
      </c>
      <c r="N47" s="3255"/>
      <c r="O47" s="3255"/>
    </row>
    <row r="48" spans="1:15" ht="25.5">
      <c r="A48" s="3315" t="s">
        <v>1338</v>
      </c>
      <c r="B48" s="3316"/>
      <c r="C48" s="3316"/>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253" t="s">
        <v>1340</v>
      </c>
      <c r="L48" s="3253"/>
      <c r="M48" s="3256" t="e">
        <f ca="1">H101</f>
        <v>#REF!</v>
      </c>
      <c r="N48" s="3256"/>
      <c r="O48" s="3256"/>
    </row>
    <row r="49" spans="1:35" ht="25.5" customHeight="1">
      <c r="A49" s="2151" t="s">
        <v>1341</v>
      </c>
      <c r="B49" s="3301" t="s">
        <v>1342</v>
      </c>
      <c r="C49" s="3301"/>
      <c r="D49" s="1478">
        <v>0</v>
      </c>
      <c r="E49" s="316" t="s">
        <v>1343</v>
      </c>
      <c r="F49" s="2232" t="s">
        <v>28</v>
      </c>
      <c r="G49" s="3284"/>
      <c r="H49" s="2133" t="s">
        <v>2134</v>
      </c>
      <c r="I49" s="2134"/>
      <c r="J49" s="2309">
        <v>4</v>
      </c>
      <c r="K49" s="3253" t="str">
        <f>IF(项目基本情况!E8="房地产抵押价值","房地产抵押价值","抵押担保权已注销时的房地产抵押价值")</f>
        <v>抵押担保权已注销时的房地产抵押价值</v>
      </c>
      <c r="L49" s="3253"/>
      <c r="M49" s="3256" t="str">
        <f>IF(项目基本情况!E8="房地产抵押价值",H107,H109)</f>
        <v>——</v>
      </c>
      <c r="N49" s="3256"/>
      <c r="O49" s="3256"/>
    </row>
    <row r="50" spans="1:35" ht="25.5" customHeight="1">
      <c r="A50" s="2337"/>
      <c r="B50" s="3301" t="s">
        <v>1344</v>
      </c>
      <c r="C50" s="3301"/>
      <c r="D50" s="2188"/>
      <c r="E50" s="323"/>
      <c r="F50" s="2232"/>
      <c r="G50" s="3285"/>
      <c r="H50" s="2135" t="s">
        <v>2135</v>
      </c>
      <c r="I50" s="2134"/>
      <c r="J50" s="3252" t="s">
        <v>1345</v>
      </c>
      <c r="K50" s="3252"/>
      <c r="L50" s="3252"/>
      <c r="M50" s="3252"/>
      <c r="N50" s="3252"/>
      <c r="O50" s="3252"/>
    </row>
    <row r="51" spans="1:35" ht="20.45" customHeight="1">
      <c r="A51" s="2338"/>
      <c r="B51" s="3301" t="s">
        <v>1346</v>
      </c>
      <c r="C51" s="3301"/>
      <c r="D51" s="1024"/>
      <c r="E51" s="319"/>
      <c r="F51" s="2232"/>
      <c r="G51" s="3286"/>
      <c r="H51" s="2135" t="s">
        <v>2136</v>
      </c>
      <c r="I51" s="2134"/>
      <c r="J51" s="2310" t="s">
        <v>1347</v>
      </c>
      <c r="K51" s="3253" t="s">
        <v>1348</v>
      </c>
      <c r="L51" s="3253"/>
      <c r="M51" s="2310" t="s">
        <v>1349</v>
      </c>
      <c r="N51" s="2310" t="s">
        <v>1350</v>
      </c>
      <c r="O51" s="2310" t="s">
        <v>1351</v>
      </c>
    </row>
    <row r="52" spans="1:35" ht="24" customHeight="1">
      <c r="A52" s="2152" t="s">
        <v>1352</v>
      </c>
      <c r="B52" s="3301" t="s">
        <v>1353</v>
      </c>
      <c r="C52" s="3301"/>
      <c r="D52" s="1024" t="e">
        <f ca="1">ROUND(D45*'数据-取费表'!B41/(1+'数据-取费表'!C42),0)</f>
        <v>#REF!</v>
      </c>
      <c r="E52" s="1256" t="s">
        <v>1354</v>
      </c>
      <c r="F52" s="2339">
        <f>'数据-取费表'!B41</f>
        <v>5.6000000000000001E-2</v>
      </c>
      <c r="G52" s="2340"/>
      <c r="H52" s="2330"/>
      <c r="I52" s="1669"/>
      <c r="J52" s="2309">
        <v>1</v>
      </c>
      <c r="K52" s="3278" t="s">
        <v>1355</v>
      </c>
      <c r="L52" s="3278"/>
      <c r="M52" s="2311" t="b">
        <f>D48</f>
        <v>0</v>
      </c>
      <c r="N52" s="2309" t="str">
        <f>E48</f>
        <v>销售额×税（费）率</v>
      </c>
      <c r="O52" s="2312">
        <f>F48</f>
        <v>5.6000000000000001E-2</v>
      </c>
    </row>
    <row r="53" spans="1:35" ht="12" customHeight="1">
      <c r="A53" s="2152" t="s">
        <v>1356</v>
      </c>
      <c r="B53" s="3302" t="s">
        <v>2291</v>
      </c>
      <c r="C53" s="3303"/>
      <c r="D53" s="1024" t="e">
        <f ca="1">ROUND(D45*'数据-取费表'!B41/(1+'数据-取费表'!C42),0)</f>
        <v>#REF!</v>
      </c>
      <c r="E53" s="1256" t="s">
        <v>1354</v>
      </c>
      <c r="F53" s="2339">
        <f>'数据-取费表'!B41</f>
        <v>5.6000000000000001E-2</v>
      </c>
      <c r="G53" s="2340"/>
      <c r="H53" s="2330"/>
      <c r="I53" s="1669"/>
      <c r="J53" s="2309">
        <v>2</v>
      </c>
      <c r="K53" s="3278" t="s">
        <v>1357</v>
      </c>
      <c r="L53" s="3278"/>
      <c r="M53" s="2311" t="e">
        <f t="shared" ref="M53:O54" ca="1" si="0">D55</f>
        <v>#REF!</v>
      </c>
      <c r="N53" s="2309" t="str">
        <f t="shared" si="0"/>
        <v>销售额×税（费）率</v>
      </c>
      <c r="O53" s="2312" t="str">
        <f t="shared" si="0"/>
        <v>免征</v>
      </c>
    </row>
    <row r="54" spans="1:35" ht="12" customHeight="1">
      <c r="A54" s="2152" t="s">
        <v>1358</v>
      </c>
      <c r="B54" s="3302" t="s">
        <v>2292</v>
      </c>
      <c r="C54" s="3303"/>
      <c r="D54" s="1024" t="e">
        <f ca="1">C68</f>
        <v>#REF!</v>
      </c>
      <c r="E54" s="319" t="s">
        <v>1359</v>
      </c>
      <c r="F54" s="2339">
        <f>'数据-取费表'!B41</f>
        <v>5.6000000000000001E-2</v>
      </c>
      <c r="G54" s="2340"/>
      <c r="H54" s="2341"/>
      <c r="I54" s="1669"/>
      <c r="J54" s="2309">
        <v>3</v>
      </c>
      <c r="K54" s="3278" t="s">
        <v>1360</v>
      </c>
      <c r="L54" s="3278"/>
      <c r="M54" s="2311" t="e">
        <f t="shared" ca="1" si="0"/>
        <v>#REF!</v>
      </c>
      <c r="N54" s="2309" t="str">
        <f t="shared" si="0"/>
        <v>增值额×税（费）率</v>
      </c>
      <c r="O54" s="2313" t="str">
        <f t="shared" si="0"/>
        <v>免征</v>
      </c>
    </row>
    <row r="55" spans="1:35" ht="24" customHeight="1">
      <c r="A55" s="3338" t="s">
        <v>1361</v>
      </c>
      <c r="B55" s="3316"/>
      <c r="C55" s="3316"/>
      <c r="D55" s="12" t="e">
        <f ca="1">IF(H55="个人住宅",0,ROUND(D45*I55,0))</f>
        <v>#REF!</v>
      </c>
      <c r="E55" s="1256" t="s">
        <v>1362</v>
      </c>
      <c r="F55" s="2339" t="str">
        <f>IF(H55="正常",I55,"免征")</f>
        <v>免征</v>
      </c>
      <c r="G55" s="2340"/>
      <c r="H55" s="2336"/>
      <c r="I55" s="157">
        <f>'数据-取费表'!B49</f>
        <v>5.0000000000000001E-4</v>
      </c>
      <c r="J55" s="2309">
        <f>IF(H59="非个人房产","",4)</f>
        <v>4</v>
      </c>
      <c r="K55" s="3278" t="str">
        <f>IF(H59="非个人房产","——","个人所得税")</f>
        <v>个人所得税</v>
      </c>
      <c r="L55" s="3278"/>
      <c r="M55" s="2314" t="e">
        <f ca="1">D59</f>
        <v>#REF!</v>
      </c>
      <c r="N55" s="1882" t="str">
        <f>E59</f>
        <v>差额计税</v>
      </c>
      <c r="O55" s="2315">
        <f>F59</f>
        <v>0.01</v>
      </c>
    </row>
    <row r="56" spans="1:35" ht="24.75">
      <c r="A56" s="3338" t="s">
        <v>1363</v>
      </c>
      <c r="B56" s="3316"/>
      <c r="C56" s="3316"/>
      <c r="D56" s="12" t="e">
        <f ca="1">IF(H56="个人住宅",D57,D58)</f>
        <v>#REF!</v>
      </c>
      <c r="E56" s="1256" t="s">
        <v>1364</v>
      </c>
      <c r="F56" s="2339" t="str">
        <f>IF(H56="正常",F58,"免征")</f>
        <v>免征</v>
      </c>
      <c r="G56" s="2342" t="s">
        <v>1365</v>
      </c>
      <c r="H56" s="2343"/>
      <c r="I56" s="1670"/>
      <c r="J56" s="2309" t="str">
        <f>IF(项目基本情况!K6="上海银行",IF(J55="",4,J55+1),"")</f>
        <v/>
      </c>
      <c r="K56" s="3259" t="str">
        <f>IF(项目基本情况!K6="上海银行","其他处置费用","")</f>
        <v/>
      </c>
      <c r="L56" s="3260"/>
      <c r="M56" s="2311" t="str">
        <f>IF(项目基本情况!K6="上海银行",M69,"")</f>
        <v/>
      </c>
      <c r="N56" s="3259" t="str">
        <f>IF(项目基本情况!K6="上海银行","包含处置中涉及的律师、诉讼、拍卖、评估等费用","")</f>
        <v/>
      </c>
      <c r="O56" s="3262"/>
    </row>
    <row r="57" spans="1:35" ht="12.75">
      <c r="A57" s="2152" t="s">
        <v>1341</v>
      </c>
      <c r="B57" s="3302" t="s">
        <v>1366</v>
      </c>
      <c r="C57" s="3303"/>
      <c r="D57" s="1478">
        <v>0</v>
      </c>
      <c r="E57" s="316" t="s">
        <v>1343</v>
      </c>
      <c r="F57" s="294"/>
      <c r="G57" s="2340"/>
      <c r="H57" s="2344"/>
      <c r="I57" s="1670"/>
      <c r="J57" s="3278">
        <f>IF(AND(J55="",J56=""),4,IF(项目基本情况!K6="上海银行",结果表!J56+1,结果表!J55+1))</f>
        <v>5</v>
      </c>
      <c r="K57" s="3278" t="s">
        <v>1367</v>
      </c>
      <c r="L57" s="2316" t="s">
        <v>1368</v>
      </c>
      <c r="M57" s="2317"/>
      <c r="N57" s="2318">
        <f ca="1">SUMIF(M52:M56,"&lt;9e307")</f>
        <v>0</v>
      </c>
      <c r="O57" s="2319"/>
      <c r="P57" s="2464" t="e">
        <f ca="1">N57/M49</f>
        <v>#VALUE!</v>
      </c>
    </row>
    <row r="58" spans="1:35" ht="24.75">
      <c r="A58" s="2152" t="s">
        <v>1352</v>
      </c>
      <c r="B58" s="3302" t="s">
        <v>1369</v>
      </c>
      <c r="C58" s="3301"/>
      <c r="D58" s="12" t="e">
        <f ca="1">IF(H58="转让取得",C81,C97)</f>
        <v>#REF!</v>
      </c>
      <c r="E58" s="1256" t="s">
        <v>1364</v>
      </c>
      <c r="F58" s="294" t="s">
        <v>28</v>
      </c>
      <c r="G58" s="2340"/>
      <c r="H58" s="2343"/>
      <c r="I58" s="1670"/>
      <c r="J58" s="3278"/>
      <c r="K58" s="3278"/>
      <c r="L58" s="2316" t="s">
        <v>1370</v>
      </c>
      <c r="M58" s="2320"/>
      <c r="N58" s="2321" t="str">
        <f ca="1">NUMBERSTRING(INT(N57*10000),2)&amp;"元整"</f>
        <v>零元整</v>
      </c>
      <c r="O58" s="2322"/>
    </row>
    <row r="59" spans="1:35" ht="24.75" thickBot="1">
      <c r="A59" s="3282" t="s">
        <v>1371</v>
      </c>
      <c r="B59" s="3283"/>
      <c r="C59" s="3283"/>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280">
        <f>J57+1</f>
        <v>6</v>
      </c>
      <c r="K59" s="3278" t="s">
        <v>1372</v>
      </c>
      <c r="L59" s="2309" t="s">
        <v>1368</v>
      </c>
      <c r="M59" s="2323"/>
      <c r="N59" s="2324" t="e">
        <f ca="1">M49-N57</f>
        <v>#VALUE!</v>
      </c>
      <c r="O59" s="2325"/>
    </row>
    <row r="60" spans="1:35" ht="12" customHeight="1">
      <c r="A60" s="1671"/>
      <c r="B60" s="646"/>
      <c r="C60" s="646"/>
      <c r="D60" s="646"/>
      <c r="E60" s="1466"/>
      <c r="F60" s="1670"/>
      <c r="G60" s="1670"/>
      <c r="H60" s="151"/>
      <c r="I60" s="121"/>
      <c r="J60" s="3281"/>
      <c r="K60" s="3278"/>
      <c r="L60" s="2316" t="s">
        <v>1370</v>
      </c>
      <c r="M60" s="2320"/>
      <c r="N60" s="2321" t="e">
        <f ca="1">NUMBERSTRING(INT(N59*10000),2)&amp;"元整"</f>
        <v>#VALUE!</v>
      </c>
      <c r="O60" s="2322"/>
    </row>
    <row r="61" spans="1:35" ht="13.5" thickBot="1">
      <c r="A61" s="3337" t="s">
        <v>1373</v>
      </c>
      <c r="B61" s="3337"/>
      <c r="C61" s="3337"/>
      <c r="D61" s="3337"/>
      <c r="E61" s="3337"/>
      <c r="F61" s="1670"/>
      <c r="G61" s="1670"/>
      <c r="H61" s="151"/>
      <c r="I61" s="121"/>
      <c r="J61" s="2309">
        <f>J59+1</f>
        <v>7</v>
      </c>
      <c r="K61" s="3278" t="s">
        <v>1374</v>
      </c>
      <c r="L61" s="3278"/>
      <c r="M61" s="2326"/>
      <c r="N61" s="2327" t="e">
        <f ca="1">ROUND(N59*10000/'数据-汇总表'!E3,0)</f>
        <v>#VALUE!</v>
      </c>
      <c r="O61" s="2328"/>
    </row>
    <row r="62" spans="1:35" ht="12.75">
      <c r="A62" s="3297" t="s">
        <v>1375</v>
      </c>
      <c r="B62" s="3298"/>
      <c r="C62" s="1864"/>
      <c r="D62" s="1864" t="s">
        <v>1376</v>
      </c>
      <c r="E62" s="158" t="s">
        <v>1377</v>
      </c>
      <c r="F62" s="1670"/>
      <c r="G62" s="1670"/>
      <c r="H62" s="151"/>
      <c r="I62" s="121"/>
    </row>
    <row r="63" spans="1:35" ht="12.75">
      <c r="A63" s="165" t="s">
        <v>330</v>
      </c>
      <c r="B63" s="159" t="s">
        <v>1378</v>
      </c>
      <c r="C63" s="2349" t="e">
        <f ca="1">ROUND((C64+C65)/(1+'数据-取费表'!C42),0)</f>
        <v>#REF!</v>
      </c>
      <c r="D63" s="159"/>
      <c r="E63" s="160"/>
      <c r="F63" s="1670"/>
      <c r="G63" s="1670"/>
      <c r="H63" s="151"/>
      <c r="I63" s="121"/>
      <c r="J63" s="3261"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261"/>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261"/>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261"/>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261"/>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5.6000000000000001E-2</v>
      </c>
      <c r="E68" s="170"/>
      <c r="F68" s="1670"/>
      <c r="G68" s="1670"/>
      <c r="H68" s="151"/>
      <c r="I68" s="121"/>
      <c r="J68" s="3261"/>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261"/>
      <c r="K69" s="1245" t="s">
        <v>1393</v>
      </c>
      <c r="L69" s="1245"/>
      <c r="M69" s="294" t="e">
        <f>ROUND(SUM(M63:M68),0)</f>
        <v>#VALUE!</v>
      </c>
      <c r="N69" s="2331" t="e">
        <f>M69/M49</f>
        <v>#VALUE!</v>
      </c>
      <c r="Z69" s="1623"/>
      <c r="AI69" s="1561"/>
    </row>
    <row r="70" spans="1:35" s="642" customFormat="1" ht="15" thickBot="1">
      <c r="A70" s="3305" t="s">
        <v>1394</v>
      </c>
      <c r="B70" s="3306"/>
      <c r="C70" s="3306"/>
      <c r="D70" s="3306"/>
      <c r="E70" s="3306"/>
      <c r="F70" s="3306"/>
      <c r="G70" s="3306"/>
      <c r="H70" s="330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7" t="s">
        <v>1375</v>
      </c>
      <c r="B71" s="3298"/>
      <c r="C71" s="1864"/>
      <c r="D71" s="1864"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02" t="s">
        <v>1402</v>
      </c>
      <c r="F76" s="3301"/>
      <c r="G76" s="3301"/>
      <c r="H76" s="330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6.000000000000001E-3</v>
      </c>
      <c r="E78" s="3294" t="s">
        <v>1406</v>
      </c>
      <c r="F78" s="3295"/>
      <c r="G78" s="3295"/>
      <c r="H78" s="329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5" t="s">
        <v>1410</v>
      </c>
      <c r="B83" s="3306"/>
      <c r="C83" s="3306"/>
      <c r="D83" s="3306"/>
      <c r="E83" s="3306"/>
      <c r="F83" s="3306"/>
      <c r="G83" s="3306"/>
      <c r="H83" s="330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7" t="s">
        <v>1375</v>
      </c>
      <c r="B84" s="3298"/>
      <c r="C84" s="1864"/>
      <c r="D84" s="1864"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7"/>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7"/>
      <c r="G90" s="3263" t="s">
        <v>2129</v>
      </c>
      <c r="H90" s="3264"/>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94" t="s">
        <v>1419</v>
      </c>
      <c r="F91" s="3295"/>
      <c r="G91" s="329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94" t="s">
        <v>1422</v>
      </c>
      <c r="F92" s="3295"/>
      <c r="G92" s="3295"/>
      <c r="H92" s="3296"/>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6.000000000000001E-3</v>
      </c>
      <c r="E93" s="3294" t="s">
        <v>1406</v>
      </c>
      <c r="F93" s="3295"/>
      <c r="G93" s="3295"/>
      <c r="H93" s="329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39" t="s">
        <v>1426</v>
      </c>
      <c r="F94" s="3340"/>
      <c r="G94" s="3340"/>
      <c r="H94" s="334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4" t="s">
        <v>1428</v>
      </c>
      <c r="B100" s="3245"/>
      <c r="C100" s="3245"/>
      <c r="D100" s="3279"/>
      <c r="E100" s="3245" t="s">
        <v>1429</v>
      </c>
      <c r="F100" s="3245"/>
      <c r="G100" s="3245"/>
      <c r="H100" s="3279"/>
      <c r="I100" s="121"/>
    </row>
    <row r="101" spans="1:35" ht="18.75" customHeight="1">
      <c r="A101" s="3287" t="s">
        <v>1430</v>
      </c>
      <c r="B101" s="3288"/>
      <c r="C101" s="2370" t="str">
        <f>C4</f>
        <v>收益法 (元)</v>
      </c>
      <c r="D101" s="2371" t="str">
        <f>D4</f>
        <v>比较法-住宅</v>
      </c>
      <c r="E101" s="3257" t="s">
        <v>1431</v>
      </c>
      <c r="F101" s="3258"/>
      <c r="G101" s="1687" t="s">
        <v>1432</v>
      </c>
      <c r="H101" s="2380" t="e">
        <f ca="1">H118</f>
        <v>#REF!</v>
      </c>
      <c r="I101" s="121"/>
    </row>
    <row r="102" spans="1:35" ht="18.75" customHeight="1">
      <c r="A102" s="3289" t="s">
        <v>1433</v>
      </c>
      <c r="B102" s="2369" t="s">
        <v>1432</v>
      </c>
      <c r="C102" s="2370">
        <f ca="1">IF(D32="楼面单价",ROUND(C19,0),C19)</f>
        <v>238.91200000000001</v>
      </c>
      <c r="D102" s="2371">
        <f ca="1">IF(D32="楼面单价",ROUND(D19,0),D19)</f>
        <v>367.73149999999998</v>
      </c>
      <c r="E102" s="3257"/>
      <c r="F102" s="3258"/>
      <c r="G102" s="1687" t="s">
        <v>1434</v>
      </c>
      <c r="H102" s="2340" t="e">
        <f ca="1">I118</f>
        <v>#REF!</v>
      </c>
      <c r="I102" s="121"/>
    </row>
    <row r="103" spans="1:35" ht="42.75" customHeight="1">
      <c r="A103" s="3289"/>
      <c r="B103" s="2369" t="s">
        <v>1434</v>
      </c>
      <c r="C103" s="2372">
        <f ca="1">C20</f>
        <v>37348</v>
      </c>
      <c r="D103" s="2373">
        <f ca="1">D20</f>
        <v>57485</v>
      </c>
      <c r="E103" s="3250" t="s">
        <v>1435</v>
      </c>
      <c r="F103" s="3251"/>
      <c r="G103" s="1688" t="s">
        <v>1436</v>
      </c>
      <c r="H103" s="2380">
        <f>IF(D36="正常操作",H104+H105+H106,H105+H106)</f>
        <v>0</v>
      </c>
      <c r="I103" s="121"/>
    </row>
    <row r="104" spans="1:35" ht="18.75" customHeight="1">
      <c r="A104" s="3289"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299"/>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0" t="str">
        <f>IF(项目基本情况!E8="已注销","——","3.房地产抵押价值")</f>
        <v>3.房地产抵押价值</v>
      </c>
      <c r="F107" s="3258"/>
      <c r="G107" s="1687" t="s">
        <v>1432</v>
      </c>
      <c r="H107" s="2380" t="e">
        <f ca="1">IF(E107="——","——",H101-H103)</f>
        <v>#REF!</v>
      </c>
      <c r="I107" s="121"/>
    </row>
    <row r="108" spans="1:35" ht="18.75" customHeight="1">
      <c r="A108" s="121"/>
      <c r="B108" s="121"/>
      <c r="C108" s="121"/>
      <c r="D108" s="121"/>
      <c r="E108" s="3290"/>
      <c r="F108" s="3258"/>
      <c r="G108" s="1687" t="s">
        <v>1434</v>
      </c>
      <c r="H108" s="2340">
        <f ca="1">IF(H107=H101,H102,ROUND(H107*10000/'数据-汇总表'!E3,0))</f>
        <v>0</v>
      </c>
      <c r="I108" s="121"/>
    </row>
    <row r="109" spans="1:35" ht="18.75" customHeight="1">
      <c r="A109" s="121"/>
      <c r="B109" s="121"/>
      <c r="C109" s="121"/>
      <c r="D109" s="121"/>
      <c r="E109" s="3290" t="str">
        <f>IF(项目基本情况!E8="已注销及未注销","4.抵押担保权已注销时的房地产抵押价值",IF(项目基本情况!E8="已注销","3.抵押担保权已注销时的房地产抵押价值","——"))</f>
        <v>——</v>
      </c>
      <c r="F109" s="3258"/>
      <c r="G109" s="1687" t="s">
        <v>1432</v>
      </c>
      <c r="H109" s="2383" t="str">
        <f>IF(E109="——","——",H101-H105-H106)</f>
        <v>——</v>
      </c>
      <c r="I109" s="121"/>
    </row>
    <row r="110" spans="1:35" ht="18.75" customHeight="1">
      <c r="A110" s="121"/>
      <c r="B110" s="121"/>
      <c r="C110" s="121"/>
      <c r="D110" s="121"/>
      <c r="E110" s="3290"/>
      <c r="F110" s="3258"/>
      <c r="G110" s="1687" t="s">
        <v>1434</v>
      </c>
      <c r="H110" s="2340" t="str">
        <f>IF(H109="——","——",ROUND(H109*10000/'数据-汇总表'!E3,0))</f>
        <v>——</v>
      </c>
      <c r="I110" s="121"/>
    </row>
    <row r="111" spans="1:35" ht="18.75" customHeight="1">
      <c r="A111" s="121"/>
      <c r="B111" s="121"/>
      <c r="C111" s="121"/>
      <c r="D111" s="121"/>
      <c r="E111" s="3291" t="str">
        <f>IF(项目基本情况!E9="抵押净值",IF(OR(项目基本情况!E8="已注销",项目基本情况!E8="房地产抵押价值"),"4.抵押净值","5.抵押净值"),"——")</f>
        <v>——</v>
      </c>
      <c r="F111" s="3277"/>
      <c r="G111" s="1687" t="s">
        <v>1432</v>
      </c>
      <c r="H111" s="2380" t="str">
        <f>IF(E111="——","——",N59)</f>
        <v>——</v>
      </c>
      <c r="I111" s="121"/>
    </row>
    <row r="112" spans="1:35" ht="18.75" customHeight="1" thickBot="1">
      <c r="A112" s="121"/>
      <c r="B112" s="121"/>
      <c r="C112" s="121"/>
      <c r="D112" s="121"/>
      <c r="E112" s="3292"/>
      <c r="F112" s="3293"/>
      <c r="G112" s="1690" t="s">
        <v>1434</v>
      </c>
      <c r="H112" s="2384" t="str">
        <f>IF(E111="——","——",N61)</f>
        <v>——</v>
      </c>
      <c r="I112" s="121"/>
    </row>
    <row r="113" spans="1:27" ht="18.75" customHeight="1">
      <c r="A113" s="121"/>
      <c r="B113" s="121"/>
      <c r="C113" s="121"/>
      <c r="D113" s="121"/>
      <c r="E113" s="3300" t="s">
        <v>1440</v>
      </c>
      <c r="F113" s="3300"/>
      <c r="G113" s="3300"/>
      <c r="H113" s="3300"/>
      <c r="I113" s="121"/>
    </row>
    <row r="114" spans="1:27" ht="3.75" customHeight="1">
      <c r="A114" s="646"/>
      <c r="B114" s="646"/>
      <c r="C114" s="646"/>
      <c r="D114" s="646"/>
      <c r="E114" s="1671"/>
      <c r="F114" s="1671"/>
      <c r="G114" s="1671"/>
      <c r="H114" s="1671"/>
      <c r="I114" s="646"/>
    </row>
    <row r="115" spans="1:27" ht="18.75" customHeight="1">
      <c r="A115" s="3308" t="s">
        <v>1442</v>
      </c>
      <c r="B115" s="3309"/>
      <c r="C115" s="3309"/>
      <c r="D115" s="3309"/>
      <c r="E115" s="3309"/>
      <c r="F115" s="3309"/>
      <c r="G115" s="3309"/>
      <c r="H115" s="3309"/>
      <c r="I115" s="3310"/>
    </row>
    <row r="116" spans="1:27" ht="27" customHeight="1">
      <c r="A116" s="3265" t="s">
        <v>1443</v>
      </c>
      <c r="B116" s="3269" t="s">
        <v>1444</v>
      </c>
      <c r="C116" s="3269" t="s">
        <v>1445</v>
      </c>
      <c r="D116" s="3275" t="s">
        <v>1446</v>
      </c>
      <c r="E116" s="3276"/>
      <c r="F116" s="3307" t="s">
        <v>1447</v>
      </c>
      <c r="G116" s="3307"/>
      <c r="H116" s="3265" t="s">
        <v>1448</v>
      </c>
      <c r="I116" s="3265"/>
    </row>
    <row r="117" spans="1:27" ht="18.75" customHeight="1">
      <c r="A117" s="3265"/>
      <c r="B117" s="3270"/>
      <c r="C117" s="3270"/>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63.97</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265" t="s">
        <v>1452</v>
      </c>
      <c r="B119" s="3265"/>
      <c r="C119" s="3265"/>
      <c r="D119" s="3271" t="e">
        <f ca="1">NUMBERSTRING(INT(D118*10000),2)&amp;"元整"</f>
        <v>#REF!</v>
      </c>
      <c r="E119" s="3272"/>
      <c r="F119" s="3271" t="e">
        <f ca="1">NUMBERSTRING(INT(F118*10000),2)&amp;"元整"</f>
        <v>#REF!</v>
      </c>
      <c r="G119" s="3272"/>
      <c r="H119" s="3271" t="e">
        <f ca="1">NUMBERSTRING(INT(H118*10000),2)&amp;"元整"</f>
        <v>#REF!</v>
      </c>
      <c r="I119" s="3272"/>
    </row>
    <row r="120" spans="1:27" ht="18.75" customHeight="1">
      <c r="A120" s="3266" t="str">
        <f>IF(项目基本情况!B9="房地产市场价值","",MID(E103,3,LEN(E103)-2))</f>
        <v/>
      </c>
      <c r="B120" s="3267"/>
      <c r="C120" s="3268"/>
      <c r="D120" s="3266">
        <f>H103</f>
        <v>0</v>
      </c>
      <c r="E120" s="3267"/>
      <c r="F120" s="3267"/>
      <c r="G120" s="3267"/>
      <c r="H120" s="3267"/>
      <c r="I120" s="3268"/>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271" t="s">
        <v>1452</v>
      </c>
      <c r="B121" s="3273"/>
      <c r="C121" s="3272"/>
      <c r="D121" s="3271" t="str">
        <f>IF(D120=0,"零元整",NUMBERSTRING(INT(D120*10000),2)&amp;"元整")</f>
        <v>零元整</v>
      </c>
      <c r="E121" s="3273"/>
      <c r="F121" s="3273"/>
      <c r="G121" s="3273"/>
      <c r="H121" s="3273"/>
      <c r="I121" s="3272"/>
      <c r="AA121" s="684"/>
    </row>
    <row r="122" spans="1:27" ht="18.75" customHeight="1">
      <c r="A122" s="3277" t="str">
        <f>IF(项目基本情况!B9="房地产市场价值","",MID(E107,3,LEN(E107)-2))</f>
        <v/>
      </c>
      <c r="B122" s="3277"/>
      <c r="C122" s="3277"/>
      <c r="D122" s="3266" t="e">
        <f ca="1">H107</f>
        <v>#REF!</v>
      </c>
      <c r="E122" s="3267"/>
      <c r="F122" s="3267"/>
      <c r="G122" s="3267"/>
      <c r="H122" s="3267"/>
      <c r="I122" s="3268"/>
      <c r="AA122" s="684"/>
    </row>
    <row r="123" spans="1:27" ht="18.75" customHeight="1">
      <c r="A123" s="3265" t="s">
        <v>1452</v>
      </c>
      <c r="B123" s="3265"/>
      <c r="C123" s="3265"/>
      <c r="D123" s="3271" t="e">
        <f ca="1">NUMBERSTRING(INT(D122*10000),2)&amp;"元整"</f>
        <v>#REF!</v>
      </c>
      <c r="E123" s="3273"/>
      <c r="F123" s="3273"/>
      <c r="G123" s="3273"/>
      <c r="H123" s="3273"/>
      <c r="I123" s="3272"/>
      <c r="AA123" s="684"/>
    </row>
    <row r="124" spans="1:27" ht="18.75" customHeight="1">
      <c r="A124" s="3277" t="str">
        <f>IF(项目基本情况!B9="房地产市场价值","",MID(E109,3,LEN(E109)-2))</f>
        <v/>
      </c>
      <c r="B124" s="3277"/>
      <c r="C124" s="3277"/>
      <c r="D124" s="3266" t="str">
        <f>H109</f>
        <v>——</v>
      </c>
      <c r="E124" s="3267"/>
      <c r="F124" s="3267"/>
      <c r="G124" s="3267"/>
      <c r="H124" s="3267"/>
      <c r="I124" s="3268"/>
      <c r="AA124" s="684"/>
    </row>
    <row r="125" spans="1:27" ht="18.75" customHeight="1">
      <c r="A125" s="3265" t="s">
        <v>1452</v>
      </c>
      <c r="B125" s="3265"/>
      <c r="C125" s="3265"/>
      <c r="D125" s="3271" t="e">
        <f>NUMBERSTRING(INT(D124*10000),2)&amp;"元整"</f>
        <v>#VALUE!</v>
      </c>
      <c r="E125" s="3273"/>
      <c r="F125" s="3273"/>
      <c r="G125" s="3273"/>
      <c r="H125" s="3273"/>
      <c r="I125" s="3272"/>
      <c r="AA125" s="684"/>
    </row>
    <row r="126" spans="1:27" ht="18.75" customHeight="1">
      <c r="A126" s="3277" t="str">
        <f>IF(项目基本情况!B9="房地产市场价值","",MID(E111,3,LEN(E111)-2))</f>
        <v/>
      </c>
      <c r="B126" s="3277"/>
      <c r="C126" s="3277"/>
      <c r="D126" s="3266" t="str">
        <f>H111</f>
        <v>——</v>
      </c>
      <c r="E126" s="3267"/>
      <c r="F126" s="3267"/>
      <c r="G126" s="3267"/>
      <c r="H126" s="3267"/>
      <c r="I126" s="3268"/>
      <c r="AA126" s="684"/>
    </row>
    <row r="127" spans="1:27" ht="18.75" customHeight="1">
      <c r="A127" s="3265" t="s">
        <v>1452</v>
      </c>
      <c r="B127" s="3265"/>
      <c r="C127" s="3265"/>
      <c r="D127" s="3271" t="e">
        <f>NUMBERSTRING(INT(D126*10000),2)&amp;"元整"</f>
        <v>#VALUE!</v>
      </c>
      <c r="E127" s="3273"/>
      <c r="F127" s="3273"/>
      <c r="G127" s="3273"/>
      <c r="H127" s="3273"/>
      <c r="I127" s="3272"/>
      <c r="AA127" s="684"/>
    </row>
    <row r="128" spans="1:27" ht="21.75" customHeight="1">
      <c r="A128" s="3274" t="s">
        <v>1453</v>
      </c>
      <c r="B128" s="3274"/>
      <c r="C128" s="3274"/>
      <c r="D128" s="3274"/>
      <c r="E128" s="3274"/>
      <c r="F128" s="3274"/>
      <c r="G128" s="3274"/>
      <c r="H128" s="3274"/>
      <c r="I128" s="327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21</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3283</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1</v>
      </c>
      <c r="D9" s="795">
        <f ca="1">IF(B1="",'数据-汇总表'!E5,IF(INDIRECT("'数据-取费表'!c"&amp;$G$1)="住宅",INDIRECT("'数据-取费表'!k"&amp;$G$1),0))</f>
        <v>63.97</v>
      </c>
      <c r="E9" s="217">
        <f>'数据-取费表'!B27</f>
        <v>160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63.97</v>
      </c>
      <c r="E19" s="203">
        <f>'数据-取费表'!B31</f>
        <v>200</v>
      </c>
      <c r="F19" s="223"/>
      <c r="G19" s="1714"/>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0</v>
      </c>
      <c r="D22" s="227">
        <f ca="1">C26</f>
        <v>5.0000000000000001E-4</v>
      </c>
      <c r="E22" s="228" t="s">
        <v>1498</v>
      </c>
      <c r="F22" s="229">
        <f ca="1">'数据-取费表'!B40</f>
        <v>0.03</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4.75">
      <c r="A27" s="247" t="s">
        <v>1512</v>
      </c>
      <c r="B27" s="236" t="s">
        <v>1513</v>
      </c>
      <c r="C27" s="237">
        <f ca="1">C28</f>
        <v>0</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19</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1</v>
      </c>
      <c r="D36" s="212"/>
      <c r="E36" s="212"/>
      <c r="F36" s="251">
        <f>'数据-取费表'!B34</f>
        <v>0.05</v>
      </c>
      <c r="G36" s="252" t="s">
        <v>1530</v>
      </c>
    </row>
    <row r="37" spans="1:7" s="250" customFormat="1" ht="13.5" customHeight="1">
      <c r="A37" s="734" t="s">
        <v>353</v>
      </c>
      <c r="B37" s="207" t="s">
        <v>1531</v>
      </c>
      <c r="C37" s="241">
        <f ca="1">ROUND(E37*D37*F34/10000,0)</f>
        <v>1</v>
      </c>
      <c r="D37" s="209">
        <f ca="1">D19</f>
        <v>63.97</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0</v>
      </c>
      <c r="D41" s="227">
        <f ca="1">C44</f>
        <v>5.0000000000000001E-4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0</v>
      </c>
      <c r="D42" s="230"/>
      <c r="E42" s="230"/>
      <c r="F42" s="231"/>
      <c r="G42" s="3344" t="s">
        <v>1544</v>
      </c>
    </row>
    <row r="43" spans="1:7" ht="13.5" customHeight="1">
      <c r="A43" s="734" t="s">
        <v>347</v>
      </c>
      <c r="B43" s="207" t="s">
        <v>1545</v>
      </c>
      <c r="C43" s="230">
        <f ca="1">ROUND(IF('数据-取费表'!B22&lt;=1,C39*F22*'数据-取费表'!B21/2,C39*(POWER((1+F22),'数据-取费表'!B21/2)-1)),0)</f>
        <v>0</v>
      </c>
      <c r="D43" s="230"/>
      <c r="E43" s="230"/>
      <c r="F43" s="231"/>
      <c r="G43" s="3345"/>
    </row>
    <row r="44" spans="1:7" ht="13.5" customHeight="1">
      <c r="A44" s="734" t="s">
        <v>348</v>
      </c>
      <c r="B44" s="207" t="s">
        <v>1546</v>
      </c>
      <c r="C44" s="230">
        <f ca="1">ROUND(IF('数据-取费表'!B22&lt;=1,C40*F22*'数据-取费表'!B21/2,C40*(POWER((1+F22),'数据-取费表'!B21/2)-1)),4)</f>
        <v>5.0000000000000001E-4</v>
      </c>
      <c r="D44" s="230"/>
      <c r="E44" s="230"/>
      <c r="F44" s="231"/>
      <c r="G44" s="3346"/>
    </row>
    <row r="45" spans="1:7" s="206" customFormat="1" ht="13.5" customHeight="1">
      <c r="A45" s="247" t="s">
        <v>1547</v>
      </c>
      <c r="B45" s="236" t="s">
        <v>1513</v>
      </c>
      <c r="C45" s="237">
        <f ca="1">C46</f>
        <v>4</v>
      </c>
      <c r="D45" s="227">
        <f ca="1">C47</f>
        <v>6.0000000000000001E-3</v>
      </c>
      <c r="E45" s="228" t="s">
        <v>1539</v>
      </c>
      <c r="F45" s="238">
        <f ca="1">F27</f>
        <v>0.2</v>
      </c>
      <c r="G45" s="239" t="s">
        <v>1548</v>
      </c>
    </row>
    <row r="46" spans="1:7" s="206" customFormat="1" ht="13.5" customHeight="1">
      <c r="A46" s="734" t="s">
        <v>346</v>
      </c>
      <c r="B46" s="240" t="s">
        <v>1549</v>
      </c>
      <c r="C46" s="241">
        <f ca="1">ROUND((C33+C39)*F27,0)</f>
        <v>4</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29</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20</v>
      </c>
      <c r="D51" s="224"/>
      <c r="E51" s="224"/>
      <c r="F51" s="256"/>
      <c r="G51" s="226" t="s">
        <v>1560</v>
      </c>
    </row>
    <row r="52" spans="1:7" s="200" customFormat="1" ht="16.5" thickBot="1">
      <c r="A52" s="257" t="s">
        <v>1561</v>
      </c>
      <c r="B52" s="258"/>
      <c r="C52" s="259">
        <f ca="1">C31+C51</f>
        <v>21</v>
      </c>
      <c r="D52" s="258"/>
      <c r="E52" s="258"/>
      <c r="F52" s="258"/>
      <c r="G52" s="260"/>
    </row>
    <row r="55" spans="1:7" ht="15">
      <c r="B55" s="262" t="s">
        <v>1562</v>
      </c>
      <c r="C55" s="263"/>
    </row>
    <row r="56" spans="1:7">
      <c r="B56" s="265" t="s">
        <v>802</v>
      </c>
      <c r="C56" s="267">
        <f ca="1">1-C57</f>
        <v>4.8000000000000043E-2</v>
      </c>
    </row>
    <row r="57" spans="1:7">
      <c r="B57" s="265" t="s">
        <v>803</v>
      </c>
      <c r="C57" s="266">
        <f ca="1">ROUND(C51/C52,3)</f>
        <v>0.95199999999999996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2" t="str">
        <f>项目基本情况!B1</f>
        <v>北京市房地产市场价值预评估</v>
      </c>
      <c r="C37" s="3162"/>
      <c r="D37" s="3162"/>
      <c r="E37" s="3162"/>
      <c r="F37" s="3162"/>
      <c r="G37" s="3162"/>
      <c r="H37" s="3162"/>
      <c r="I37" s="316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-1</v>
      </c>
      <c r="C2" s="268" t="s">
        <v>1595</v>
      </c>
      <c r="D2" s="268"/>
      <c r="E2" s="2567"/>
      <c r="F2" s="2567"/>
      <c r="G2" s="2567"/>
      <c r="H2" s="2567"/>
      <c r="I2" s="2567"/>
      <c r="J2" s="2567"/>
      <c r="K2" s="2567"/>
    </row>
    <row r="3" spans="1:33" ht="18" customHeight="1" thickBot="1">
      <c r="A3" s="195" t="s">
        <v>1464</v>
      </c>
      <c r="B3" s="196">
        <f ca="1">ROUND(B2*10000/IF(C1="",'数据-汇总表'!E3,INDIRECT("'数据-取费表'!K"&amp;$K$1)),0)</f>
        <v>-156</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63.97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63.97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1</v>
      </c>
      <c r="D19" s="796">
        <f ca="1">IF(C1="",'数据-汇总表'!E5,IF(INDIRECT("'数据-取费表'!c"&amp;$K$1)="住宅",INDIRECT("'数据-取费表'!k"&amp;$K$1),0))</f>
        <v>63.97</v>
      </c>
      <c r="E19" s="21">
        <f>'数据-取费表'!B27</f>
        <v>160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9" t="s">
        <v>694</v>
      </c>
      <c r="C6" s="1011">
        <f ca="1">ROUND(F6*F8*F7*(1-F9)/10000,0)</f>
        <v>0</v>
      </c>
      <c r="D6" s="147" t="s">
        <v>2109</v>
      </c>
      <c r="E6" s="294" t="s">
        <v>696</v>
      </c>
      <c r="F6" s="295">
        <f ca="1">INDIRECT("'数据-取费表'!u"&amp;$G$1)</f>
        <v>0</v>
      </c>
      <c r="G6" s="1292"/>
      <c r="H6" s="1006" t="s">
        <v>398</v>
      </c>
      <c r="I6" s="3349" t="s">
        <v>694</v>
      </c>
      <c r="J6" s="293">
        <f ca="1">ROUND(M6*M8*M7*(1-M9)/10000,0)</f>
        <v>0</v>
      </c>
      <c r="K6" s="147" t="s">
        <v>2108</v>
      </c>
      <c r="L6" s="294" t="s">
        <v>696</v>
      </c>
      <c r="M6" s="295">
        <f ca="1">INDIRECT("'数据-取费表'!z"&amp;$G$1)</f>
        <v>0</v>
      </c>
    </row>
    <row r="7" spans="1:37" ht="18" customHeight="1">
      <c r="A7" s="1010"/>
      <c r="B7" s="3350"/>
      <c r="C7" s="1012"/>
      <c r="D7" s="299"/>
      <c r="E7" s="1013" t="s">
        <v>697</v>
      </c>
      <c r="F7" s="295">
        <f ca="1">IF(INDIRECT("'数据-取费表'!ah"&amp;$G$1)="",INDIRECT("'数据-取费表'!k"&amp;$G$1),INDIRECT("'数据-取费表'!ah"&amp;$G$1))</f>
        <v>0</v>
      </c>
      <c r="G7" s="1292"/>
      <c r="H7" s="296"/>
      <c r="I7" s="3350"/>
      <c r="J7" s="298"/>
      <c r="K7" s="299"/>
      <c r="L7" s="294" t="s">
        <v>697</v>
      </c>
      <c r="M7" s="295">
        <f ca="1">F7</f>
        <v>0</v>
      </c>
    </row>
    <row r="8" spans="1:37" ht="18" customHeight="1">
      <c r="A8" s="296"/>
      <c r="B8" s="3350"/>
      <c r="C8" s="298"/>
      <c r="D8" s="299"/>
      <c r="E8" s="294" t="s">
        <v>698</v>
      </c>
      <c r="F8" s="295">
        <f ca="1">INDIRECT("'数据-取费表'!ai"&amp;$G$1)</f>
        <v>0</v>
      </c>
      <c r="G8" s="1292"/>
      <c r="H8" s="296"/>
      <c r="I8" s="3350"/>
      <c r="J8" s="298"/>
      <c r="K8" s="299"/>
      <c r="L8" s="294" t="s">
        <v>698</v>
      </c>
      <c r="M8" s="295">
        <f ca="1">INDIRECT("'数据-取费表'!ai"&amp;$G$1)</f>
        <v>0</v>
      </c>
    </row>
    <row r="9" spans="1:37" ht="18" customHeight="1">
      <c r="A9" s="296"/>
      <c r="B9" s="3351"/>
      <c r="C9" s="298"/>
      <c r="D9" s="299"/>
      <c r="E9" s="294" t="s">
        <v>699</v>
      </c>
      <c r="F9" s="304">
        <f ca="1">INDIRECT("'数据-取费表'!w"&amp;$G$1)</f>
        <v>0</v>
      </c>
      <c r="G9" s="1292"/>
      <c r="H9" s="296"/>
      <c r="I9" s="335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ROUND(IF(AND(项目基本情况!B11="自然人",项目基本情况!B10="北京市"),C6*F31/(1+'数据-取费表'!C42),C32+C33+C34),2)</f>
        <v>0</v>
      </c>
      <c r="D31" s="1257" t="s">
        <v>720</v>
      </c>
      <c r="E31" s="1256" t="s">
        <v>770</v>
      </c>
      <c r="F31" s="2138">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IF(项目基本情况!B11="自然人","——",ROUND(F34*F35/10000,2))</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347" t="s">
        <v>837</v>
      </c>
      <c r="L53" s="3348"/>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B23" zoomScaleNormal="60" zoomScaleSheetLayoutView="100" workbookViewId="0">
      <selection activeCell="K33" sqref="K33"/>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3406</v>
      </c>
      <c r="E1" s="3124" t="s">
        <v>3517</v>
      </c>
      <c r="F1" s="1735" t="s">
        <v>3516</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f>IF(E1="项目模式",IF(C2="——",ROUND(C49*D3/10000,0),ROUND(C49*D3/10000,0)-D2),IF(E1="单套模式",IF(C2="——",ROUND(C49*D3/10000,4),ROUND(C49*D3/10000,4)-D2)))</f>
        <v>367.73149999999998</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57485</v>
      </c>
      <c r="C3" s="344" t="s">
        <v>1665</v>
      </c>
      <c r="D3" s="343">
        <f>IF(D1="",'数据-汇总表'!E3,SUMIF('数据-汇总表'!$C19:$C33,D1,'数据-汇总表'!$E19:$E33))</f>
        <v>63.97</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391" t="s">
        <v>1667</v>
      </c>
      <c r="D4" s="3392"/>
      <c r="E4" s="3393" t="s">
        <v>1668</v>
      </c>
      <c r="F4" s="3394"/>
      <c r="G4" s="3391" t="s">
        <v>1669</v>
      </c>
      <c r="H4" s="3392"/>
      <c r="I4" s="3391" t="s">
        <v>1670</v>
      </c>
      <c r="J4" s="3392"/>
      <c r="K4" s="1744" t="s">
        <v>1671</v>
      </c>
      <c r="L4" s="2486"/>
      <c r="M4" s="2487"/>
      <c r="N4" s="2487"/>
      <c r="O4" s="2487"/>
      <c r="P4" s="3395" t="s">
        <v>1672</v>
      </c>
      <c r="Q4" s="3396"/>
      <c r="R4" s="3378" t="s">
        <v>1668</v>
      </c>
      <c r="S4" s="3379"/>
      <c r="T4" s="3378" t="s">
        <v>1669</v>
      </c>
      <c r="U4" s="3379"/>
      <c r="V4" s="3403" t="s">
        <v>1670</v>
      </c>
      <c r="W4" s="3403"/>
      <c r="X4" s="1265"/>
      <c r="Y4" s="3378" t="s">
        <v>1672</v>
      </c>
      <c r="Z4" s="3379"/>
      <c r="AA4" s="3373" t="s">
        <v>1668</v>
      </c>
      <c r="AB4" s="3373" t="s">
        <v>1669</v>
      </c>
      <c r="AC4" s="3373" t="s">
        <v>1670</v>
      </c>
    </row>
    <row r="5" spans="1:29" ht="15">
      <c r="A5" s="348"/>
      <c r="B5" s="349"/>
      <c r="C5" s="3522" t="s">
        <v>3488</v>
      </c>
      <c r="D5" s="3385"/>
      <c r="E5" s="3382" t="str">
        <f>C5</f>
        <v>甜水园北里</v>
      </c>
      <c r="F5" s="3383"/>
      <c r="G5" s="3384" t="str">
        <f>E5</f>
        <v>甜水园北里</v>
      </c>
      <c r="H5" s="3385"/>
      <c r="I5" s="3384" t="str">
        <f>G5</f>
        <v>甜水园北里</v>
      </c>
      <c r="J5" s="3385"/>
      <c r="K5" s="1745"/>
      <c r="L5" s="2486"/>
      <c r="M5" s="2487"/>
      <c r="N5" s="2487"/>
      <c r="O5" s="2487"/>
      <c r="P5" s="3397"/>
      <c r="Q5" s="3398"/>
      <c r="R5" s="3380"/>
      <c r="S5" s="3381"/>
      <c r="T5" s="3380"/>
      <c r="U5" s="3381"/>
      <c r="V5" s="3403"/>
      <c r="W5" s="3403"/>
      <c r="X5" s="1265"/>
      <c r="Y5" s="3380"/>
      <c r="Z5" s="3381"/>
      <c r="AA5" s="3374"/>
      <c r="AB5" s="3374"/>
      <c r="AC5" s="3374"/>
    </row>
    <row r="6" spans="1:29" ht="15.75" thickBot="1">
      <c r="A6" s="350"/>
      <c r="B6" s="351"/>
      <c r="C6" s="3386" t="s">
        <v>1677</v>
      </c>
      <c r="D6" s="3387"/>
      <c r="E6" s="3388" t="s">
        <v>1677</v>
      </c>
      <c r="F6" s="3389"/>
      <c r="G6" s="3386" t="s">
        <v>1677</v>
      </c>
      <c r="H6" s="3387"/>
      <c r="I6" s="3386" t="s">
        <v>1677</v>
      </c>
      <c r="J6" s="3387"/>
      <c r="K6" s="1745" t="s">
        <v>1678</v>
      </c>
      <c r="L6" s="2486"/>
      <c r="M6" s="2487"/>
      <c r="N6" s="2487"/>
      <c r="O6" s="2487"/>
      <c r="P6" s="3399"/>
      <c r="Q6" s="3400"/>
      <c r="R6" s="3380"/>
      <c r="S6" s="3381"/>
      <c r="T6" s="3401"/>
      <c r="U6" s="3402"/>
      <c r="V6" s="3403"/>
      <c r="W6" s="3403"/>
      <c r="X6" s="1265"/>
      <c r="Y6" s="3401"/>
      <c r="Z6" s="3402"/>
      <c r="AA6" s="3375"/>
      <c r="AB6" s="3375"/>
      <c r="AC6" s="3375"/>
    </row>
    <row r="7" spans="1:29" s="102" customFormat="1" ht="15.75" thickBot="1">
      <c r="A7" s="352" t="s">
        <v>1679</v>
      </c>
      <c r="B7" s="353"/>
      <c r="C7" s="354">
        <f>'数据-取费表'!B2</f>
        <v>45812</v>
      </c>
      <c r="D7" s="355">
        <v>100</v>
      </c>
      <c r="E7" s="356">
        <f>Sheet2!V4</f>
        <v>45804</v>
      </c>
      <c r="F7" s="357">
        <f>SUMIF(58:58,YEAR(E7)&amp;"-"&amp;MONTH(E7),59:59)</f>
        <v>100</v>
      </c>
      <c r="G7" s="356">
        <f>Sheet2!V6</f>
        <v>45772</v>
      </c>
      <c r="H7" s="355">
        <f>SUMIF(58:58,YEAR(G7)&amp;"-"&amp;MONTH(G7),59:59)</f>
        <v>100.2</v>
      </c>
      <c r="I7" s="356">
        <f>Sheet2!V7</f>
        <v>45760</v>
      </c>
      <c r="J7" s="355">
        <f>SUMIF(58:58,YEAR(I7)&amp;"-"&amp;MONTH(I7),59:59)</f>
        <v>100.2</v>
      </c>
      <c r="K7" s="1746"/>
      <c r="L7" s="2488"/>
      <c r="M7" s="2439"/>
      <c r="N7" s="2439"/>
      <c r="O7" s="2439"/>
      <c r="P7" s="3376" t="s">
        <v>1680</v>
      </c>
      <c r="Q7" s="3404"/>
      <c r="R7" s="664" t="s">
        <v>20</v>
      </c>
      <c r="S7" s="665">
        <f t="shared" ref="S7:S15" si="0">F7</f>
        <v>100</v>
      </c>
      <c r="T7" s="664" t="s">
        <v>20</v>
      </c>
      <c r="U7" s="665">
        <f t="shared" ref="U7:U15" si="1">H7</f>
        <v>100.2</v>
      </c>
      <c r="V7" s="664" t="s">
        <v>20</v>
      </c>
      <c r="W7" s="665">
        <f t="shared" ref="W7:W15" si="2">J7</f>
        <v>100.2</v>
      </c>
      <c r="X7" s="666"/>
      <c r="Y7" s="3376" t="s">
        <v>1680</v>
      </c>
      <c r="Z7" s="3377"/>
      <c r="AA7" s="50">
        <f>D7/F7</f>
        <v>1</v>
      </c>
      <c r="AB7" s="50">
        <f>D7/H7</f>
        <v>0.99800399201596801</v>
      </c>
      <c r="AC7" s="50">
        <f>D7/J7</f>
        <v>0.99800399201596801</v>
      </c>
    </row>
    <row r="8" spans="1:29" s="102" customFormat="1" ht="15.75" thickBot="1">
      <c r="A8" s="352" t="s">
        <v>1681</v>
      </c>
      <c r="B8" s="353"/>
      <c r="C8" s="358" t="s">
        <v>3515</v>
      </c>
      <c r="D8" s="355">
        <v>100</v>
      </c>
      <c r="E8" s="358" t="s">
        <v>3515</v>
      </c>
      <c r="F8" s="357">
        <f>SUMIF(61:61,E8,62:62)-SUMIF(61:61,C8,62:62)+100</f>
        <v>100</v>
      </c>
      <c r="G8" s="358" t="s">
        <v>3515</v>
      </c>
      <c r="H8" s="355">
        <f>SUMIF(61:61,G8,62:62)-SUMIF(61:61,C8,62:62)+100</f>
        <v>100</v>
      </c>
      <c r="I8" s="358" t="s">
        <v>3515</v>
      </c>
      <c r="J8" s="355">
        <f>SUMIF(61:61,I8,62:62)-SUMIF(61:61,C8,62:62)+100</f>
        <v>100</v>
      </c>
      <c r="K8" s="1746"/>
      <c r="L8" s="2488"/>
      <c r="M8" s="2439"/>
      <c r="N8" s="2439"/>
      <c r="O8" s="2439"/>
      <c r="P8" s="3376" t="s">
        <v>1683</v>
      </c>
      <c r="Q8" s="3377"/>
      <c r="R8" s="664" t="s">
        <v>20</v>
      </c>
      <c r="S8" s="665">
        <f t="shared" si="0"/>
        <v>100</v>
      </c>
      <c r="T8" s="664" t="s">
        <v>20</v>
      </c>
      <c r="U8" s="665">
        <f t="shared" si="1"/>
        <v>100</v>
      </c>
      <c r="V8" s="664" t="s">
        <v>20</v>
      </c>
      <c r="W8" s="665">
        <f t="shared" si="2"/>
        <v>100</v>
      </c>
      <c r="X8" s="666"/>
      <c r="Y8" s="3376" t="s">
        <v>1683</v>
      </c>
      <c r="Z8" s="337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390"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90"/>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1"/>
      <c r="M11" s="2487"/>
      <c r="N11" s="2487"/>
      <c r="O11" s="2487"/>
      <c r="P11" s="3390"/>
      <c r="Q11" s="530" t="str">
        <f t="shared" si="6"/>
        <v>容积率</v>
      </c>
      <c r="R11" s="664" t="s">
        <v>18</v>
      </c>
      <c r="S11" s="665">
        <f t="shared" si="0"/>
        <v>100</v>
      </c>
      <c r="T11" s="664" t="s">
        <v>18</v>
      </c>
      <c r="U11" s="665">
        <f t="shared" si="1"/>
        <v>100</v>
      </c>
      <c r="V11" s="664" t="s">
        <v>18</v>
      </c>
      <c r="W11" s="665">
        <f t="shared" si="2"/>
        <v>100</v>
      </c>
      <c r="X11" s="666"/>
      <c r="Y11" s="3320"/>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390"/>
      <c r="Q12" s="530">
        <f t="shared" si="6"/>
        <v>111</v>
      </c>
      <c r="R12" s="664" t="s">
        <v>18</v>
      </c>
      <c r="S12" s="665">
        <f t="shared" si="0"/>
        <v>100</v>
      </c>
      <c r="T12" s="664" t="s">
        <v>18</v>
      </c>
      <c r="U12" s="665">
        <f t="shared" si="1"/>
        <v>100</v>
      </c>
      <c r="V12" s="664" t="s">
        <v>18</v>
      </c>
      <c r="W12" s="665">
        <f t="shared" si="2"/>
        <v>100</v>
      </c>
      <c r="X12" s="666"/>
      <c r="Y12" s="332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390"/>
      <c r="Q13" s="530">
        <f t="shared" si="6"/>
        <v>111</v>
      </c>
      <c r="R13" s="664" t="s">
        <v>18</v>
      </c>
      <c r="S13" s="665">
        <f t="shared" si="0"/>
        <v>100</v>
      </c>
      <c r="T13" s="664" t="s">
        <v>18</v>
      </c>
      <c r="U13" s="665">
        <f t="shared" si="1"/>
        <v>100</v>
      </c>
      <c r="V13" s="664" t="s">
        <v>18</v>
      </c>
      <c r="W13" s="665">
        <f t="shared" si="2"/>
        <v>100</v>
      </c>
      <c r="X13" s="666"/>
      <c r="Y13" s="3320"/>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390"/>
      <c r="Q14" s="530">
        <f t="shared" si="6"/>
        <v>111</v>
      </c>
      <c r="R14" s="664" t="s">
        <v>18</v>
      </c>
      <c r="S14" s="665">
        <f t="shared" si="0"/>
        <v>100</v>
      </c>
      <c r="T14" s="664" t="s">
        <v>18</v>
      </c>
      <c r="U14" s="665">
        <f t="shared" si="1"/>
        <v>100</v>
      </c>
      <c r="V14" s="664" t="s">
        <v>18</v>
      </c>
      <c r="W14" s="665">
        <f t="shared" si="2"/>
        <v>100</v>
      </c>
      <c r="X14" s="666"/>
      <c r="Y14" s="3320"/>
      <c r="Z14" s="50">
        <f t="shared" si="7"/>
        <v>111</v>
      </c>
      <c r="AA14" s="50">
        <f t="shared" si="3"/>
        <v>1</v>
      </c>
      <c r="AB14" s="50">
        <f t="shared" si="4"/>
        <v>1</v>
      </c>
      <c r="AC14" s="50">
        <f t="shared" si="5"/>
        <v>1</v>
      </c>
    </row>
    <row r="15" spans="1:29" ht="85.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16" t="s">
        <v>1691</v>
      </c>
      <c r="Q15" s="1263" t="str">
        <f t="shared" si="6"/>
        <v>居住社区成熟度</v>
      </c>
      <c r="R15" s="667" t="s">
        <v>18</v>
      </c>
      <c r="S15" s="668">
        <f t="shared" si="0"/>
        <v>100</v>
      </c>
      <c r="T15" s="667" t="s">
        <v>18</v>
      </c>
      <c r="U15" s="668">
        <f t="shared" si="1"/>
        <v>100</v>
      </c>
      <c r="V15" s="667" t="s">
        <v>18</v>
      </c>
      <c r="W15" s="668">
        <f t="shared" si="2"/>
        <v>100</v>
      </c>
      <c r="X15" s="1265"/>
      <c r="Y15" s="3409" t="s">
        <v>1691</v>
      </c>
      <c r="Z15" s="1264" t="str">
        <f t="shared" si="7"/>
        <v>居住社区成熟度</v>
      </c>
      <c r="AA15" s="1264">
        <f t="shared" si="3"/>
        <v>1</v>
      </c>
      <c r="AB15" s="1264">
        <f t="shared" si="4"/>
        <v>1</v>
      </c>
      <c r="AC15" s="1264">
        <f t="shared" si="5"/>
        <v>1</v>
      </c>
    </row>
    <row r="16" spans="1:29" ht="15">
      <c r="A16" s="367"/>
      <c r="B16" s="385"/>
      <c r="C16" s="386"/>
      <c r="D16" s="387"/>
      <c r="E16" s="1750"/>
      <c r="F16" s="387"/>
      <c r="G16" s="1751"/>
      <c r="H16" s="389"/>
      <c r="I16" s="1751"/>
      <c r="J16" s="387"/>
      <c r="K16" s="1752"/>
      <c r="L16" s="2492"/>
      <c r="M16" s="2487"/>
      <c r="N16" s="2487"/>
      <c r="O16" s="2487"/>
      <c r="P16" s="3417"/>
      <c r="Q16" s="1263"/>
      <c r="R16" s="667"/>
      <c r="S16" s="668"/>
      <c r="T16" s="667"/>
      <c r="U16" s="668"/>
      <c r="V16" s="667"/>
      <c r="W16" s="668"/>
      <c r="X16" s="1265"/>
      <c r="Y16" s="3410"/>
      <c r="Z16" s="1264"/>
      <c r="AA16" s="1264">
        <v>1</v>
      </c>
      <c r="AB16" s="1264">
        <v>1</v>
      </c>
      <c r="AC16" s="1264">
        <v>1</v>
      </c>
    </row>
    <row r="17" spans="1:29" ht="71.25">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17"/>
      <c r="Q17" s="1263" t="str">
        <f>B17</f>
        <v>交通便捷度</v>
      </c>
      <c r="R17" s="667" t="s">
        <v>18</v>
      </c>
      <c r="S17" s="668">
        <f>F17</f>
        <v>100</v>
      </c>
      <c r="T17" s="667" t="s">
        <v>18</v>
      </c>
      <c r="U17" s="668">
        <f>H17</f>
        <v>100</v>
      </c>
      <c r="V17" s="667" t="s">
        <v>18</v>
      </c>
      <c r="W17" s="668">
        <f>J17</f>
        <v>100</v>
      </c>
      <c r="X17" s="1265"/>
      <c r="Y17" s="3410"/>
      <c r="Z17" s="1264" t="str">
        <f>Q17</f>
        <v>交通便捷度</v>
      </c>
      <c r="AA17" s="1264">
        <f t="shared" si="3"/>
        <v>1</v>
      </c>
      <c r="AB17" s="1264">
        <f t="shared" si="4"/>
        <v>1</v>
      </c>
      <c r="AC17" s="1264">
        <f t="shared" si="5"/>
        <v>1</v>
      </c>
    </row>
    <row r="18" spans="1:29" ht="15">
      <c r="A18" s="367"/>
      <c r="B18" s="395"/>
      <c r="C18" s="1754"/>
      <c r="D18" s="389"/>
      <c r="E18" s="1755"/>
      <c r="F18" s="389"/>
      <c r="G18" s="1756"/>
      <c r="H18" s="387"/>
      <c r="I18" s="1756"/>
      <c r="J18" s="387"/>
      <c r="K18" s="1752"/>
      <c r="L18" s="2492"/>
      <c r="M18" s="2487"/>
      <c r="N18" s="2487"/>
      <c r="O18" s="2487"/>
      <c r="P18" s="3417"/>
      <c r="Q18" s="1263"/>
      <c r="R18" s="667"/>
      <c r="S18" s="668"/>
      <c r="T18" s="667"/>
      <c r="U18" s="668"/>
      <c r="V18" s="667"/>
      <c r="W18" s="668"/>
      <c r="X18" s="1265"/>
      <c r="Y18" s="3410"/>
      <c r="Z18" s="1264"/>
      <c r="AA18" s="1264">
        <v>1</v>
      </c>
      <c r="AB18" s="1264">
        <v>1</v>
      </c>
      <c r="AC18" s="1264">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17"/>
      <c r="Q19" s="1263" t="str">
        <f>B19</f>
        <v>公共配套设施</v>
      </c>
      <c r="R19" s="667" t="s">
        <v>18</v>
      </c>
      <c r="S19" s="668">
        <f>F19</f>
        <v>100</v>
      </c>
      <c r="T19" s="667" t="s">
        <v>18</v>
      </c>
      <c r="U19" s="668">
        <f>H19</f>
        <v>100</v>
      </c>
      <c r="V19" s="667" t="s">
        <v>18</v>
      </c>
      <c r="W19" s="668">
        <f>J19</f>
        <v>100</v>
      </c>
      <c r="X19" s="1265"/>
      <c r="Y19" s="3410"/>
      <c r="Z19" s="1264" t="str">
        <f>Q19</f>
        <v>公共配套设施</v>
      </c>
      <c r="AA19" s="1264">
        <f t="shared" si="3"/>
        <v>1</v>
      </c>
      <c r="AB19" s="1264">
        <f t="shared" si="4"/>
        <v>1</v>
      </c>
      <c r="AC19" s="1264">
        <f t="shared" si="5"/>
        <v>1</v>
      </c>
    </row>
    <row r="20" spans="1:29" ht="15">
      <c r="A20" s="367"/>
      <c r="B20" s="395"/>
      <c r="C20" s="386"/>
      <c r="D20" s="387"/>
      <c r="E20" s="1750"/>
      <c r="F20" s="387"/>
      <c r="G20" s="1751"/>
      <c r="H20" s="387"/>
      <c r="I20" s="1751"/>
      <c r="J20" s="387"/>
      <c r="K20" s="1752"/>
      <c r="L20" s="2492"/>
      <c r="M20" s="2487"/>
      <c r="N20" s="2487"/>
      <c r="O20" s="2487"/>
      <c r="P20" s="3417"/>
      <c r="Q20" s="1263"/>
      <c r="R20" s="667"/>
      <c r="S20" s="668"/>
      <c r="T20" s="667"/>
      <c r="U20" s="668"/>
      <c r="V20" s="667"/>
      <c r="W20" s="668"/>
      <c r="X20" s="1265"/>
      <c r="Y20" s="3410"/>
      <c r="Z20" s="1264"/>
      <c r="AA20" s="1264">
        <v>1</v>
      </c>
      <c r="AB20" s="1264">
        <v>1</v>
      </c>
      <c r="AC20" s="1264">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17"/>
      <c r="Q21" s="1263" t="str">
        <f>B21</f>
        <v>基础设施水平</v>
      </c>
      <c r="R21" s="667" t="s">
        <v>14</v>
      </c>
      <c r="S21" s="668">
        <f>F21</f>
        <v>100</v>
      </c>
      <c r="T21" s="667" t="s">
        <v>14</v>
      </c>
      <c r="U21" s="668">
        <f>H21</f>
        <v>100</v>
      </c>
      <c r="V21" s="667" t="s">
        <v>14</v>
      </c>
      <c r="W21" s="668">
        <f>J21</f>
        <v>100</v>
      </c>
      <c r="X21" s="1265"/>
      <c r="Y21" s="3410"/>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7"/>
      <c r="G22" s="1757"/>
      <c r="H22" s="387"/>
      <c r="I22" s="386"/>
      <c r="J22" s="387"/>
      <c r="K22" s="1758"/>
      <c r="L22" s="2492"/>
      <c r="M22" s="2487"/>
      <c r="N22" s="2487"/>
      <c r="O22" s="2487"/>
      <c r="P22" s="3417"/>
      <c r="Q22" s="1263"/>
      <c r="R22" s="667"/>
      <c r="S22" s="668"/>
      <c r="T22" s="667"/>
      <c r="U22" s="668"/>
      <c r="V22" s="667"/>
      <c r="W22" s="668"/>
      <c r="X22" s="1265"/>
      <c r="Y22" s="3410"/>
      <c r="Z22" s="1264"/>
      <c r="AA22" s="1264">
        <v>1</v>
      </c>
      <c r="AB22" s="1264">
        <v>1</v>
      </c>
      <c r="AC22" s="1264">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17"/>
      <c r="Q23" s="1263" t="str">
        <f>B23</f>
        <v>自然及人文环境</v>
      </c>
      <c r="R23" s="667" t="s">
        <v>18</v>
      </c>
      <c r="S23" s="668">
        <f>F23</f>
        <v>100</v>
      </c>
      <c r="T23" s="667" t="s">
        <v>18</v>
      </c>
      <c r="U23" s="668">
        <f>H23</f>
        <v>100</v>
      </c>
      <c r="V23" s="667" t="s">
        <v>18</v>
      </c>
      <c r="W23" s="668">
        <f>J23</f>
        <v>100</v>
      </c>
      <c r="X23" s="1265"/>
      <c r="Y23" s="3410"/>
      <c r="Z23" s="1264" t="str">
        <f>Q23</f>
        <v>自然及人文环境</v>
      </c>
      <c r="AA23" s="1264">
        <f>D23/F23</f>
        <v>1</v>
      </c>
      <c r="AB23" s="1264">
        <f>D23/H23</f>
        <v>1</v>
      </c>
      <c r="AC23" s="1264">
        <f>D23/J23</f>
        <v>1</v>
      </c>
    </row>
    <row r="24" spans="1:29" ht="15">
      <c r="A24" s="367"/>
      <c r="B24" s="395"/>
      <c r="C24" s="386"/>
      <c r="D24" s="387"/>
      <c r="E24" s="1750"/>
      <c r="F24" s="387"/>
      <c r="G24" s="1751"/>
      <c r="H24" s="387"/>
      <c r="I24" s="1751"/>
      <c r="J24" s="387"/>
      <c r="K24" s="1752"/>
      <c r="L24" s="2492"/>
      <c r="M24" s="2487"/>
      <c r="N24" s="2487"/>
      <c r="O24" s="2487"/>
      <c r="P24" s="3417"/>
      <c r="Q24" s="1263"/>
      <c r="R24" s="667"/>
      <c r="S24" s="668"/>
      <c r="T24" s="667"/>
      <c r="U24" s="668"/>
      <c r="V24" s="667"/>
      <c r="W24" s="668"/>
      <c r="X24" s="1265"/>
      <c r="Y24" s="3410"/>
      <c r="Z24" s="1264"/>
      <c r="AA24" s="1264">
        <v>1</v>
      </c>
      <c r="AB24" s="1264">
        <v>1</v>
      </c>
      <c r="AC24" s="1264">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41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0"/>
      <c r="Z25" s="1264" t="str">
        <f>Q25</f>
        <v>楼层-1</v>
      </c>
      <c r="AA25" s="1264">
        <f t="shared" ref="AA25:AA46" si="15">D25/F25</f>
        <v>1</v>
      </c>
      <c r="AB25" s="1264">
        <f t="shared" ref="AB25:AB46" si="16">D25/H25</f>
        <v>1</v>
      </c>
      <c r="AC25" s="1264">
        <f t="shared" ref="AC25:AC46" si="17">D25/J25</f>
        <v>1</v>
      </c>
    </row>
    <row r="26" spans="1:29" ht="15">
      <c r="A26" s="367"/>
      <c r="B26" s="364" t="s">
        <v>1693</v>
      </c>
      <c r="C26" s="399" t="s">
        <v>3490</v>
      </c>
      <c r="D26" s="374">
        <v>100</v>
      </c>
      <c r="E26" s="3525" t="s">
        <v>3484</v>
      </c>
      <c r="F26" s="374">
        <f>SUMIF(88:88,E26,89:89)-SUMIF(88:88,C26,89:89)+100</f>
        <v>98.5</v>
      </c>
      <c r="G26" s="1760" t="s">
        <v>3486</v>
      </c>
      <c r="H26" s="374">
        <f>SUMIF(88:88,G26,89:89)-SUMIF(88:88,C26,89:89)+100</f>
        <v>99.5</v>
      </c>
      <c r="I26" s="1760" t="s">
        <v>3480</v>
      </c>
      <c r="J26" s="374">
        <f>SUMIF(88:88,I26,89:89)-SUMIF(88:88,C26,89:89)+100</f>
        <v>99</v>
      </c>
      <c r="K26" s="365">
        <v>0.5</v>
      </c>
      <c r="L26" s="2492"/>
      <c r="M26" s="2487"/>
      <c r="N26" s="2487"/>
      <c r="O26" s="2487"/>
      <c r="P26" s="3417"/>
      <c r="Q26" s="1263" t="str">
        <f t="shared" si="11"/>
        <v>朝向</v>
      </c>
      <c r="R26" s="667" t="s">
        <v>18</v>
      </c>
      <c r="S26" s="668">
        <f t="shared" si="12"/>
        <v>98.5</v>
      </c>
      <c r="T26" s="667" t="s">
        <v>18</v>
      </c>
      <c r="U26" s="668">
        <f t="shared" si="13"/>
        <v>99.5</v>
      </c>
      <c r="V26" s="667" t="s">
        <v>18</v>
      </c>
      <c r="W26" s="668">
        <f t="shared" si="14"/>
        <v>99</v>
      </c>
      <c r="X26" s="1265"/>
      <c r="Y26" s="3410"/>
      <c r="Z26" s="1264" t="str">
        <f>Q26</f>
        <v>朝向</v>
      </c>
      <c r="AA26" s="1264">
        <f t="shared" si="15"/>
        <v>1.015228426395939</v>
      </c>
      <c r="AB26" s="1264">
        <f t="shared" si="16"/>
        <v>1.0050251256281406</v>
      </c>
      <c r="AC26" s="1264">
        <f t="shared" si="17"/>
        <v>1.0101010101010102</v>
      </c>
    </row>
    <row r="27" spans="1:29" s="102" customFormat="1" ht="15">
      <c r="A27" s="370"/>
      <c r="B27" s="1066">
        <v>111</v>
      </c>
      <c r="C27" s="403" t="str">
        <f>C90</f>
        <v>5/6</v>
      </c>
      <c r="D27" s="401">
        <v>100</v>
      </c>
      <c r="E27" s="403" t="str">
        <f>D90</f>
        <v>5/12</v>
      </c>
      <c r="F27" s="401">
        <f>SUMIF(90:90,E27,91:91)-SUMIF(90:90,C27,91:91)+100</f>
        <v>101</v>
      </c>
      <c r="G27" s="402" t="str">
        <f>E90</f>
        <v>10/18</v>
      </c>
      <c r="H27" s="401">
        <f>SUMIF(90:90,G27,91:91)-SUMIF(90:90,C27,91:91)+100</f>
        <v>101</v>
      </c>
      <c r="I27" s="402" t="str">
        <f>F90</f>
        <v>2/18</v>
      </c>
      <c r="J27" s="401">
        <f>SUMIF(90:90,I27,91:91)-SUMIF(90:90,C27,91:91)+100</f>
        <v>100</v>
      </c>
      <c r="K27" s="1747"/>
      <c r="L27" s="2488"/>
      <c r="M27" s="2439"/>
      <c r="N27" s="2439"/>
      <c r="O27" s="2439"/>
      <c r="P27" s="3417"/>
      <c r="Q27" s="530">
        <f t="shared" si="11"/>
        <v>111</v>
      </c>
      <c r="R27" s="664" t="s">
        <v>18</v>
      </c>
      <c r="S27" s="665">
        <f t="shared" si="12"/>
        <v>101</v>
      </c>
      <c r="T27" s="664" t="s">
        <v>18</v>
      </c>
      <c r="U27" s="665">
        <f t="shared" si="13"/>
        <v>101</v>
      </c>
      <c r="V27" s="664" t="s">
        <v>18</v>
      </c>
      <c r="W27" s="665">
        <f t="shared" si="14"/>
        <v>100</v>
      </c>
      <c r="X27" s="666"/>
      <c r="Y27" s="3410"/>
      <c r="Z27" s="50">
        <f>Q27</f>
        <v>111</v>
      </c>
      <c r="AA27" s="1264">
        <f t="shared" si="15"/>
        <v>0.99009900990099009</v>
      </c>
      <c r="AB27" s="1264">
        <f t="shared" si="16"/>
        <v>0.99009900990099009</v>
      </c>
      <c r="AC27" s="1264">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417"/>
      <c r="Q28" s="1263">
        <f t="shared" si="11"/>
        <v>111</v>
      </c>
      <c r="R28" s="667" t="s">
        <v>18</v>
      </c>
      <c r="S28" s="668">
        <f t="shared" si="12"/>
        <v>100</v>
      </c>
      <c r="T28" s="667" t="s">
        <v>18</v>
      </c>
      <c r="U28" s="668">
        <f t="shared" si="13"/>
        <v>100</v>
      </c>
      <c r="V28" s="667" t="s">
        <v>18</v>
      </c>
      <c r="W28" s="668">
        <f t="shared" si="14"/>
        <v>100</v>
      </c>
      <c r="X28" s="1265"/>
      <c r="Y28" s="341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417"/>
      <c r="Q29" s="1263">
        <f t="shared" si="11"/>
        <v>111</v>
      </c>
      <c r="R29" s="667" t="s">
        <v>18</v>
      </c>
      <c r="S29" s="668">
        <f t="shared" si="12"/>
        <v>100</v>
      </c>
      <c r="T29" s="667" t="s">
        <v>18</v>
      </c>
      <c r="U29" s="668">
        <f t="shared" si="13"/>
        <v>100</v>
      </c>
      <c r="V29" s="667" t="s">
        <v>18</v>
      </c>
      <c r="W29" s="668">
        <f t="shared" si="14"/>
        <v>100</v>
      </c>
      <c r="X29" s="1265"/>
      <c r="Y29" s="341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417"/>
      <c r="Q30" s="1263">
        <f t="shared" si="11"/>
        <v>111</v>
      </c>
      <c r="R30" s="667" t="s">
        <v>18</v>
      </c>
      <c r="S30" s="668">
        <f t="shared" si="12"/>
        <v>100</v>
      </c>
      <c r="T30" s="667" t="s">
        <v>18</v>
      </c>
      <c r="U30" s="668">
        <f t="shared" si="13"/>
        <v>100</v>
      </c>
      <c r="V30" s="667" t="s">
        <v>18</v>
      </c>
      <c r="W30" s="668">
        <f t="shared" si="14"/>
        <v>100</v>
      </c>
      <c r="X30" s="1265"/>
      <c r="Y30" s="3410"/>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417"/>
      <c r="Q31" s="1263">
        <f t="shared" si="11"/>
        <v>111</v>
      </c>
      <c r="R31" s="667" t="s">
        <v>18</v>
      </c>
      <c r="S31" s="668">
        <f t="shared" si="12"/>
        <v>100</v>
      </c>
      <c r="T31" s="667" t="s">
        <v>18</v>
      </c>
      <c r="U31" s="668">
        <f t="shared" si="13"/>
        <v>100</v>
      </c>
      <c r="V31" s="667" t="s">
        <v>18</v>
      </c>
      <c r="W31" s="668">
        <f t="shared" si="14"/>
        <v>100</v>
      </c>
      <c r="X31" s="1265"/>
      <c r="Y31" s="3410"/>
      <c r="Z31" s="1264">
        <f t="shared" si="18"/>
        <v>111</v>
      </c>
      <c r="AA31" s="1264">
        <f t="shared" si="15"/>
        <v>1</v>
      </c>
      <c r="AB31" s="1264">
        <f t="shared" si="16"/>
        <v>1</v>
      </c>
      <c r="AC31" s="1264">
        <f t="shared" si="17"/>
        <v>1</v>
      </c>
    </row>
    <row r="32" spans="1:29" ht="15">
      <c r="A32" s="379" t="s">
        <v>1694</v>
      </c>
      <c r="B32" s="60" t="s">
        <v>1695</v>
      </c>
      <c r="C32" s="1763" t="s">
        <v>3507</v>
      </c>
      <c r="D32" s="405">
        <v>100</v>
      </c>
      <c r="E32" s="1764" t="s">
        <v>3509</v>
      </c>
      <c r="F32" s="400">
        <f>SUMIF(100:100,E32,101:101)-SUMIF(100:100,C32,101:101)+100</f>
        <v>98</v>
      </c>
      <c r="G32" s="1763" t="s">
        <v>3511</v>
      </c>
      <c r="H32" s="405">
        <f>SUMIF(100:100,G32,101:101)-SUMIF(100:100,C32,101:101)+100</f>
        <v>96</v>
      </c>
      <c r="I32" s="1764" t="s">
        <v>3511</v>
      </c>
      <c r="J32" s="374">
        <f>SUMIF(100:100,I32,101:101)-SUMIF(100:100,C32,101:101)+100</f>
        <v>96</v>
      </c>
      <c r="K32" s="365">
        <v>2</v>
      </c>
      <c r="L32" s="2492"/>
      <c r="M32" s="2487"/>
      <c r="N32" s="2487"/>
      <c r="O32" s="2487"/>
      <c r="P32" s="3411" t="s">
        <v>1696</v>
      </c>
      <c r="Q32" s="1263" t="str">
        <f t="shared" si="11"/>
        <v>建筑类型</v>
      </c>
      <c r="R32" s="667" t="s">
        <v>18</v>
      </c>
      <c r="S32" s="668">
        <f t="shared" si="12"/>
        <v>98</v>
      </c>
      <c r="T32" s="667" t="s">
        <v>18</v>
      </c>
      <c r="U32" s="668">
        <f t="shared" si="13"/>
        <v>96</v>
      </c>
      <c r="V32" s="667" t="s">
        <v>18</v>
      </c>
      <c r="W32" s="668">
        <f t="shared" si="14"/>
        <v>96</v>
      </c>
      <c r="X32" s="1265"/>
      <c r="Y32" s="3414" t="s">
        <v>1696</v>
      </c>
      <c r="Z32" s="1264" t="str">
        <f t="shared" si="18"/>
        <v>建筑类型</v>
      </c>
      <c r="AA32" s="1264">
        <f t="shared" si="15"/>
        <v>1.0204081632653061</v>
      </c>
      <c r="AB32" s="1264">
        <f t="shared" si="16"/>
        <v>1.0416666666666667</v>
      </c>
      <c r="AC32" s="1264">
        <f t="shared" si="17"/>
        <v>1.0416666666666667</v>
      </c>
    </row>
    <row r="33" spans="1:29" s="408" customFormat="1" ht="15">
      <c r="A33" s="406"/>
      <c r="B33" s="364" t="s">
        <v>1697</v>
      </c>
      <c r="C33" s="407">
        <f>'数据-汇总表'!F19</f>
        <v>63.97</v>
      </c>
      <c r="D33" s="119">
        <v>100</v>
      </c>
      <c r="E33" s="369">
        <f>Sheet2!K4</f>
        <v>88.59</v>
      </c>
      <c r="F33" s="364">
        <f>LOOKUP(E33,103:103,104:104)-LOOKUP(C33,103:103,104:104)+100</f>
        <v>100</v>
      </c>
      <c r="G33" s="368">
        <f>Sheet2!K6</f>
        <v>57.33</v>
      </c>
      <c r="H33" s="119">
        <f>LOOKUP(G33,103:103,104:104)-LOOKUP(C33,103:103,104:104)+100</f>
        <v>101</v>
      </c>
      <c r="I33" s="369">
        <f>Sheet2!K7</f>
        <v>61.55</v>
      </c>
      <c r="J33" s="119">
        <f>LOOKUP(I33,103:103,104:104)-LOOKUP(C33,103:103,104:104)+100</f>
        <v>100</v>
      </c>
      <c r="K33" s="1747"/>
      <c r="L33" s="2491"/>
      <c r="M33" s="2493"/>
      <c r="N33" s="2493"/>
      <c r="O33" s="2493"/>
      <c r="P33" s="3412"/>
      <c r="Q33" s="531" t="str">
        <f t="shared" si="11"/>
        <v>项目建筑规模</v>
      </c>
      <c r="R33" s="669" t="s">
        <v>18</v>
      </c>
      <c r="S33" s="670">
        <f t="shared" si="12"/>
        <v>100</v>
      </c>
      <c r="T33" s="669" t="s">
        <v>18</v>
      </c>
      <c r="U33" s="670">
        <f t="shared" si="13"/>
        <v>101</v>
      </c>
      <c r="V33" s="669" t="s">
        <v>18</v>
      </c>
      <c r="W33" s="670">
        <f t="shared" si="14"/>
        <v>100</v>
      </c>
      <c r="X33" s="671"/>
      <c r="Y33" s="3414"/>
      <c r="Z33" s="672" t="str">
        <f t="shared" si="18"/>
        <v>项目建筑规模</v>
      </c>
      <c r="AA33" s="1264">
        <f t="shared" si="15"/>
        <v>1</v>
      </c>
      <c r="AB33" s="1264">
        <f t="shared" si="16"/>
        <v>0.99009900990099009</v>
      </c>
      <c r="AC33" s="1264">
        <f t="shared" si="17"/>
        <v>1</v>
      </c>
    </row>
    <row r="34" spans="1:29" ht="15">
      <c r="A34" s="409"/>
      <c r="B34" s="364" t="s">
        <v>1698</v>
      </c>
      <c r="C34" s="399" t="s">
        <v>3502</v>
      </c>
      <c r="D34" s="374">
        <v>100</v>
      </c>
      <c r="E34" s="1765" t="s">
        <v>3416</v>
      </c>
      <c r="F34" s="400">
        <f>SUMIF(105:105,E34,106:106)-SUMIF(105:105,C34,106:106)+100</f>
        <v>100</v>
      </c>
      <c r="G34" s="1765" t="s">
        <v>3416</v>
      </c>
      <c r="H34" s="374">
        <f>SUMIF(105:105,G34,106:106)-SUMIF(105:105,C34,106:106)+100</f>
        <v>100</v>
      </c>
      <c r="I34" s="1765" t="s">
        <v>3416</v>
      </c>
      <c r="J34" s="374">
        <f>SUMIF(105:105,I34,106:106)-SUMIF(105:105,C34,106:106)+100</f>
        <v>100</v>
      </c>
      <c r="K34" s="365"/>
      <c r="L34" s="2492"/>
      <c r="M34" s="2487"/>
      <c r="N34" s="2487"/>
      <c r="O34" s="2487"/>
      <c r="P34" s="3412"/>
      <c r="Q34" s="1263" t="str">
        <f t="shared" si="11"/>
        <v>建筑结构</v>
      </c>
      <c r="R34" s="667" t="s">
        <v>18</v>
      </c>
      <c r="S34" s="668">
        <f t="shared" si="12"/>
        <v>100</v>
      </c>
      <c r="T34" s="667" t="s">
        <v>18</v>
      </c>
      <c r="U34" s="668">
        <f t="shared" si="13"/>
        <v>100</v>
      </c>
      <c r="V34" s="667" t="s">
        <v>18</v>
      </c>
      <c r="W34" s="668">
        <f t="shared" si="14"/>
        <v>100</v>
      </c>
      <c r="X34" s="1265"/>
      <c r="Y34" s="3414"/>
      <c r="Z34" s="1264" t="str">
        <f t="shared" si="18"/>
        <v>建筑结构</v>
      </c>
      <c r="AA34" s="1264">
        <f t="shared" si="15"/>
        <v>1</v>
      </c>
      <c r="AB34" s="1264">
        <f t="shared" si="16"/>
        <v>1</v>
      </c>
      <c r="AC34" s="1264">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412"/>
      <c r="Q35" s="1263" t="str">
        <f t="shared" si="11"/>
        <v>建筑品质</v>
      </c>
      <c r="R35" s="667" t="s">
        <v>18</v>
      </c>
      <c r="S35" s="668">
        <f t="shared" si="12"/>
        <v>100</v>
      </c>
      <c r="T35" s="667" t="s">
        <v>18</v>
      </c>
      <c r="U35" s="668">
        <f t="shared" si="13"/>
        <v>100</v>
      </c>
      <c r="V35" s="667" t="s">
        <v>18</v>
      </c>
      <c r="W35" s="668">
        <f t="shared" si="14"/>
        <v>100</v>
      </c>
      <c r="X35" s="1265"/>
      <c r="Y35" s="3414"/>
      <c r="Z35" s="1264" t="str">
        <f t="shared" si="18"/>
        <v>建筑品质</v>
      </c>
      <c r="AA35" s="1264">
        <f t="shared" si="15"/>
        <v>1</v>
      </c>
      <c r="AB35" s="1264">
        <f t="shared" si="16"/>
        <v>1</v>
      </c>
      <c r="AC35" s="1264">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412"/>
      <c r="Q36" s="1263" t="str">
        <f t="shared" si="11"/>
        <v>公共部分装修</v>
      </c>
      <c r="R36" s="667" t="s">
        <v>18</v>
      </c>
      <c r="S36" s="668">
        <f t="shared" si="12"/>
        <v>100</v>
      </c>
      <c r="T36" s="667" t="s">
        <v>18</v>
      </c>
      <c r="U36" s="668">
        <f t="shared" si="13"/>
        <v>100</v>
      </c>
      <c r="V36" s="667" t="s">
        <v>18</v>
      </c>
      <c r="W36" s="668">
        <f t="shared" si="14"/>
        <v>100</v>
      </c>
      <c r="X36" s="1265"/>
      <c r="Y36" s="3414"/>
      <c r="Z36" s="1264" t="str">
        <f t="shared" si="18"/>
        <v>公共部分装修</v>
      </c>
      <c r="AA36" s="1264">
        <f t="shared" si="15"/>
        <v>1</v>
      </c>
      <c r="AB36" s="1264">
        <f t="shared" si="16"/>
        <v>1</v>
      </c>
      <c r="AC36" s="1264">
        <f t="shared" si="17"/>
        <v>1</v>
      </c>
    </row>
    <row r="37" spans="1:29" s="102" customFormat="1" ht="15">
      <c r="A37" s="410"/>
      <c r="B37" s="364" t="s">
        <v>1701</v>
      </c>
      <c r="C37" s="411">
        <v>0.7</v>
      </c>
      <c r="D37" s="119">
        <v>100</v>
      </c>
      <c r="E37" s="411">
        <v>0.7</v>
      </c>
      <c r="F37" s="364">
        <f>LOOKUP(E37,112:112,113:113)-LOOKUP(C37,112:112,113:113)+100</f>
        <v>100</v>
      </c>
      <c r="G37" s="413">
        <v>0.7</v>
      </c>
      <c r="H37" s="119">
        <f>LOOKUP(G37,112:112,113:113)-LOOKUP(C37,112:112,113:113)+100</f>
        <v>100</v>
      </c>
      <c r="I37" s="412">
        <v>0.7</v>
      </c>
      <c r="J37" s="119">
        <f>LOOKUP(I37,112:112,113:113)-LOOKUP(C37,112:112,113:113)+100</f>
        <v>100</v>
      </c>
      <c r="K37" s="365"/>
      <c r="L37" s="2488"/>
      <c r="M37" s="2439"/>
      <c r="N37" s="2439"/>
      <c r="O37" s="2439"/>
      <c r="P37" s="3412"/>
      <c r="Q37" s="530" t="str">
        <f t="shared" si="11"/>
        <v>成新度</v>
      </c>
      <c r="R37" s="664" t="s">
        <v>18</v>
      </c>
      <c r="S37" s="665">
        <f t="shared" si="12"/>
        <v>100</v>
      </c>
      <c r="T37" s="664" t="s">
        <v>18</v>
      </c>
      <c r="U37" s="665">
        <f t="shared" si="13"/>
        <v>100</v>
      </c>
      <c r="V37" s="664" t="s">
        <v>18</v>
      </c>
      <c r="W37" s="665">
        <f t="shared" si="14"/>
        <v>100</v>
      </c>
      <c r="X37" s="666"/>
      <c r="Y37" s="3414"/>
      <c r="Z37" s="50" t="str">
        <f t="shared" si="18"/>
        <v>成新度</v>
      </c>
      <c r="AA37" s="50">
        <f t="shared" si="15"/>
        <v>1</v>
      </c>
      <c r="AB37" s="50">
        <f t="shared" si="16"/>
        <v>1</v>
      </c>
      <c r="AC37" s="50">
        <f t="shared" si="17"/>
        <v>1</v>
      </c>
    </row>
    <row r="38" spans="1:29" ht="15">
      <c r="A38" s="409"/>
      <c r="B38" s="364" t="s">
        <v>1702</v>
      </c>
      <c r="C38" s="1759" t="s">
        <v>3505</v>
      </c>
      <c r="D38" s="374">
        <v>100</v>
      </c>
      <c r="E38" s="1759" t="s">
        <v>3505</v>
      </c>
      <c r="F38" s="400">
        <f>SUMIF(114:114,E38,115:115)-SUMIF(114:114,C38,115:115)+100</f>
        <v>100</v>
      </c>
      <c r="G38" s="1759" t="s">
        <v>3505</v>
      </c>
      <c r="H38" s="374">
        <f>SUMIF(114:114,G38,115:115)-SUMIF(114:114,C38,115:115)+100</f>
        <v>100</v>
      </c>
      <c r="I38" s="1759" t="s">
        <v>3505</v>
      </c>
      <c r="J38" s="374">
        <f>SUMIF(114:114,I38,115:115)-SUMIF(114:114,C38,115:115)+100</f>
        <v>100</v>
      </c>
      <c r="K38" s="365"/>
      <c r="L38" s="2492"/>
      <c r="M38" s="2487"/>
      <c r="N38" s="2487"/>
      <c r="O38" s="2487"/>
      <c r="P38" s="3412" t="s">
        <v>1696</v>
      </c>
      <c r="Q38" s="1263" t="str">
        <f t="shared" si="11"/>
        <v>物业管理</v>
      </c>
      <c r="R38" s="667" t="s">
        <v>18</v>
      </c>
      <c r="S38" s="668">
        <f t="shared" si="12"/>
        <v>100</v>
      </c>
      <c r="T38" s="667" t="s">
        <v>18</v>
      </c>
      <c r="U38" s="668">
        <f t="shared" si="13"/>
        <v>100</v>
      </c>
      <c r="V38" s="667" t="s">
        <v>18</v>
      </c>
      <c r="W38" s="668">
        <f t="shared" si="14"/>
        <v>100</v>
      </c>
      <c r="X38" s="1265"/>
      <c r="Y38" s="3414" t="s">
        <v>1696</v>
      </c>
      <c r="Z38" s="1264" t="str">
        <f t="shared" si="18"/>
        <v>物业管理</v>
      </c>
      <c r="AA38" s="1264">
        <f t="shared" si="15"/>
        <v>1</v>
      </c>
      <c r="AB38" s="1264">
        <f t="shared" si="16"/>
        <v>1</v>
      </c>
      <c r="AC38" s="1264">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412"/>
      <c r="Q39" s="1263" t="str">
        <f t="shared" si="11"/>
        <v>市政基础设施</v>
      </c>
      <c r="R39" s="667" t="s">
        <v>18</v>
      </c>
      <c r="S39" s="668">
        <f t="shared" si="12"/>
        <v>100</v>
      </c>
      <c r="T39" s="667" t="s">
        <v>18</v>
      </c>
      <c r="U39" s="668">
        <f t="shared" si="13"/>
        <v>100</v>
      </c>
      <c r="V39" s="667" t="s">
        <v>18</v>
      </c>
      <c r="W39" s="668">
        <f t="shared" si="14"/>
        <v>100</v>
      </c>
      <c r="X39" s="1265"/>
      <c r="Y39" s="3414"/>
      <c r="Z39" s="1264" t="str">
        <f t="shared" si="18"/>
        <v>市政基础设施</v>
      </c>
      <c r="AA39" s="1264">
        <f t="shared" si="15"/>
        <v>1</v>
      </c>
      <c r="AB39" s="1264">
        <f t="shared" si="16"/>
        <v>1</v>
      </c>
      <c r="AC39" s="1264">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412"/>
      <c r="Q40" s="1263" t="str">
        <f t="shared" si="11"/>
        <v>房型</v>
      </c>
      <c r="R40" s="667" t="s">
        <v>18</v>
      </c>
      <c r="S40" s="668">
        <f t="shared" si="12"/>
        <v>100</v>
      </c>
      <c r="T40" s="667" t="s">
        <v>18</v>
      </c>
      <c r="U40" s="668">
        <f t="shared" si="13"/>
        <v>100</v>
      </c>
      <c r="V40" s="667" t="s">
        <v>18</v>
      </c>
      <c r="W40" s="668">
        <f t="shared" si="14"/>
        <v>100</v>
      </c>
      <c r="X40" s="1265"/>
      <c r="Y40" s="3414"/>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412"/>
      <c r="Q41" s="531" t="str">
        <f t="shared" si="11"/>
        <v>单套/主力户型建筑面积</v>
      </c>
      <c r="R41" s="669" t="s">
        <v>18</v>
      </c>
      <c r="S41" s="670">
        <f t="shared" si="12"/>
        <v>100</v>
      </c>
      <c r="T41" s="669" t="s">
        <v>18</v>
      </c>
      <c r="U41" s="670">
        <f t="shared" si="13"/>
        <v>100</v>
      </c>
      <c r="V41" s="669" t="s">
        <v>18</v>
      </c>
      <c r="W41" s="670">
        <f t="shared" si="14"/>
        <v>100</v>
      </c>
      <c r="X41" s="671"/>
      <c r="Y41" s="3414"/>
      <c r="Z41" s="672" t="str">
        <f t="shared" si="18"/>
        <v>单套/主力户型建筑面积</v>
      </c>
      <c r="AA41" s="1264">
        <f t="shared" si="15"/>
        <v>1</v>
      </c>
      <c r="AB41" s="1264">
        <f t="shared" si="16"/>
        <v>1</v>
      </c>
      <c r="AC41" s="1264">
        <f t="shared" si="17"/>
        <v>1</v>
      </c>
    </row>
    <row r="42" spans="1:29" ht="15">
      <c r="A42" s="409"/>
      <c r="B42" s="364" t="s">
        <v>1706</v>
      </c>
      <c r="C42" s="1759" t="s">
        <v>3482</v>
      </c>
      <c r="D42" s="374">
        <v>100</v>
      </c>
      <c r="E42" s="1759" t="s">
        <v>3482</v>
      </c>
      <c r="F42" s="400">
        <f>SUMIF(122:122,E42,123:123)-SUMIF(122:122,C42,123:123)+100</f>
        <v>100</v>
      </c>
      <c r="G42" s="1759" t="s">
        <v>3482</v>
      </c>
      <c r="H42" s="374">
        <f>SUMIF(122:122,G42,123:123)-SUMIF(122:122,C42,123:123)+100</f>
        <v>100</v>
      </c>
      <c r="I42" s="1759" t="s">
        <v>3482</v>
      </c>
      <c r="J42" s="374">
        <f>SUMIF(122:122,I42,123:123)-SUMIF(122:122,C42,123:123)+100</f>
        <v>100</v>
      </c>
      <c r="K42" s="365"/>
      <c r="L42" s="2492"/>
      <c r="M42" s="2487"/>
      <c r="N42" s="2487"/>
      <c r="O42" s="2487"/>
      <c r="P42" s="3412"/>
      <c r="Q42" s="1263" t="str">
        <f t="shared" si="11"/>
        <v>内部装修</v>
      </c>
      <c r="R42" s="667" t="s">
        <v>18</v>
      </c>
      <c r="S42" s="668">
        <f t="shared" si="12"/>
        <v>100</v>
      </c>
      <c r="T42" s="667" t="s">
        <v>18</v>
      </c>
      <c r="U42" s="668">
        <f t="shared" si="13"/>
        <v>100</v>
      </c>
      <c r="V42" s="667" t="s">
        <v>18</v>
      </c>
      <c r="W42" s="668">
        <f t="shared" si="14"/>
        <v>100</v>
      </c>
      <c r="X42" s="1265"/>
      <c r="Y42" s="3414"/>
      <c r="Z42" s="1264" t="str">
        <f t="shared" si="18"/>
        <v>内部装修</v>
      </c>
      <c r="AA42" s="1264">
        <f t="shared" si="15"/>
        <v>1</v>
      </c>
      <c r="AB42" s="1264">
        <f t="shared" si="16"/>
        <v>1</v>
      </c>
      <c r="AC42" s="1264">
        <f t="shared" si="17"/>
        <v>1</v>
      </c>
    </row>
    <row r="43" spans="1:29" ht="15">
      <c r="A43" s="409"/>
      <c r="B43" s="364" t="s">
        <v>1707</v>
      </c>
      <c r="C43" s="1759" t="s">
        <v>3514</v>
      </c>
      <c r="D43" s="374">
        <v>100</v>
      </c>
      <c r="E43" s="1759" t="s">
        <v>3514</v>
      </c>
      <c r="F43" s="400">
        <f>SUMIF(124:124,E43,125:125)-SUMIF(124:124,C43,125:125)+100</f>
        <v>100</v>
      </c>
      <c r="G43" s="1759" t="s">
        <v>3514</v>
      </c>
      <c r="H43" s="374">
        <f>SUMIF(124:124,G43,125:125)-SUMIF(124:124,C43,125:125)+100</f>
        <v>100</v>
      </c>
      <c r="I43" s="1759" t="s">
        <v>3514</v>
      </c>
      <c r="J43" s="374">
        <f>SUMIF(124:124,I43,125:125)-SUMIF(124:124,C43,125:125)+100</f>
        <v>100</v>
      </c>
      <c r="K43" s="365"/>
      <c r="L43" s="2492"/>
      <c r="M43" s="2487"/>
      <c r="N43" s="2487"/>
      <c r="O43" s="2487"/>
      <c r="P43" s="3412"/>
      <c r="Q43" s="1263" t="str">
        <f t="shared" si="11"/>
        <v>内部装修维护情况</v>
      </c>
      <c r="R43" s="667" t="s">
        <v>18</v>
      </c>
      <c r="S43" s="668">
        <f t="shared" si="12"/>
        <v>100</v>
      </c>
      <c r="T43" s="667" t="s">
        <v>18</v>
      </c>
      <c r="U43" s="668">
        <f t="shared" si="13"/>
        <v>100</v>
      </c>
      <c r="V43" s="667" t="s">
        <v>18</v>
      </c>
      <c r="W43" s="668">
        <f t="shared" si="14"/>
        <v>100</v>
      </c>
      <c r="X43" s="1265"/>
      <c r="Y43" s="3414"/>
      <c r="Z43" s="1264" t="str">
        <f t="shared" si="18"/>
        <v>内部装修维护情况</v>
      </c>
      <c r="AA43" s="1264">
        <f t="shared" si="15"/>
        <v>1</v>
      </c>
      <c r="AB43" s="1264">
        <f t="shared" si="16"/>
        <v>1</v>
      </c>
      <c r="AC43" s="1264">
        <f t="shared" si="17"/>
        <v>1</v>
      </c>
    </row>
    <row r="44" spans="1:29" s="102" customFormat="1" ht="15">
      <c r="A44" s="410"/>
      <c r="B44" s="3530" t="s">
        <v>3528</v>
      </c>
      <c r="C44" s="3531" t="s">
        <v>3529</v>
      </c>
      <c r="D44" s="119">
        <v>100</v>
      </c>
      <c r="E44" s="3531" t="s">
        <v>3530</v>
      </c>
      <c r="F44" s="364">
        <f>SUMIF(126:126,E44,127:127)-SUMIF(126:126,C44,127:127)+100</f>
        <v>105</v>
      </c>
      <c r="G44" s="3531" t="s">
        <v>3530</v>
      </c>
      <c r="H44" s="119">
        <f>SUMIF(126:126,G44,127:127)-SUMIF(126:126,C44,127:127)+100</f>
        <v>105</v>
      </c>
      <c r="I44" s="3531" t="s">
        <v>3530</v>
      </c>
      <c r="J44" s="119">
        <f>SUMIF(126:126,I44,127:127)-SUMIF(126:126,C44,127:127)+100</f>
        <v>105</v>
      </c>
      <c r="K44" s="1747"/>
      <c r="L44" s="2488"/>
      <c r="M44" s="2439"/>
      <c r="N44" s="2439"/>
      <c r="O44" s="2439"/>
      <c r="P44" s="3412"/>
      <c r="Q44" s="530" t="str">
        <f t="shared" si="11"/>
        <v>有无电梯</v>
      </c>
      <c r="R44" s="664" t="s">
        <v>18</v>
      </c>
      <c r="S44" s="665">
        <f t="shared" si="12"/>
        <v>105</v>
      </c>
      <c r="T44" s="664" t="s">
        <v>18</v>
      </c>
      <c r="U44" s="665">
        <f t="shared" si="13"/>
        <v>105</v>
      </c>
      <c r="V44" s="664" t="s">
        <v>18</v>
      </c>
      <c r="W44" s="665">
        <f t="shared" si="14"/>
        <v>105</v>
      </c>
      <c r="X44" s="666"/>
      <c r="Y44" s="3414"/>
      <c r="Z44" s="50" t="str">
        <f t="shared" si="18"/>
        <v>有无电梯</v>
      </c>
      <c r="AA44" s="50">
        <f t="shared" si="15"/>
        <v>0.95238095238095233</v>
      </c>
      <c r="AB44" s="50">
        <f t="shared" si="16"/>
        <v>0.95238095238095233</v>
      </c>
      <c r="AC44" s="50">
        <f t="shared" si="17"/>
        <v>0.95238095238095233</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412"/>
      <c r="Q45" s="1263">
        <f t="shared" si="11"/>
        <v>111</v>
      </c>
      <c r="R45" s="667" t="s">
        <v>18</v>
      </c>
      <c r="S45" s="668">
        <f t="shared" si="12"/>
        <v>100</v>
      </c>
      <c r="T45" s="667" t="s">
        <v>18</v>
      </c>
      <c r="U45" s="668">
        <f t="shared" si="13"/>
        <v>100</v>
      </c>
      <c r="V45" s="667" t="s">
        <v>18</v>
      </c>
      <c r="W45" s="668">
        <f t="shared" si="14"/>
        <v>100</v>
      </c>
      <c r="X45" s="1265"/>
      <c r="Y45" s="3414"/>
      <c r="Z45" s="1264">
        <f t="shared" si="18"/>
        <v>111</v>
      </c>
      <c r="AA45" s="1264">
        <f t="shared" si="15"/>
        <v>1</v>
      </c>
      <c r="AB45" s="1264">
        <f t="shared" si="16"/>
        <v>1</v>
      </c>
      <c r="AC45" s="1264">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413"/>
      <c r="Q46" s="1263">
        <f t="shared" si="11"/>
        <v>111</v>
      </c>
      <c r="R46" s="667" t="s">
        <v>17</v>
      </c>
      <c r="S46" s="668">
        <f t="shared" si="12"/>
        <v>100</v>
      </c>
      <c r="T46" s="667" t="s">
        <v>17</v>
      </c>
      <c r="U46" s="668">
        <f t="shared" si="13"/>
        <v>100</v>
      </c>
      <c r="V46" s="667" t="s">
        <v>17</v>
      </c>
      <c r="W46" s="668">
        <f t="shared" si="14"/>
        <v>100</v>
      </c>
      <c r="X46" s="1265"/>
      <c r="Y46" s="3415"/>
      <c r="Z46" s="1264">
        <f t="shared" si="18"/>
        <v>111</v>
      </c>
      <c r="AA46" s="1264">
        <f t="shared" si="15"/>
        <v>1</v>
      </c>
      <c r="AB46" s="1264">
        <f t="shared" si="16"/>
        <v>1</v>
      </c>
      <c r="AC46" s="1264">
        <f t="shared" si="17"/>
        <v>1</v>
      </c>
    </row>
    <row r="47" spans="1:29" ht="15">
      <c r="A47" s="416" t="s">
        <v>1708</v>
      </c>
      <c r="B47" s="417"/>
      <c r="C47" s="1081" t="s">
        <v>16</v>
      </c>
      <c r="D47" s="418"/>
      <c r="E47" s="419">
        <f>Sheet2!S4</f>
        <v>53166</v>
      </c>
      <c r="F47" s="420"/>
      <c r="G47" s="421">
        <f>Sheet2!S6</f>
        <v>61922</v>
      </c>
      <c r="H47" s="422"/>
      <c r="I47" s="419">
        <f>Sheet2!S7</f>
        <v>60114</v>
      </c>
      <c r="J47" s="422"/>
      <c r="K47" s="1766"/>
      <c r="L47" s="2494"/>
      <c r="M47" s="2487"/>
      <c r="N47" s="2487"/>
      <c r="O47" s="2487"/>
      <c r="P47" s="3408" t="str">
        <f>A47</f>
        <v>成交单价（元/平方米）</v>
      </c>
      <c r="Q47" s="3408"/>
      <c r="R47" s="3403">
        <f>E47</f>
        <v>53166</v>
      </c>
      <c r="S47" s="3403"/>
      <c r="T47" s="3403">
        <f>G47</f>
        <v>61922</v>
      </c>
      <c r="U47" s="3403"/>
      <c r="V47" s="3403">
        <f>I47</f>
        <v>60114</v>
      </c>
      <c r="W47" s="3403"/>
      <c r="X47" s="385"/>
      <c r="Y47" s="673"/>
      <c r="Z47" s="385"/>
      <c r="AA47" s="385"/>
      <c r="AB47" s="385"/>
      <c r="AC47" s="385"/>
    </row>
    <row r="48" spans="1:29" ht="15.75" thickBot="1">
      <c r="A48" s="423" t="s">
        <v>1709</v>
      </c>
      <c r="B48" s="424"/>
      <c r="C48" s="1082">
        <f>R49</f>
        <v>57485</v>
      </c>
      <c r="D48" s="2140" t="s">
        <v>2138</v>
      </c>
      <c r="E48" s="1083">
        <f>R48</f>
        <v>51935</v>
      </c>
      <c r="F48" s="2141"/>
      <c r="G48" s="1082">
        <f>T48</f>
        <v>60402</v>
      </c>
      <c r="H48" s="2141"/>
      <c r="I48" s="1083">
        <f>V48</f>
        <v>60119</v>
      </c>
      <c r="J48" s="2141"/>
      <c r="K48" s="2142">
        <f>F48+H48+J48</f>
        <v>0</v>
      </c>
      <c r="L48" s="2494"/>
      <c r="M48" s="2487"/>
      <c r="N48" s="2487"/>
      <c r="O48" s="2487"/>
      <c r="P48" s="3408" t="str">
        <f>A48</f>
        <v>比较价值（元/平方米）</v>
      </c>
      <c r="Q48" s="3408"/>
      <c r="R48" s="3403">
        <f>IF(F1="售价",ROUND(PRODUCT(R47,AA7:AA46),0),ROUND(PRODUCT(R47,AA7:AA46),1))</f>
        <v>51935</v>
      </c>
      <c r="S48" s="3403"/>
      <c r="T48" s="3403">
        <f>IF(F1="售价",ROUND(PRODUCT(T47,AB7:AB46),0),ROUND(PRODUCT(T47,AB7:AB46),1))</f>
        <v>60402</v>
      </c>
      <c r="U48" s="3403"/>
      <c r="V48" s="3403">
        <f>IF(F1="售价",ROUND(PRODUCT(V47,AC7:AC46),0),ROUND(PRODUCT(V47,AC7:AC46),1))</f>
        <v>60119</v>
      </c>
      <c r="W48" s="3403"/>
      <c r="X48" s="385"/>
      <c r="Y48" s="385"/>
      <c r="Z48" s="385"/>
      <c r="AA48" s="385"/>
      <c r="AB48" s="385"/>
      <c r="AC48" s="385"/>
    </row>
    <row r="49" spans="1:29" ht="15.75" thickBot="1">
      <c r="A49" s="427" t="s">
        <v>1710</v>
      </c>
      <c r="B49" s="428"/>
      <c r="C49" s="1084">
        <f>R49</f>
        <v>57485</v>
      </c>
      <c r="D49" s="351"/>
      <c r="E49" s="351"/>
      <c r="F49" s="351"/>
      <c r="G49" s="351"/>
      <c r="H49" s="351"/>
      <c r="I49" s="351"/>
      <c r="J49" s="351"/>
      <c r="K49" s="1767"/>
      <c r="L49" s="2494"/>
      <c r="M49" s="2487"/>
      <c r="N49" s="2487"/>
      <c r="O49" s="2487"/>
      <c r="P49" s="3405" t="str">
        <f>A49</f>
        <v>估价对象XX用房的比较价值（楼面单价，元/平方米）</v>
      </c>
      <c r="Q49" s="3406"/>
      <c r="R49" s="3407">
        <f>IF(F1="售价",ROUND(IF(D48="简单平均",AVERAGE(R48:V48),R48*F48+T48*H48+V48*J48),0),ROUND(IF(D48="简单平均",AVERAGE(R48:V48),R48*F48+T48*H48+V48*J48),1))</f>
        <v>57485</v>
      </c>
      <c r="S49" s="3407"/>
      <c r="T49" s="3407"/>
      <c r="U49" s="3407"/>
      <c r="V49" s="3407"/>
      <c r="W49" s="3407"/>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f>IF(E47&lt;E48,E48/E47-1,E47/E48-1)</f>
        <v>2.3702705304707861E-2</v>
      </c>
      <c r="F52" s="435" t="str">
        <f>IF(OR(E52&gt;=0.3,E52&lt;=-0.3),"超过30%","")</f>
        <v/>
      </c>
      <c r="G52" s="434">
        <f>IF(G47&lt;G48,G48/G47-1,G47/G48-1)</f>
        <v>2.5164729644713724E-2</v>
      </c>
      <c r="H52" s="435" t="str">
        <f>IF(OR(G52&gt;=0.3,G52&lt;=-0.3),"超过30%","")</f>
        <v/>
      </c>
      <c r="I52" s="434">
        <f>IF(I47&lt;I48,I48/I47-1,I47/I48-1)</f>
        <v>8.3175300262805507E-5</v>
      </c>
      <c r="J52" s="435" t="str">
        <f>IF(OR(I52&gt;=0.3,I52&lt;=-0.3),"超过30%","")</f>
        <v/>
      </c>
      <c r="K52" s="2499"/>
      <c r="L52" s="2495"/>
      <c r="M52" s="2487"/>
      <c r="N52" s="2487"/>
      <c r="O52" s="2487"/>
    </row>
    <row r="53" spans="1:29" ht="13.5" customHeight="1">
      <c r="A53" s="2487"/>
      <c r="B53" s="2487"/>
      <c r="C53" s="432" t="s">
        <v>1712</v>
      </c>
      <c r="D53" s="436"/>
      <c r="E53" s="434">
        <f>IF(E48&lt;G48,G48/E48-1,E48/G48-1)</f>
        <v>0.16303071146625592</v>
      </c>
      <c r="F53" s="435" t="str">
        <f>IF(OR(E53&gt;=0.2,E53&lt;=-0.2),"超过20%","")</f>
        <v/>
      </c>
      <c r="G53" s="434">
        <f>IF(G48&lt;I48,I48/G48-1,G48/I48-1)</f>
        <v>4.7073304612519351E-3</v>
      </c>
      <c r="H53" s="435" t="str">
        <f>IF(OR(G53&gt;=0.2,G53&lt;=-0.2),"超过20%","")</f>
        <v/>
      </c>
      <c r="I53" s="434">
        <f>IF(I48&lt;E48,E48/I48-1,I48/E48-1)</f>
        <v>0.15758159237508429</v>
      </c>
      <c r="J53" s="435" t="str">
        <f>IF(OR(I53&gt;=0.2,I53&lt;=-0.2),"超过20%","")</f>
        <v/>
      </c>
      <c r="K53" s="2499"/>
      <c r="L53" s="2495"/>
      <c r="M53" s="2487"/>
      <c r="N53" s="2487"/>
      <c r="O53" s="2487"/>
    </row>
    <row r="54" spans="1:29" s="437" customFormat="1" ht="13.5" customHeight="1">
      <c r="A54" s="2497"/>
      <c r="B54" s="2497"/>
      <c r="C54" s="432" t="s">
        <v>1713</v>
      </c>
      <c r="D54" s="436"/>
      <c r="E54" s="434">
        <f>IF(E47&lt;G47,G47/E47-1,E47/G47-1)</f>
        <v>0.16469172027235457</v>
      </c>
      <c r="F54" s="435" t="str">
        <f>IF(OR(E54&gt;=0.3,E54&lt;=-0.3),"超过30%","")</f>
        <v/>
      </c>
      <c r="G54" s="434">
        <f>IF(G47&lt;I47,I47/G47-1,G47/I47-1)</f>
        <v>3.0076188575040685E-2</v>
      </c>
      <c r="H54" s="435" t="str">
        <f>IF(OR(G54&gt;=0.3,G54&lt;=-0.3),"超过30%","")</f>
        <v/>
      </c>
      <c r="I54" s="434">
        <f>IF(I47&lt;E47,E47/I47-1,I47/E47-1)</f>
        <v>0.13068502426362705</v>
      </c>
      <c r="J54" s="435" t="str">
        <f>IF(OR(I54&gt;=0.3,I54&lt;=-0.3),"超过30%","")</f>
        <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c r="R58" s="442" t="s">
        <v>3489</v>
      </c>
      <c r="S58" s="442">
        <f>R58/R59</f>
        <v>1.002016129032258</v>
      </c>
    </row>
    <row r="59" spans="1:29" s="102" customFormat="1" ht="15">
      <c r="A59" s="443"/>
      <c r="B59" s="1771"/>
      <c r="C59" s="1102">
        <v>100</v>
      </c>
      <c r="D59" s="445">
        <v>100</v>
      </c>
      <c r="E59" s="446">
        <v>100.2</v>
      </c>
      <c r="F59" s="446"/>
      <c r="G59" s="446"/>
      <c r="H59" s="446"/>
      <c r="I59" s="446"/>
      <c r="J59" s="446"/>
      <c r="K59" s="446"/>
      <c r="L59" s="446"/>
      <c r="M59" s="447"/>
      <c r="N59" s="446"/>
      <c r="O59" s="447"/>
      <c r="P59" s="1772"/>
      <c r="R59" s="102">
        <v>99.2</v>
      </c>
      <c r="S59" s="102">
        <v>100</v>
      </c>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f>C9</f>
        <v>0</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v>0</v>
      </c>
      <c r="D68" s="480">
        <v>1</v>
      </c>
      <c r="E68" s="480">
        <v>2</v>
      </c>
      <c r="F68" s="480">
        <v>3</v>
      </c>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20.25" thickTop="1" thickBot="1">
      <c r="A88" s="370"/>
      <c r="B88" s="469" t="s">
        <v>1735</v>
      </c>
      <c r="C88" s="3523" t="s">
        <v>3490</v>
      </c>
      <c r="D88" s="3524" t="s">
        <v>3486</v>
      </c>
      <c r="E88" s="3524" t="s">
        <v>3480</v>
      </c>
      <c r="F88" s="3524" t="s">
        <v>3484</v>
      </c>
      <c r="G88" s="3524" t="s">
        <v>3491</v>
      </c>
      <c r="H88" s="3524" t="s">
        <v>3492</v>
      </c>
      <c r="I88" s="3524" t="s">
        <v>3493</v>
      </c>
      <c r="J88" s="3524" t="s">
        <v>3494</v>
      </c>
      <c r="K88" s="3524" t="s">
        <v>3495</v>
      </c>
      <c r="L88" s="3524" t="s">
        <v>3496</v>
      </c>
      <c r="M88" s="511"/>
      <c r="N88" s="878"/>
      <c r="O88" s="878"/>
      <c r="P88" s="1774"/>
      <c r="Q88" s="439"/>
    </row>
    <row r="89" spans="1:17" s="102" customFormat="1" ht="15.75" thickBot="1">
      <c r="A89" s="370"/>
      <c r="B89" s="474"/>
      <c r="C89" s="512">
        <v>100</v>
      </c>
      <c r="D89" s="475">
        <f t="shared" ref="D89:M89" si="24">C89-$K26</f>
        <v>99.5</v>
      </c>
      <c r="E89" s="475">
        <f t="shared" si="24"/>
        <v>99</v>
      </c>
      <c r="F89" s="475">
        <f t="shared" si="24"/>
        <v>98.5</v>
      </c>
      <c r="G89" s="475">
        <f t="shared" si="24"/>
        <v>98</v>
      </c>
      <c r="H89" s="475">
        <f t="shared" si="24"/>
        <v>97.5</v>
      </c>
      <c r="I89" s="475">
        <f t="shared" si="24"/>
        <v>97</v>
      </c>
      <c r="J89" s="475">
        <f t="shared" si="24"/>
        <v>96.5</v>
      </c>
      <c r="K89" s="475">
        <f t="shared" si="24"/>
        <v>96</v>
      </c>
      <c r="L89" s="475">
        <f t="shared" si="24"/>
        <v>95.5</v>
      </c>
      <c r="M89" s="475">
        <f t="shared" si="24"/>
        <v>95</v>
      </c>
      <c r="N89" s="880"/>
      <c r="O89" s="880"/>
      <c r="P89" s="1774"/>
      <c r="Q89" s="439"/>
    </row>
    <row r="90" spans="1:17" s="408" customFormat="1" ht="15.75" thickTop="1">
      <c r="A90" s="484"/>
      <c r="B90" s="469">
        <f>B27</f>
        <v>111</v>
      </c>
      <c r="C90" s="3526" t="s">
        <v>3497</v>
      </c>
      <c r="D90" s="3526" t="s">
        <v>3498</v>
      </c>
      <c r="E90" s="3526" t="s">
        <v>3499</v>
      </c>
      <c r="F90" s="3526" t="s">
        <v>3500</v>
      </c>
      <c r="G90" s="485"/>
      <c r="H90" s="486"/>
      <c r="I90" s="486"/>
      <c r="J90" s="486"/>
      <c r="K90" s="486"/>
      <c r="L90" s="487"/>
      <c r="M90" s="488"/>
      <c r="N90" s="881"/>
      <c r="O90" s="881"/>
      <c r="P90" s="1775"/>
      <c r="Q90" s="490"/>
    </row>
    <row r="91" spans="1:17" s="408" customFormat="1" ht="15.75" thickBot="1">
      <c r="A91" s="484"/>
      <c r="B91" s="474"/>
      <c r="C91" s="491">
        <v>100</v>
      </c>
      <c r="D91" s="491">
        <v>101</v>
      </c>
      <c r="E91" s="491">
        <v>101</v>
      </c>
      <c r="F91" s="491">
        <v>100</v>
      </c>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3528" t="s">
        <v>3508</v>
      </c>
      <c r="D100" s="3528" t="s">
        <v>3510</v>
      </c>
      <c r="E100" s="3528" t="s">
        <v>3512</v>
      </c>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98</v>
      </c>
      <c r="E101" s="475">
        <f t="shared" si="25"/>
        <v>96</v>
      </c>
      <c r="F101" s="475">
        <f t="shared" si="25"/>
        <v>94</v>
      </c>
      <c r="G101" s="475">
        <f t="shared" si="25"/>
        <v>92</v>
      </c>
      <c r="H101" s="475">
        <f t="shared" si="25"/>
        <v>90</v>
      </c>
      <c r="I101" s="475">
        <f t="shared" si="25"/>
        <v>88</v>
      </c>
      <c r="J101" s="475">
        <f t="shared" si="25"/>
        <v>86</v>
      </c>
      <c r="K101" s="475">
        <f t="shared" si="25"/>
        <v>84</v>
      </c>
      <c r="L101" s="475">
        <f t="shared" si="25"/>
        <v>82</v>
      </c>
      <c r="M101" s="475">
        <f t="shared" si="25"/>
        <v>80</v>
      </c>
      <c r="N101" s="880"/>
      <c r="O101" s="880"/>
      <c r="P101" s="1774"/>
      <c r="Q101" s="439"/>
    </row>
    <row r="102" spans="1:17" ht="15.75" thickTop="1">
      <c r="A102" s="367"/>
      <c r="B102" s="469" t="s">
        <v>1737</v>
      </c>
      <c r="C102" s="509" t="str">
        <f>C103&amp;"(含)"&amp;"-"&amp;D103</f>
        <v>0(含)-40</v>
      </c>
      <c r="D102" s="509" t="str">
        <f t="shared" ref="D102:L102" si="26">D103&amp;"(含)"&amp;"-"&amp;E103</f>
        <v>40(含)-60</v>
      </c>
      <c r="E102" s="509" t="str">
        <f t="shared" si="26"/>
        <v>60(含)-90</v>
      </c>
      <c r="F102" s="509" t="str">
        <f t="shared" si="26"/>
        <v>90(含)-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v>0</v>
      </c>
      <c r="D103" s="6">
        <v>40</v>
      </c>
      <c r="E103" s="6">
        <v>60</v>
      </c>
      <c r="F103" s="6">
        <v>90</v>
      </c>
      <c r="G103" s="6"/>
      <c r="H103" s="6"/>
      <c r="I103" s="6"/>
      <c r="J103" s="524"/>
      <c r="K103" s="524"/>
      <c r="L103" s="525"/>
      <c r="M103" s="526"/>
      <c r="N103" s="881"/>
      <c r="O103" s="881"/>
      <c r="P103" s="1775"/>
      <c r="Q103" s="490"/>
    </row>
    <row r="104" spans="1:17" s="408" customFormat="1" ht="15.75" thickBot="1">
      <c r="A104" s="484"/>
      <c r="B104" s="474"/>
      <c r="C104" s="491">
        <v>100</v>
      </c>
      <c r="D104" s="467">
        <v>99</v>
      </c>
      <c r="E104" s="467">
        <v>98</v>
      </c>
      <c r="F104" s="467">
        <v>97</v>
      </c>
      <c r="G104" s="467"/>
      <c r="H104" s="467"/>
      <c r="I104" s="467"/>
      <c r="J104" s="467"/>
      <c r="K104" s="467"/>
      <c r="L104" s="467"/>
      <c r="M104" s="467"/>
      <c r="N104" s="880"/>
      <c r="O104" s="880"/>
      <c r="P104" s="1775"/>
      <c r="Q104" s="490"/>
    </row>
    <row r="105" spans="1:17" ht="15" thickTop="1">
      <c r="A105" s="409"/>
      <c r="B105" s="469" t="s">
        <v>1738</v>
      </c>
      <c r="C105" s="3527" t="s">
        <v>3501</v>
      </c>
      <c r="D105" s="3527" t="s">
        <v>3503</v>
      </c>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3527" t="s">
        <v>3504</v>
      </c>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3527" t="s">
        <v>3506</v>
      </c>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3527" t="s">
        <v>3504</v>
      </c>
      <c r="D122" s="485"/>
      <c r="E122" s="485"/>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t="str">
        <f>B44</f>
        <v>有无电梯</v>
      </c>
      <c r="C126" s="3527" t="s">
        <v>3530</v>
      </c>
      <c r="D126" s="3527" t="s">
        <v>3529</v>
      </c>
      <c r="E126" s="485"/>
      <c r="F126" s="485"/>
      <c r="G126" s="485"/>
      <c r="H126" s="486"/>
      <c r="I126" s="486"/>
      <c r="J126" s="486"/>
      <c r="K126" s="486"/>
      <c r="L126" s="487"/>
      <c r="M126" s="488"/>
      <c r="N126" s="881"/>
      <c r="O126" s="881"/>
      <c r="P126" s="1775"/>
      <c r="Q126" s="490"/>
    </row>
    <row r="127" spans="1:17" s="408" customFormat="1" ht="15.75" thickBot="1">
      <c r="A127" s="484"/>
      <c r="B127" s="474"/>
      <c r="C127" s="491">
        <v>100</v>
      </c>
      <c r="D127" s="467">
        <v>95</v>
      </c>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6" zoomScaleNormal="70" zoomScaleSheetLayoutView="100" workbookViewId="0">
      <selection activeCell="C43" sqref="C4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3406</v>
      </c>
      <c r="D1" s="1271" t="s">
        <v>43</v>
      </c>
      <c r="E1" s="1272" t="s">
        <v>678</v>
      </c>
      <c r="F1" s="999">
        <f ca="1">J53</f>
        <v>67.34</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238.91200000000001</v>
      </c>
      <c r="C2" s="1289" t="s">
        <v>879</v>
      </c>
      <c r="D2" s="1375">
        <f ca="1">C40+J29+L46</f>
        <v>2389120</v>
      </c>
      <c r="E2" s="1295" t="s">
        <v>880</v>
      </c>
      <c r="F2" s="1296"/>
      <c r="G2" s="2478"/>
      <c r="H2" s="2468"/>
      <c r="I2" s="2468"/>
      <c r="J2" s="2468"/>
      <c r="K2" s="2469"/>
      <c r="L2" s="2468"/>
      <c r="M2" s="2468"/>
    </row>
    <row r="3" spans="1:37" ht="18" customHeight="1" thickBot="1">
      <c r="A3" s="1297" t="s">
        <v>881</v>
      </c>
      <c r="B3" s="1298">
        <f ca="1">IF(ISERROR(D2/F43),0,ROUND(D2/F43,0))</f>
        <v>37348</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68486</v>
      </c>
      <c r="D5" s="1273" t="s">
        <v>889</v>
      </c>
      <c r="E5" s="1008"/>
      <c r="F5" s="1009"/>
      <c r="G5" s="1292"/>
      <c r="H5" s="291">
        <v>1</v>
      </c>
      <c r="I5" s="292" t="s">
        <v>888</v>
      </c>
      <c r="J5" s="1007">
        <f ca="1">J6+J10+J12</f>
        <v>0</v>
      </c>
      <c r="K5" s="1273" t="s">
        <v>889</v>
      </c>
      <c r="L5" s="1008"/>
      <c r="M5" s="1009"/>
    </row>
    <row r="6" spans="1:37" ht="18" customHeight="1">
      <c r="A6" s="1006" t="s">
        <v>398</v>
      </c>
      <c r="B6" s="3349" t="s">
        <v>694</v>
      </c>
      <c r="C6" s="1011">
        <f ca="1">ROUND(F6*F8*F7*(1-F9),0)</f>
        <v>68400</v>
      </c>
      <c r="D6" s="147" t="s">
        <v>2106</v>
      </c>
      <c r="E6" s="294" t="s">
        <v>696</v>
      </c>
      <c r="F6" s="295">
        <f ca="1">INDIRECT("'数据-取费表'!u"&amp;$G$1)</f>
        <v>6000</v>
      </c>
      <c r="G6" s="1292"/>
      <c r="H6" s="1006" t="s">
        <v>398</v>
      </c>
      <c r="I6" s="3349" t="s">
        <v>694</v>
      </c>
      <c r="J6" s="293">
        <f ca="1">ROUND(M6*M8*M7*(1-M9),0)</f>
        <v>0</v>
      </c>
      <c r="K6" s="1284" t="s">
        <v>2107</v>
      </c>
      <c r="L6" s="294" t="s">
        <v>696</v>
      </c>
      <c r="M6" s="295">
        <f ca="1">INDIRECT("'数据-取费表'!z"&amp;$G$1)</f>
        <v>0</v>
      </c>
    </row>
    <row r="7" spans="1:37" ht="18" customHeight="1">
      <c r="A7" s="1010"/>
      <c r="B7" s="3350"/>
      <c r="C7" s="1012"/>
      <c r="D7" s="299"/>
      <c r="E7" s="1013" t="s">
        <v>697</v>
      </c>
      <c r="F7" s="295">
        <f ca="1">IF(INDIRECT("'数据-取费表'!ah"&amp;$G$1)="",INDIRECT("'数据-取费表'!k"&amp;$G$1),INDIRECT("'数据-取费表'!ah"&amp;$G$1))</f>
        <v>1</v>
      </c>
      <c r="G7" s="1292"/>
      <c r="H7" s="296"/>
      <c r="I7" s="3350"/>
      <c r="J7" s="298"/>
      <c r="K7" s="299"/>
      <c r="L7" s="294" t="s">
        <v>697</v>
      </c>
      <c r="M7" s="295">
        <f ca="1">F7</f>
        <v>1</v>
      </c>
    </row>
    <row r="8" spans="1:37" ht="18" customHeight="1">
      <c r="A8" s="296"/>
      <c r="B8" s="3350"/>
      <c r="C8" s="298"/>
      <c r="D8" s="299"/>
      <c r="E8" s="294" t="s">
        <v>698</v>
      </c>
      <c r="F8" s="295">
        <f ca="1">INDIRECT("'数据-取费表'!ai"&amp;$G$1)</f>
        <v>12</v>
      </c>
      <c r="G8" s="1292"/>
      <c r="H8" s="296"/>
      <c r="I8" s="3350"/>
      <c r="J8" s="298"/>
      <c r="K8" s="299"/>
      <c r="L8" s="294" t="s">
        <v>698</v>
      </c>
      <c r="M8" s="295">
        <f ca="1">INDIRECT("'数据-取费表'!ai"&amp;$G$1)</f>
        <v>12</v>
      </c>
    </row>
    <row r="9" spans="1:37" ht="18" customHeight="1">
      <c r="A9" s="296"/>
      <c r="B9" s="3351"/>
      <c r="C9" s="298"/>
      <c r="D9" s="299"/>
      <c r="E9" s="294" t="s">
        <v>699</v>
      </c>
      <c r="F9" s="304">
        <f ca="1">INDIRECT("'数据-取费表'!w"&amp;$G$1)</f>
        <v>0.05</v>
      </c>
      <c r="G9" s="1292"/>
      <c r="H9" s="296"/>
      <c r="I9" s="3351"/>
      <c r="J9" s="298"/>
      <c r="K9" s="299"/>
      <c r="L9" s="305" t="s">
        <v>699</v>
      </c>
      <c r="M9" s="306">
        <f ca="1">INDIRECT("'数据-取费表'!ab"&amp;$G$1)</f>
        <v>0</v>
      </c>
    </row>
    <row r="10" spans="1:37" ht="18" customHeight="1">
      <c r="A10" s="1006" t="s">
        <v>402</v>
      </c>
      <c r="B10" s="1274" t="s">
        <v>700</v>
      </c>
      <c r="C10" s="308">
        <f ca="1">ROUND(IF(F10="押一",C6/12*F11,IF(F10="押二",C6/12*2*F11,IF(F10="押三",C6/12*3*F11,C11*F11))),0)</f>
        <v>86</v>
      </c>
      <c r="D10" s="150" t="s">
        <v>2116</v>
      </c>
      <c r="E10" s="305" t="s">
        <v>701</v>
      </c>
      <c r="F10" s="1053" t="s">
        <v>3518</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214925</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191910</v>
      </c>
      <c r="D14" s="1257" t="s">
        <v>708</v>
      </c>
      <c r="E14" s="1255"/>
      <c r="F14" s="311"/>
      <c r="G14" s="1292"/>
      <c r="H14" s="928" t="s">
        <v>398</v>
      </c>
      <c r="I14" s="294" t="s">
        <v>709</v>
      </c>
      <c r="J14" s="21">
        <f ca="1">C29</f>
        <v>307035</v>
      </c>
      <c r="K14" s="12"/>
      <c r="L14" s="759"/>
      <c r="M14" s="760"/>
    </row>
    <row r="15" spans="1:37" s="1304" customFormat="1" ht="18" customHeight="1" thickBot="1">
      <c r="A15" s="928" t="s">
        <v>399</v>
      </c>
      <c r="B15" s="294" t="s">
        <v>710</v>
      </c>
      <c r="C15" s="21">
        <f ca="1">ROUND(C14*F15,0)</f>
        <v>9596</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9596</v>
      </c>
      <c r="D16" s="294" t="s">
        <v>711</v>
      </c>
      <c r="E16" s="294" t="s">
        <v>712</v>
      </c>
      <c r="F16" s="314">
        <f ca="1">IF(INDIRECT("'数据-取费表'!c"&amp;$G$1)="住宅",'数据-取费表'!B34,0)</f>
        <v>0.05</v>
      </c>
      <c r="G16" s="1292"/>
      <c r="H16" s="1016" t="s">
        <v>393</v>
      </c>
      <c r="I16" s="1017" t="s">
        <v>714</v>
      </c>
      <c r="J16" s="302">
        <f ca="1">ROUND(J17+J22+J23+J24,0)</f>
        <v>614</v>
      </c>
      <c r="K16" s="1024" t="s">
        <v>715</v>
      </c>
      <c r="L16" s="1025"/>
      <c r="M16" s="1009"/>
    </row>
    <row r="17" spans="1:37" s="1304" customFormat="1" ht="18" customHeight="1">
      <c r="A17" s="928" t="s">
        <v>681</v>
      </c>
      <c r="B17" s="294" t="s">
        <v>716</v>
      </c>
      <c r="C17" s="21">
        <f ca="1">ROUND(F17*(F43+INDIRECT("'数据-取费表'!S"&amp;$G$1)),0)</f>
        <v>12794</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3838</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227734</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2277</v>
      </c>
      <c r="D20" s="315" t="s">
        <v>729</v>
      </c>
      <c r="E20" s="294" t="s">
        <v>712</v>
      </c>
      <c r="F20" s="314">
        <f>'数据-取费表'!B37</f>
        <v>0.01</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614</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3450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-614</v>
      </c>
      <c r="K25" s="1032" t="s">
        <v>753</v>
      </c>
      <c r="L25" s="1033"/>
      <c r="M25" s="1034"/>
    </row>
    <row r="26" spans="1:37" ht="18" customHeight="1">
      <c r="A26" s="928" t="s">
        <v>397</v>
      </c>
      <c r="B26" s="294" t="s">
        <v>754</v>
      </c>
      <c r="C26" s="21">
        <f ca="1">ROUND((C19+C20)*F26,0)</f>
        <v>46002</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3.5000000000000003E-2</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307035</v>
      </c>
      <c r="D29" s="1029"/>
      <c r="E29" s="1027"/>
      <c r="F29" s="1030"/>
      <c r="G29" s="1303"/>
      <c r="H29" s="325" t="s">
        <v>396</v>
      </c>
      <c r="I29" s="326" t="s">
        <v>768</v>
      </c>
      <c r="J29" s="327">
        <f ca="1">ROUND(J26/(1+F40)^F41,0)</f>
        <v>0</v>
      </c>
      <c r="K29" s="328" t="s">
        <v>769</v>
      </c>
      <c r="L29" s="329"/>
      <c r="M29" s="330">
        <f ca="1">INDIRECT("'数据-取费表'!k"&amp;$G$1)</f>
        <v>63.97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3143</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ROUND(IF(AND(项目基本情况!B11="自然人",项目基本情况!B10="北京市"),C6*F31/(1+'数据-取费表'!C42),C32+C33+C34),0)</f>
        <v>1629</v>
      </c>
      <c r="D31" s="1257" t="s">
        <v>720</v>
      </c>
      <c r="E31" s="1256" t="s">
        <v>770</v>
      </c>
      <c r="F31" s="2138">
        <f ca="1">IF(项目基本情况!B11="企业","——",IF(M47="住宅",IF(F6*F7*F8/12/(1+'数据-取费表'!F30)&gt;100000,4%,2.5%),IF(F6*F7*F8/12/(1+'数据-取费表'!F30)&gt;100000,12%,7%)))</f>
        <v>2.5000000000000001E-2</v>
      </c>
      <c r="G31" s="1292"/>
      <c r="H31" s="2569" t="s">
        <v>2306</v>
      </c>
      <c r="I31" s="1305"/>
      <c r="J31" s="1306"/>
      <c r="K31" s="121"/>
      <c r="L31" s="2471"/>
      <c r="M31" s="2472"/>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IF(项目基本情况!B11="自然人","——",ROUND(F34*F35,0))</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614</v>
      </c>
      <c r="D36" s="1256" t="s">
        <v>771</v>
      </c>
      <c r="E36" s="294" t="s">
        <v>712</v>
      </c>
      <c r="F36" s="320">
        <f ca="1">INDIRECT("'数据-取费表'!Ak"&amp;$G$1)</f>
        <v>2E-3</v>
      </c>
      <c r="G36" s="1292"/>
      <c r="H36" s="2473"/>
      <c r="I36" s="1305"/>
      <c r="J36" s="1306"/>
      <c r="K36" s="2330"/>
      <c r="L36" s="2473"/>
      <c r="M36" s="2473"/>
    </row>
    <row r="37" spans="1:18" ht="18" customHeight="1">
      <c r="A37" s="928" t="s">
        <v>437</v>
      </c>
      <c r="B37" s="294" t="s">
        <v>742</v>
      </c>
      <c r="C37" s="21">
        <f ca="1">ROUND(C13*F37,0)</f>
        <v>215</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ROUND(C5*F38,0)</f>
        <v>685</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65343</v>
      </c>
      <c r="D39" s="1032" t="s">
        <v>773</v>
      </c>
      <c r="E39" s="1033"/>
      <c r="F39" s="1034"/>
      <c r="G39" s="1292"/>
      <c r="H39" s="2473"/>
      <c r="I39" s="1305"/>
      <c r="J39" s="1306"/>
      <c r="K39" s="2471"/>
      <c r="L39" s="2473"/>
      <c r="M39" s="2473"/>
    </row>
    <row r="40" spans="1:18" ht="18" customHeight="1">
      <c r="A40" s="291" t="s">
        <v>395</v>
      </c>
      <c r="B40" s="292" t="s">
        <v>774</v>
      </c>
      <c r="C40" s="293">
        <f ca="1">ROUND(C39*(1-((1+F42)/(1+F40))^F41)/(F40-F42),0)</f>
        <v>2389120</v>
      </c>
      <c r="D40" s="316" t="s">
        <v>758</v>
      </c>
      <c r="E40" s="294" t="s">
        <v>759</v>
      </c>
      <c r="F40" s="304">
        <f ca="1">INDIRECT("'数据-取费表'!I"&amp;$G$1)</f>
        <v>3.5000000000000003E-2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67.34</v>
      </c>
      <c r="G41" s="1292"/>
      <c r="H41" s="121"/>
      <c r="I41" s="1305"/>
      <c r="J41" s="1306"/>
      <c r="K41" s="2330"/>
      <c r="L41" s="121"/>
      <c r="M41" s="121"/>
    </row>
    <row r="42" spans="1:18" ht="18" customHeight="1">
      <c r="A42" s="300"/>
      <c r="B42" s="301"/>
      <c r="C42" s="302"/>
      <c r="D42" s="319"/>
      <c r="E42" s="294" t="s">
        <v>766</v>
      </c>
      <c r="F42" s="304">
        <f ca="1">INDIRECT("'数据-取费表'!v"&amp;$G$1)</f>
        <v>1.4999999999999999E-2</v>
      </c>
      <c r="G42" s="1292"/>
      <c r="H42" s="121"/>
      <c r="I42" s="1305"/>
      <c r="J42" s="1306"/>
      <c r="K42" s="2330"/>
      <c r="L42" s="121"/>
      <c r="M42" s="121"/>
    </row>
    <row r="43" spans="1:18" ht="18" customHeight="1" thickBot="1">
      <c r="A43" s="325" t="s">
        <v>396</v>
      </c>
      <c r="B43" s="326" t="s">
        <v>776</v>
      </c>
      <c r="C43" s="327">
        <f ca="1">ROUND(C40/F43,0)</f>
        <v>37348</v>
      </c>
      <c r="D43" s="328" t="s">
        <v>777</v>
      </c>
      <c r="E43" s="329" t="s">
        <v>778</v>
      </c>
      <c r="F43" s="330">
        <f ca="1">INDIRECT("'数据-取费表'!k"&amp;$G$1)</f>
        <v>63.97</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3352</v>
      </c>
      <c r="B45" s="1307"/>
      <c r="C45" s="1376">
        <f ca="1">ROUND((C68-C40)/10000,4)</f>
        <v>-241.047</v>
      </c>
      <c r="D45" s="3130" t="s">
        <v>3353</v>
      </c>
      <c r="E45" s="1307"/>
      <c r="F45" s="1307"/>
      <c r="O45" s="1310" t="s">
        <v>808</v>
      </c>
      <c r="P45" s="1366"/>
      <c r="Q45" s="1366"/>
      <c r="R45" s="1366"/>
    </row>
    <row r="46" spans="1:18" s="1292" customFormat="1" ht="13.5" thickBot="1">
      <c r="A46" s="1311" t="s">
        <v>809</v>
      </c>
      <c r="C46" s="1312">
        <f ca="1">ROUND(C45,0)</f>
        <v>-241</v>
      </c>
      <c r="D46" s="1313" t="str">
        <f>C2</f>
        <v>万元</v>
      </c>
      <c r="I46" s="1314" t="s">
        <v>810</v>
      </c>
      <c r="J46" s="1315"/>
      <c r="K46" s="1316"/>
      <c r="L46" s="1317">
        <f>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3418</v>
      </c>
      <c r="K47" s="1323" t="s">
        <v>816</v>
      </c>
      <c r="L47" s="1324">
        <f ca="1">INDIRECT("'数据-取费表'!d"&amp;$G$1)</f>
        <v>70</v>
      </c>
      <c r="M47" s="1288" t="str">
        <f>IF(ISNUMBER(FIND("住宅",C1)),"住宅","非住宅")</f>
        <v>住宅</v>
      </c>
      <c r="O47" s="1325" t="s">
        <v>403</v>
      </c>
      <c r="P47" s="1326" t="s">
        <v>817</v>
      </c>
      <c r="Q47" s="1327">
        <f ca="1">C40+J29</f>
        <v>2389120</v>
      </c>
      <c r="R47" s="1327" t="s">
        <v>818</v>
      </c>
    </row>
    <row r="48" spans="1:18" s="1292" customFormat="1" ht="28.5" thickBot="1">
      <c r="A48" s="1047" t="s">
        <v>438</v>
      </c>
      <c r="B48" s="292" t="s">
        <v>692</v>
      </c>
      <c r="C48" s="1268">
        <f ca="1">C49+C53+C55</f>
        <v>0</v>
      </c>
      <c r="D48" s="1049"/>
      <c r="E48" s="1050"/>
      <c r="F48" s="908"/>
      <c r="G48" s="681"/>
      <c r="H48" s="682"/>
      <c r="I48" s="1328" t="s">
        <v>819</v>
      </c>
      <c r="J48" s="1329" t="s">
        <v>3417</v>
      </c>
      <c r="K48" s="1330" t="s">
        <v>820</v>
      </c>
      <c r="L48" s="1331">
        <f ca="1">INDIRECT("'数据-取费表'!f"&amp;$G$1)</f>
        <v>67.34</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1995</v>
      </c>
      <c r="K49" s="1330" t="s">
        <v>824</v>
      </c>
      <c r="L49" s="1333"/>
      <c r="O49" s="1334" t="s">
        <v>405</v>
      </c>
      <c r="P49" s="1326" t="s">
        <v>825</v>
      </c>
      <c r="Q49" s="1327">
        <f ca="1">C29</f>
        <v>307035</v>
      </c>
      <c r="R49" s="1327" t="s">
        <v>818</v>
      </c>
    </row>
    <row r="50" spans="1:18" s="1292" customFormat="1" ht="13.5" thickBot="1">
      <c r="A50" s="922"/>
      <c r="B50" s="925"/>
      <c r="C50" s="926"/>
      <c r="D50" s="899"/>
      <c r="E50" s="993" t="s">
        <v>697</v>
      </c>
      <c r="F50" s="994">
        <f ca="1">F7</f>
        <v>1</v>
      </c>
      <c r="H50" s="682"/>
      <c r="I50" s="1328" t="s">
        <v>826</v>
      </c>
      <c r="J50" s="1335">
        <f>SUMPRODUCT((I63:I65=J47)*(J62:L62=J48)*(J63:L65))</f>
        <v>50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12</v>
      </c>
      <c r="I51" s="1338" t="s">
        <v>829</v>
      </c>
      <c r="J51" s="1331">
        <f>IF(J49="",J50,J49+J50-YEAR('数据-取费表'!B2))</f>
        <v>20</v>
      </c>
      <c r="K51" s="1339" t="s">
        <v>830</v>
      </c>
      <c r="L51" s="1340">
        <f ca="1">ROUND(-PV(INDIRECT("'数据-取费表'!h"&amp;$G$1),J51,(C39-C13*C76),0),0)</f>
        <v>653612</v>
      </c>
      <c r="M51" s="1341"/>
      <c r="O51" s="1334" t="s">
        <v>407</v>
      </c>
      <c r="P51" s="1326" t="s">
        <v>831</v>
      </c>
      <c r="Q51" s="1337">
        <f>J52</f>
        <v>0.06</v>
      </c>
      <c r="R51" s="1327"/>
    </row>
    <row r="52" spans="1:18" s="1292" customFormat="1" ht="13.5" thickBot="1">
      <c r="A52" s="923"/>
      <c r="B52" s="925"/>
      <c r="C52" s="926"/>
      <c r="D52" s="899"/>
      <c r="E52" s="927" t="s">
        <v>699</v>
      </c>
      <c r="F52" s="991"/>
      <c r="I52" s="1342" t="s">
        <v>832</v>
      </c>
      <c r="J52" s="1343">
        <v>0.06</v>
      </c>
      <c r="K52" s="1342" t="s">
        <v>833</v>
      </c>
      <c r="L52" s="1343"/>
      <c r="O52" s="1334" t="s">
        <v>408</v>
      </c>
      <c r="P52" s="1326" t="s">
        <v>834</v>
      </c>
      <c r="Q52" s="1327">
        <f ca="1">J53</f>
        <v>67.34</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67.34</v>
      </c>
      <c r="K53" s="3347" t="s">
        <v>837</v>
      </c>
      <c r="L53" s="3348"/>
      <c r="O53" s="1325" t="s">
        <v>409</v>
      </c>
      <c r="P53" s="1326" t="s">
        <v>838</v>
      </c>
      <c r="Q53" s="1327">
        <f ca="1">Q47+Q48</f>
        <v>2389120</v>
      </c>
      <c r="R53" s="1327" t="s">
        <v>410</v>
      </c>
    </row>
    <row r="54" spans="1:18" s="1292" customFormat="1" ht="13.5" thickBot="1">
      <c r="A54" s="921"/>
      <c r="B54" s="1377" t="s">
        <v>891</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214925</v>
      </c>
      <c r="D56" s="1352"/>
      <c r="E56" s="1353"/>
      <c r="F56" s="1345"/>
      <c r="I56" s="1354" t="s">
        <v>842</v>
      </c>
      <c r="J56" s="1355" t="s">
        <v>3419</v>
      </c>
      <c r="K56" s="1328" t="s">
        <v>843</v>
      </c>
      <c r="L56" s="1331">
        <f ca="1">IF(L48&lt;J51,"——",L48-J51)</f>
        <v>47.34</v>
      </c>
      <c r="O56" s="1325" t="s">
        <v>403</v>
      </c>
      <c r="P56" s="1326" t="s">
        <v>817</v>
      </c>
      <c r="Q56" s="1327">
        <f ca="1">C40+J29</f>
        <v>2389120</v>
      </c>
      <c r="R56" s="1327" t="s">
        <v>818</v>
      </c>
    </row>
    <row r="57" spans="1:18" s="1292" customFormat="1" ht="24.75" thickBot="1">
      <c r="A57" s="1356"/>
      <c r="B57" s="896" t="s">
        <v>767</v>
      </c>
      <c r="C57" s="230">
        <f ca="1">C29</f>
        <v>307035</v>
      </c>
      <c r="D57" s="1357"/>
      <c r="E57" s="1358"/>
      <c r="F57" s="1359"/>
      <c r="I57" s="1360" t="s">
        <v>844</v>
      </c>
      <c r="J57" s="1361" t="str">
        <f ca="1">IF(OR(M47="住宅",J51&lt;L48,J56="是"),"——",J51-L48)</f>
        <v>——</v>
      </c>
      <c r="K57" s="1328" t="s">
        <v>892</v>
      </c>
      <c r="L57" s="1331">
        <f ca="1">IF(L48&lt;J51,"——",IF(L55="比较法",L49,IF(L55="基准地价",L50,L51)))</f>
        <v>653612</v>
      </c>
      <c r="O57" s="1325" t="s">
        <v>404</v>
      </c>
      <c r="P57" s="1326" t="s">
        <v>893</v>
      </c>
      <c r="Q57" s="1327">
        <f ca="1">L60</f>
        <v>0</v>
      </c>
      <c r="R57" s="1327" t="s">
        <v>894</v>
      </c>
    </row>
    <row r="58" spans="1:18" s="1292" customFormat="1" ht="24.75" thickBot="1">
      <c r="A58" s="307" t="s">
        <v>393</v>
      </c>
      <c r="B58" s="904" t="s">
        <v>714</v>
      </c>
      <c r="C58" s="308">
        <f ca="1">ROUND(C59+C64+C65+C66,0)</f>
        <v>829</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2389120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614</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215</v>
      </c>
      <c r="D65" s="910" t="s">
        <v>743</v>
      </c>
      <c r="E65" s="896" t="s">
        <v>744</v>
      </c>
      <c r="F65" s="321">
        <f t="shared" ca="1" si="0"/>
        <v>1E-3</v>
      </c>
      <c r="I65" s="1367" t="s">
        <v>867</v>
      </c>
      <c r="J65" s="610">
        <v>40</v>
      </c>
      <c r="K65" s="610">
        <v>30</v>
      </c>
      <c r="L65" s="610">
        <v>50</v>
      </c>
      <c r="M65" s="1369">
        <v>0.02</v>
      </c>
      <c r="O65" s="1325" t="s">
        <v>403</v>
      </c>
      <c r="P65" s="1326" t="s">
        <v>868</v>
      </c>
      <c r="Q65" s="1327">
        <f ca="1">C40+J29</f>
        <v>2389120</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-829</v>
      </c>
      <c r="D67" s="909" t="s">
        <v>753</v>
      </c>
      <c r="E67" s="914"/>
      <c r="F67" s="915"/>
      <c r="O67" s="1334" t="s">
        <v>405</v>
      </c>
      <c r="P67" s="1326" t="s">
        <v>850</v>
      </c>
      <c r="Q67" s="1370">
        <f ca="1">L51</f>
        <v>653612</v>
      </c>
      <c r="R67" s="1327" t="s">
        <v>870</v>
      </c>
    </row>
    <row r="68" spans="1:18" s="1292" customFormat="1" ht="16.5" thickBot="1">
      <c r="A68" s="893" t="s">
        <v>395</v>
      </c>
      <c r="B68" s="894" t="s">
        <v>774</v>
      </c>
      <c r="C68" s="293">
        <f ca="1">ROUND(C67*(1-((1+F70)/(1+F68))^F69)/(F68-F70),0)</f>
        <v>-21350</v>
      </c>
      <c r="D68" s="911" t="s">
        <v>758</v>
      </c>
      <c r="E68" s="896" t="s">
        <v>759</v>
      </c>
      <c r="F68" s="304">
        <f ca="1">F40</f>
        <v>3.5000000000000003E-2</v>
      </c>
      <c r="O68" s="1334" t="s">
        <v>406</v>
      </c>
      <c r="P68" s="1371" t="s">
        <v>871</v>
      </c>
      <c r="Q68" s="1327">
        <f ca="1">ROUND(Q69-Q70*Q71,0)</f>
        <v>52448</v>
      </c>
      <c r="R68" s="1327" t="s">
        <v>414</v>
      </c>
    </row>
    <row r="69" spans="1:18" s="1292" customFormat="1" ht="13.5" thickBot="1">
      <c r="A69" s="897"/>
      <c r="B69" s="898"/>
      <c r="C69" s="298"/>
      <c r="D69" s="916" t="s">
        <v>762</v>
      </c>
      <c r="E69" s="896" t="s">
        <v>763</v>
      </c>
      <c r="F69" s="324">
        <f ca="1">F41</f>
        <v>67.34</v>
      </c>
      <c r="O69" s="1334" t="s">
        <v>411</v>
      </c>
      <c r="P69" s="1371" t="s">
        <v>872</v>
      </c>
      <c r="Q69" s="1327">
        <f ca="1">C39</f>
        <v>65343</v>
      </c>
      <c r="R69" s="1327" t="s">
        <v>818</v>
      </c>
    </row>
    <row r="70" spans="1:18" s="1292" customFormat="1" ht="13.5" thickBot="1">
      <c r="A70" s="900"/>
      <c r="B70" s="901"/>
      <c r="C70" s="302"/>
      <c r="D70" s="912"/>
      <c r="E70" s="896" t="s">
        <v>766</v>
      </c>
      <c r="F70" s="991"/>
      <c r="O70" s="1334" t="s">
        <v>412</v>
      </c>
      <c r="P70" s="1371" t="s">
        <v>873</v>
      </c>
      <c r="Q70" s="1327">
        <f ca="1">C13</f>
        <v>214925</v>
      </c>
      <c r="R70" s="1327" t="s">
        <v>818</v>
      </c>
    </row>
    <row r="71" spans="1:18" s="1292" customFormat="1" ht="13.5" thickBot="1">
      <c r="A71" s="917" t="s">
        <v>396</v>
      </c>
      <c r="B71" s="918" t="s">
        <v>776</v>
      </c>
      <c r="C71" s="327">
        <f ca="1">ROUND(C68/F71,0)</f>
        <v>-334</v>
      </c>
      <c r="D71" s="919" t="s">
        <v>777</v>
      </c>
      <c r="E71" s="920" t="s">
        <v>778</v>
      </c>
      <c r="F71" s="330">
        <f ca="1">F43</f>
        <v>63.97</v>
      </c>
      <c r="O71" s="1334" t="s">
        <v>413</v>
      </c>
      <c r="P71" s="1371" t="s">
        <v>874</v>
      </c>
      <c r="Q71" s="1337">
        <f ca="1">C76</f>
        <v>0.06</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12896</v>
      </c>
      <c r="D75" s="1292"/>
      <c r="E75" s="1292"/>
      <c r="F75" s="1292"/>
      <c r="K75" s="1309"/>
      <c r="L75" s="1292"/>
      <c r="O75" s="1325" t="s">
        <v>409</v>
      </c>
      <c r="P75" s="1326" t="s">
        <v>838</v>
      </c>
      <c r="Q75" s="1327">
        <f ca="1">Q65+Q66</f>
        <v>2389120</v>
      </c>
      <c r="R75" s="1327" t="s">
        <v>410</v>
      </c>
    </row>
    <row r="76" spans="1:18">
      <c r="B76" s="333" t="s">
        <v>796</v>
      </c>
      <c r="C76" s="334">
        <f ca="1">INDIRECT("'数据-取费表'!j"&amp;$G$1)</f>
        <v>0.06</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0.80299999999999994</v>
      </c>
    </row>
    <row r="80" spans="1:18">
      <c r="B80" s="331" t="s">
        <v>800</v>
      </c>
      <c r="C80" s="266">
        <f ca="1">ROUND(C75/C39,3)</f>
        <v>0.19700000000000001</v>
      </c>
    </row>
    <row r="81" spans="2:3">
      <c r="B81" s="262" t="s">
        <v>801</v>
      </c>
      <c r="C81" s="230"/>
    </row>
    <row r="82" spans="2:3">
      <c r="B82" s="265" t="s">
        <v>802</v>
      </c>
      <c r="C82" s="267">
        <f ca="1">1-C83</f>
        <v>0.91</v>
      </c>
    </row>
    <row r="83" spans="2:3">
      <c r="B83" s="265" t="s">
        <v>803</v>
      </c>
      <c r="C83" s="266">
        <f ca="1">ROUND(C13/C40,3)</f>
        <v>0.09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15" customHeight="1">
      <c r="A2" s="1293" t="s">
        <v>2315</v>
      </c>
      <c r="B2" s="2594" t="e">
        <f>IF(D2="——",C40,C40+E2)</f>
        <v>#DIV/0!</v>
      </c>
      <c r="C2" s="2595" t="s">
        <v>2316</v>
      </c>
      <c r="D2" s="3138" t="s">
        <v>3359</v>
      </c>
      <c r="E2" s="3139"/>
      <c r="F2" s="2597"/>
      <c r="G2" s="2598"/>
      <c r="H2" s="2599"/>
      <c r="I2" s="2600"/>
      <c r="J2" s="3352" t="s">
        <v>2317</v>
      </c>
      <c r="K2" s="3353"/>
      <c r="L2" s="2601" t="s">
        <v>2318</v>
      </c>
      <c r="M2" s="2601" t="s">
        <v>2319</v>
      </c>
      <c r="N2" s="2601" t="s">
        <v>2320</v>
      </c>
      <c r="O2" s="2601" t="s">
        <v>2321</v>
      </c>
      <c r="P2" s="2601" t="s">
        <v>2322</v>
      </c>
      <c r="Q2" s="2602" t="s">
        <v>2323</v>
      </c>
      <c r="R2" s="2603" t="s">
        <v>2324</v>
      </c>
      <c r="S2" s="2592"/>
      <c r="T2" s="2592"/>
      <c r="U2" s="2592"/>
      <c r="V2" s="2600"/>
    </row>
    <row r="3" spans="1:22" s="2604" customFormat="1" ht="13.15" customHeight="1">
      <c r="A3" s="2605" t="s">
        <v>2325</v>
      </c>
      <c r="B3" s="2606" t="e">
        <f>ROUND(B2*10000/B4,0)</f>
        <v>#DIV/0!</v>
      </c>
      <c r="C3" s="2595" t="s">
        <v>2326</v>
      </c>
      <c r="D3" s="2595"/>
      <c r="E3" s="2596"/>
      <c r="F3" s="2597"/>
      <c r="G3" s="2598"/>
      <c r="H3" s="2599"/>
      <c r="I3" s="2600"/>
      <c r="J3" s="3354" t="s">
        <v>2327</v>
      </c>
      <c r="K3" s="3355"/>
      <c r="L3" s="2607"/>
      <c r="M3" s="2607"/>
      <c r="N3" s="2607"/>
      <c r="O3" s="2607"/>
      <c r="P3" s="2607"/>
      <c r="Q3" s="2608"/>
      <c r="R3" s="2609">
        <f>SUM(L3:Q3)</f>
        <v>0</v>
      </c>
      <c r="S3" s="2592"/>
      <c r="T3" s="2592"/>
      <c r="U3" s="2592"/>
      <c r="V3" s="2600"/>
    </row>
    <row r="4" spans="1:22" s="2604" customFormat="1" ht="13.15" customHeight="1">
      <c r="A4" s="2610" t="s">
        <v>2328</v>
      </c>
      <c r="B4" s="2611"/>
      <c r="C4" s="2595"/>
      <c r="D4" s="2595"/>
      <c r="E4" s="2596"/>
      <c r="F4" s="2597"/>
      <c r="G4" s="2598"/>
      <c r="H4" s="2599"/>
      <c r="I4" s="2600"/>
      <c r="J4" s="3354" t="s">
        <v>2329</v>
      </c>
      <c r="K4" s="3355"/>
      <c r="L4" s="2612"/>
      <c r="M4" s="2612"/>
      <c r="N4" s="2612"/>
      <c r="O4" s="2612"/>
      <c r="P4" s="2612"/>
      <c r="Q4" s="2613"/>
      <c r="R4" s="2614">
        <f>SUM(L4:Q4)</f>
        <v>0</v>
      </c>
      <c r="S4" s="2592"/>
      <c r="T4" s="2592"/>
      <c r="U4" s="2592"/>
      <c r="V4" s="2600"/>
    </row>
    <row r="5" spans="1:22" s="2604" customFormat="1" ht="13.15"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15" customHeight="1" thickBot="1">
      <c r="A6" s="3356" t="s">
        <v>2333</v>
      </c>
      <c r="B6" s="3357"/>
      <c r="C6" s="3358"/>
      <c r="D6" s="2621"/>
      <c r="E6" s="2622"/>
      <c r="F6" s="2623"/>
      <c r="G6" s="2624"/>
      <c r="H6" s="2599"/>
      <c r="I6" s="2600"/>
      <c r="J6" s="3359">
        <v>1</v>
      </c>
      <c r="K6" s="3360"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15" customHeight="1">
      <c r="A7" s="2627" t="s">
        <v>2343</v>
      </c>
      <c r="B7" s="2628"/>
      <c r="C7" s="2629"/>
      <c r="D7" s="2630">
        <f>SUM(D9,D10,D11,D17,0)</f>
        <v>0</v>
      </c>
      <c r="E7" s="2631" t="e">
        <f>E9+E10+E11+E17</f>
        <v>#DIV/0!</v>
      </c>
      <c r="F7" s="2632"/>
      <c r="G7" s="2633"/>
      <c r="H7" s="2599"/>
      <c r="I7" s="2600"/>
      <c r="J7" s="3359"/>
      <c r="K7" s="3361"/>
      <c r="L7" s="2634" t="s">
        <v>2344</v>
      </c>
      <c r="M7" s="2635"/>
      <c r="N7" s="2611"/>
      <c r="O7" s="2636"/>
      <c r="P7" s="2636"/>
      <c r="Q7" s="2637">
        <v>365</v>
      </c>
      <c r="R7" s="2638">
        <f>ROUND(M7*N7*O7*P7*Q7/10000,0)</f>
        <v>0</v>
      </c>
      <c r="S7" s="2592"/>
      <c r="T7" s="2592" t="s">
        <v>2345</v>
      </c>
      <c r="U7" s="2592"/>
      <c r="V7" s="2600"/>
    </row>
    <row r="8" spans="1:22" s="2604" customFormat="1" ht="13.15" customHeight="1">
      <c r="A8" s="2639" t="s">
        <v>2346</v>
      </c>
      <c r="B8" s="3363" t="s">
        <v>2347</v>
      </c>
      <c r="C8" s="3364"/>
      <c r="D8" s="2640" t="s">
        <v>2348</v>
      </c>
      <c r="E8" s="2641" t="s">
        <v>2349</v>
      </c>
      <c r="F8" s="2642" t="s">
        <v>2350</v>
      </c>
      <c r="G8" s="2643"/>
      <c r="H8" s="2599"/>
      <c r="I8" s="2600"/>
      <c r="J8" s="3359"/>
      <c r="K8" s="3361"/>
      <c r="L8" s="2634" t="s">
        <v>2351</v>
      </c>
      <c r="M8" s="2635"/>
      <c r="N8" s="2611"/>
      <c r="O8" s="2636"/>
      <c r="P8" s="2636"/>
      <c r="Q8" s="2637">
        <v>365</v>
      </c>
      <c r="R8" s="2638">
        <f t="shared" ref="R8:R13" si="0">ROUND(M8*N8*O8*P8*Q8/10000,0)</f>
        <v>0</v>
      </c>
      <c r="S8" s="2592"/>
      <c r="T8" s="2592" t="s">
        <v>2352</v>
      </c>
      <c r="U8" s="2592"/>
      <c r="V8" s="2600"/>
    </row>
    <row r="9" spans="1:22" s="2604" customFormat="1" ht="13.15" customHeight="1">
      <c r="A9" s="2639">
        <v>1</v>
      </c>
      <c r="B9" s="3363" t="s">
        <v>2353</v>
      </c>
      <c r="C9" s="3364"/>
      <c r="D9" s="2640">
        <f>ROUND(D6*E9,0)</f>
        <v>0</v>
      </c>
      <c r="E9" s="2644"/>
      <c r="F9" s="2645" t="s">
        <v>2354</v>
      </c>
      <c r="G9" s="2624"/>
      <c r="H9" s="2599"/>
      <c r="I9" s="2600"/>
      <c r="J9" s="3359"/>
      <c r="K9" s="3361"/>
      <c r="L9" s="2634" t="s">
        <v>2355</v>
      </c>
      <c r="M9" s="2635"/>
      <c r="N9" s="2611"/>
      <c r="O9" s="2636"/>
      <c r="P9" s="2636"/>
      <c r="Q9" s="2637">
        <v>365</v>
      </c>
      <c r="R9" s="2638">
        <f t="shared" si="0"/>
        <v>0</v>
      </c>
      <c r="S9" s="2592"/>
      <c r="T9" s="2592"/>
      <c r="U9" s="2592"/>
      <c r="V9" s="2600"/>
    </row>
    <row r="10" spans="1:22" s="2604" customFormat="1" ht="13.15" customHeight="1">
      <c r="A10" s="2639">
        <v>2</v>
      </c>
      <c r="B10" s="3363" t="s">
        <v>2356</v>
      </c>
      <c r="C10" s="3364"/>
      <c r="D10" s="2640">
        <f>ROUND(D6*E10,0)</f>
        <v>0</v>
      </c>
      <c r="E10" s="2644"/>
      <c r="F10" s="2645" t="s">
        <v>2357</v>
      </c>
      <c r="G10" s="2624"/>
      <c r="H10" s="2599"/>
      <c r="I10" s="2600"/>
      <c r="J10" s="3359"/>
      <c r="K10" s="3361"/>
      <c r="L10" s="2634" t="s">
        <v>2358</v>
      </c>
      <c r="M10" s="2635"/>
      <c r="N10" s="2611"/>
      <c r="O10" s="2636"/>
      <c r="P10" s="2636"/>
      <c r="Q10" s="2637">
        <v>365</v>
      </c>
      <c r="R10" s="2638">
        <f t="shared" si="0"/>
        <v>0</v>
      </c>
      <c r="S10" s="2592"/>
      <c r="T10" s="2592"/>
      <c r="U10" s="2592"/>
      <c r="V10" s="2600"/>
    </row>
    <row r="11" spans="1:22" s="2604" customFormat="1" ht="13.15" customHeight="1">
      <c r="A11" s="2639">
        <v>3</v>
      </c>
      <c r="B11" s="3363" t="s">
        <v>2359</v>
      </c>
      <c r="C11" s="3364"/>
      <c r="D11" s="2640">
        <f>D12+D14+D15+D16</f>
        <v>0</v>
      </c>
      <c r="E11" s="2646" t="e">
        <f>D11/D6</f>
        <v>#DIV/0!</v>
      </c>
      <c r="F11" s="2642"/>
      <c r="G11" s="2643"/>
      <c r="H11" s="2599"/>
      <c r="I11" s="2600"/>
      <c r="J11" s="3359"/>
      <c r="K11" s="3361"/>
      <c r="L11" s="2634" t="s">
        <v>2360</v>
      </c>
      <c r="M11" s="2635"/>
      <c r="N11" s="2611"/>
      <c r="O11" s="2636"/>
      <c r="P11" s="2636"/>
      <c r="Q11" s="2637">
        <v>365</v>
      </c>
      <c r="R11" s="2638">
        <f t="shared" si="0"/>
        <v>0</v>
      </c>
      <c r="S11" s="2592"/>
      <c r="T11" s="2592"/>
      <c r="U11" s="2592"/>
      <c r="V11" s="2600"/>
    </row>
    <row r="12" spans="1:22" s="2604" customFormat="1" ht="13.15" customHeight="1">
      <c r="A12" s="2647" t="s">
        <v>2361</v>
      </c>
      <c r="B12" s="3365" t="s">
        <v>2362</v>
      </c>
      <c r="C12" s="3366"/>
      <c r="D12" s="2648">
        <f>ROUND(D13*1.2%*(1-30%),0)</f>
        <v>0</v>
      </c>
      <c r="E12" s="2649">
        <v>1.2E-2</v>
      </c>
      <c r="F12" s="2642" t="s">
        <v>2363</v>
      </c>
      <c r="G12" s="2643"/>
      <c r="H12" s="2599"/>
      <c r="I12" s="2600"/>
      <c r="J12" s="3359"/>
      <c r="K12" s="3361"/>
      <c r="L12" s="2634" t="s">
        <v>2364</v>
      </c>
      <c r="M12" s="2635"/>
      <c r="N12" s="2611"/>
      <c r="O12" s="2636"/>
      <c r="P12" s="2636"/>
      <c r="Q12" s="2637">
        <v>365</v>
      </c>
      <c r="R12" s="2638">
        <f t="shared" si="0"/>
        <v>0</v>
      </c>
      <c r="S12" s="2592"/>
      <c r="T12" s="2592"/>
      <c r="U12" s="2592"/>
      <c r="V12" s="2600"/>
    </row>
    <row r="13" spans="1:22" s="2604" customFormat="1" ht="13.15" customHeight="1">
      <c r="A13" s="2647"/>
      <c r="B13" s="2650"/>
      <c r="C13" s="2651" t="s">
        <v>2365</v>
      </c>
      <c r="D13" s="2652"/>
      <c r="E13" s="2653"/>
      <c r="F13" s="2642"/>
      <c r="G13" s="2643"/>
      <c r="H13" s="2599"/>
      <c r="I13" s="2600"/>
      <c r="J13" s="3359"/>
      <c r="K13" s="3361"/>
      <c r="L13" s="2634" t="s">
        <v>2366</v>
      </c>
      <c r="M13" s="2635"/>
      <c r="N13" s="2611"/>
      <c r="O13" s="2636"/>
      <c r="P13" s="2636"/>
      <c r="Q13" s="2637">
        <v>365</v>
      </c>
      <c r="R13" s="2638">
        <f t="shared" si="0"/>
        <v>0</v>
      </c>
      <c r="S13" s="2592"/>
      <c r="T13" s="2592"/>
      <c r="U13" s="2592"/>
      <c r="V13" s="2600"/>
    </row>
    <row r="14" spans="1:22" s="2604" customFormat="1" ht="13.15" customHeight="1">
      <c r="A14" s="2647" t="s">
        <v>2367</v>
      </c>
      <c r="B14" s="3365" t="s">
        <v>2368</v>
      </c>
      <c r="C14" s="3366"/>
      <c r="D14" s="2648">
        <f>ROUND(E14*B5/10000,0)</f>
        <v>0</v>
      </c>
      <c r="E14" s="2637"/>
      <c r="F14" s="2642" t="s">
        <v>2369</v>
      </c>
      <c r="G14" s="2643"/>
      <c r="H14" s="2599"/>
      <c r="I14" s="2600"/>
      <c r="J14" s="3359"/>
      <c r="K14" s="3362"/>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2371</v>
      </c>
      <c r="B15" s="3365" t="s">
        <v>2372</v>
      </c>
      <c r="C15" s="3366"/>
      <c r="D15" s="2648">
        <f>ROUND(D6*E15,0)</f>
        <v>0</v>
      </c>
      <c r="E15" s="2649">
        <v>5.5E-2</v>
      </c>
      <c r="F15" s="2642" t="s">
        <v>2373</v>
      </c>
      <c r="G15" s="2624"/>
      <c r="H15" s="2599"/>
      <c r="I15" s="2600"/>
      <c r="J15" s="3359">
        <v>2</v>
      </c>
      <c r="K15" s="3360"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15" customHeight="1">
      <c r="A16" s="2647" t="s">
        <v>2380</v>
      </c>
      <c r="B16" s="3365" t="s">
        <v>2381</v>
      </c>
      <c r="C16" s="3366"/>
      <c r="D16" s="2659">
        <f>D6*E16</f>
        <v>0</v>
      </c>
      <c r="E16" s="2660"/>
      <c r="F16" s="2645" t="s">
        <v>2382</v>
      </c>
      <c r="G16" s="2624"/>
      <c r="H16" s="2599"/>
      <c r="I16" s="2600"/>
      <c r="J16" s="3359"/>
      <c r="K16" s="3361"/>
      <c r="L16" s="2634" t="s">
        <v>2383</v>
      </c>
      <c r="M16" s="2635"/>
      <c r="N16" s="2635"/>
      <c r="O16" s="2636"/>
      <c r="P16" s="2637">
        <v>365</v>
      </c>
      <c r="Q16" s="2611"/>
      <c r="R16" s="2658">
        <f>ROUND(M16*N16*O16*P16/10000,0)</f>
        <v>0</v>
      </c>
      <c r="S16" s="2592"/>
      <c r="T16" s="2592"/>
      <c r="U16" s="2592"/>
      <c r="V16" s="2600"/>
    </row>
    <row r="17" spans="1:22" s="2604" customFormat="1" ht="13.15" customHeight="1" thickBot="1">
      <c r="A17" s="2661">
        <v>4</v>
      </c>
      <c r="B17" s="3367" t="s">
        <v>2384</v>
      </c>
      <c r="C17" s="3368"/>
      <c r="D17" s="2662">
        <f>ROUND(D6*E17,0)</f>
        <v>0</v>
      </c>
      <c r="E17" s="2663"/>
      <c r="F17" s="2664" t="s">
        <v>2385</v>
      </c>
      <c r="G17" s="2624"/>
      <c r="H17" s="2599"/>
      <c r="I17" s="2600"/>
      <c r="J17" s="3359"/>
      <c r="K17" s="3361"/>
      <c r="L17" s="2634" t="s">
        <v>2386</v>
      </c>
      <c r="M17" s="2635"/>
      <c r="N17" s="2635"/>
      <c r="O17" s="2636"/>
      <c r="P17" s="2637">
        <v>365</v>
      </c>
      <c r="Q17" s="2611"/>
      <c r="R17" s="2658">
        <f>ROUND(M17*N17*O17*P17/10000,0)</f>
        <v>0</v>
      </c>
      <c r="S17" s="2592"/>
      <c r="T17" s="2592"/>
      <c r="U17" s="2592"/>
      <c r="V17" s="2600"/>
    </row>
    <row r="18" spans="1:22" s="2604" customFormat="1" ht="13.15" customHeight="1" thickBot="1">
      <c r="A18" s="2627" t="s">
        <v>2387</v>
      </c>
      <c r="B18" s="2628"/>
      <c r="C18" s="2628"/>
      <c r="D18" s="2665">
        <f>ROUND(D6*E18,0)</f>
        <v>0</v>
      </c>
      <c r="E18" s="2666"/>
      <c r="F18" s="2667" t="s">
        <v>2388</v>
      </c>
      <c r="G18" s="2624"/>
      <c r="H18" s="2599"/>
      <c r="I18" s="2600"/>
      <c r="J18" s="3359"/>
      <c r="K18" s="3361"/>
      <c r="L18" s="2634" t="s">
        <v>2389</v>
      </c>
      <c r="M18" s="2635"/>
      <c r="N18" s="2635"/>
      <c r="O18" s="2636"/>
      <c r="P18" s="2637">
        <v>365</v>
      </c>
      <c r="Q18" s="2611"/>
      <c r="R18" s="2658">
        <f>ROUND(M18*N18*O18*P18/10000,0)</f>
        <v>0</v>
      </c>
      <c r="S18" s="2592"/>
      <c r="T18" s="2592"/>
      <c r="U18" s="2592"/>
      <c r="V18" s="2600"/>
    </row>
    <row r="19" spans="1:22" s="2604" customFormat="1" ht="13.15" customHeight="1" thickBot="1">
      <c r="A19" s="2668" t="s">
        <v>2390</v>
      </c>
      <c r="B19" s="2622"/>
      <c r="C19" s="2622"/>
      <c r="D19" s="2622"/>
      <c r="E19" s="2622"/>
      <c r="F19" s="2623"/>
      <c r="G19" s="2643"/>
      <c r="H19" s="2599"/>
      <c r="I19" s="2600"/>
      <c r="J19" s="3359"/>
      <c r="K19" s="3362"/>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59">
        <v>3</v>
      </c>
      <c r="K20" s="3360"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15" customHeight="1">
      <c r="A21" s="2627"/>
      <c r="B21" s="2628"/>
      <c r="C21" s="2673" t="s">
        <v>2399</v>
      </c>
      <c r="D21" s="2674" t="s">
        <v>2400</v>
      </c>
      <c r="E21" s="2675" t="s">
        <v>2401</v>
      </c>
      <c r="F21" s="2671"/>
      <c r="G21" s="2643"/>
      <c r="H21" s="2599"/>
      <c r="I21" s="2600"/>
      <c r="J21" s="3359"/>
      <c r="K21" s="3361"/>
      <c r="L21" s="2634" t="s">
        <v>2402</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2403</v>
      </c>
      <c r="D22" s="2678" t="s">
        <v>2404</v>
      </c>
      <c r="E22" s="2679" t="s">
        <v>2405</v>
      </c>
      <c r="F22" s="2671"/>
      <c r="G22" s="2592"/>
      <c r="H22" s="2599"/>
      <c r="I22" s="2600"/>
      <c r="J22" s="3359"/>
      <c r="K22" s="3361"/>
      <c r="L22" s="2634" t="s">
        <v>2406</v>
      </c>
      <c r="M22" s="2635"/>
      <c r="N22" s="2635"/>
      <c r="O22" s="2636"/>
      <c r="P22" s="2637">
        <v>365</v>
      </c>
      <c r="Q22" s="2611"/>
      <c r="R22" s="2676">
        <f>ROUND(M22*N22*O22*P22/10000,0)</f>
        <v>0</v>
      </c>
      <c r="S22" s="2592"/>
      <c r="T22" s="2592"/>
      <c r="U22" s="2592"/>
      <c r="V22" s="2600"/>
    </row>
    <row r="23" spans="1:22" s="2604" customFormat="1" ht="13.15" customHeight="1">
      <c r="A23" s="2680">
        <v>1</v>
      </c>
      <c r="B23" s="2681" t="s">
        <v>2407</v>
      </c>
      <c r="C23" s="2682">
        <f>D6</f>
        <v>0</v>
      </c>
      <c r="D23" s="2683">
        <f>C23*(1+D24)</f>
        <v>0</v>
      </c>
      <c r="E23" s="2684">
        <f>D23*(1+E24)</f>
        <v>0</v>
      </c>
      <c r="F23" s="2685"/>
      <c r="G23" s="2686"/>
      <c r="H23" s="2599"/>
      <c r="I23" s="2600"/>
      <c r="J23" s="3359"/>
      <c r="K23" s="3361"/>
      <c r="L23" s="2634" t="s">
        <v>2408</v>
      </c>
      <c r="M23" s="2635"/>
      <c r="N23" s="2635"/>
      <c r="O23" s="2636"/>
      <c r="P23" s="2637">
        <v>365</v>
      </c>
      <c r="Q23" s="2611"/>
      <c r="R23" s="2676">
        <f>ROUND(M23*N23*O23*P23/10000,0)</f>
        <v>0</v>
      </c>
      <c r="S23" s="2592"/>
      <c r="T23" s="2592"/>
      <c r="U23" s="2592"/>
      <c r="V23" s="2600"/>
    </row>
    <row r="24" spans="1:22" s="2604" customFormat="1" ht="13.15" customHeight="1">
      <c r="A24" s="2687"/>
      <c r="B24" s="2688" t="s">
        <v>2409</v>
      </c>
      <c r="C24" s="2689"/>
      <c r="D24" s="2690"/>
      <c r="E24" s="2691"/>
      <c r="F24" s="2692"/>
      <c r="G24" s="2686"/>
      <c r="H24" s="2599"/>
      <c r="I24" s="2600"/>
      <c r="J24" s="3359"/>
      <c r="K24" s="3362"/>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15" customHeight="1">
      <c r="A26" s="2680">
        <v>2</v>
      </c>
      <c r="B26" s="2681" t="s">
        <v>2411</v>
      </c>
      <c r="C26" s="2682">
        <f>D7</f>
        <v>0</v>
      </c>
      <c r="D26" s="2683">
        <f>D23*D27</f>
        <v>0</v>
      </c>
      <c r="E26" s="2684">
        <f>E23*E27</f>
        <v>0</v>
      </c>
      <c r="F26" s="2685"/>
      <c r="G26" s="2686"/>
      <c r="H26" s="2599"/>
      <c r="I26" s="2600"/>
      <c r="J26" s="3369">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15" customHeight="1">
      <c r="A27" s="2687"/>
      <c r="B27" s="2688" t="s">
        <v>2417</v>
      </c>
      <c r="C27" s="2705" t="e">
        <f>E7</f>
        <v>#DIV/0!</v>
      </c>
      <c r="D27" s="2690"/>
      <c r="E27" s="2691"/>
      <c r="F27" s="2692"/>
      <c r="G27" s="2686"/>
      <c r="H27" s="2706"/>
      <c r="I27" s="2698"/>
      <c r="J27" s="3370"/>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15"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15" customHeight="1">
      <c r="A32" s="2680">
        <v>4</v>
      </c>
      <c r="B32" s="2681" t="s">
        <v>2425</v>
      </c>
      <c r="C32" s="2682">
        <f>C23-C26-C29</f>
        <v>0</v>
      </c>
      <c r="D32" s="2683">
        <f>D23-D26-D29</f>
        <v>0</v>
      </c>
      <c r="E32" s="2684">
        <f>E23-E26-E29</f>
        <v>0</v>
      </c>
      <c r="F32" s="2685"/>
      <c r="G32" s="2592"/>
      <c r="H32" s="2599"/>
      <c r="I32" s="2600"/>
      <c r="J32" s="3352" t="s">
        <v>2317</v>
      </c>
      <c r="K32" s="3353"/>
      <c r="L32" s="2601" t="s">
        <v>2318</v>
      </c>
      <c r="M32" s="2601" t="s">
        <v>2319</v>
      </c>
      <c r="N32" s="2601" t="s">
        <v>2320</v>
      </c>
      <c r="O32" s="2601" t="s">
        <v>2321</v>
      </c>
      <c r="P32" s="2601" t="s">
        <v>2322</v>
      </c>
      <c r="Q32" s="2602" t="s">
        <v>2323</v>
      </c>
      <c r="R32" s="2721" t="s">
        <v>2324</v>
      </c>
      <c r="S32" s="2592"/>
      <c r="T32" s="2592"/>
      <c r="U32" s="2592"/>
      <c r="V32" s="2698"/>
    </row>
    <row r="33" spans="1:23" s="2604" customFormat="1" ht="13.15" customHeight="1">
      <c r="A33" s="2680"/>
      <c r="B33" s="2681"/>
      <c r="C33" s="2682"/>
      <c r="D33" s="2722"/>
      <c r="E33" s="2723"/>
      <c r="F33" s="2685"/>
      <c r="G33" s="2592"/>
      <c r="H33" s="2706"/>
      <c r="I33" s="2698"/>
      <c r="J33" s="3354" t="s">
        <v>2327</v>
      </c>
      <c r="K33" s="3355"/>
      <c r="L33" s="2607"/>
      <c r="M33" s="2607"/>
      <c r="N33" s="2607"/>
      <c r="O33" s="2607"/>
      <c r="P33" s="2607"/>
      <c r="Q33" s="2608"/>
      <c r="R33" s="2724">
        <f>SUM(L33:Q33)</f>
        <v>0</v>
      </c>
      <c r="S33" s="2592"/>
      <c r="T33" s="2592"/>
      <c r="U33" s="2592"/>
      <c r="V33" s="2600"/>
    </row>
    <row r="34" spans="1:23" s="2604" customFormat="1" ht="13.15" customHeight="1">
      <c r="A34" s="2680">
        <v>5</v>
      </c>
      <c r="B34" s="2681" t="s">
        <v>2426</v>
      </c>
      <c r="C34" s="2725"/>
      <c r="D34" s="2726"/>
      <c r="E34" s="2727"/>
      <c r="F34" s="2685"/>
      <c r="G34" s="2592"/>
      <c r="H34" s="2706"/>
      <c r="I34" s="2698"/>
      <c r="J34" s="3354" t="s">
        <v>2329</v>
      </c>
      <c r="K34" s="3355"/>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15" customHeight="1" thickBot="1">
      <c r="A36" s="2680">
        <v>7</v>
      </c>
      <c r="B36" s="2734" t="s">
        <v>2428</v>
      </c>
      <c r="C36" s="2735"/>
      <c r="D36" s="2736"/>
      <c r="E36" s="2737"/>
      <c r="F36" s="2738">
        <f>C36+D36+E36</f>
        <v>0</v>
      </c>
      <c r="G36" s="2592"/>
      <c r="H36" s="2599"/>
      <c r="I36" s="2600"/>
      <c r="J36" s="3359">
        <v>1</v>
      </c>
      <c r="K36" s="3360" t="s">
        <v>2429</v>
      </c>
      <c r="L36" s="2625"/>
      <c r="M36" s="2626"/>
      <c r="N36" s="2626"/>
      <c r="O36" s="2626"/>
      <c r="P36" s="2626"/>
      <c r="Q36" s="2626"/>
      <c r="R36" s="2609" t="s">
        <v>2341</v>
      </c>
      <c r="S36" s="2592"/>
      <c r="T36" s="2592" t="s">
        <v>2342</v>
      </c>
      <c r="U36" s="2592"/>
      <c r="V36" s="2600"/>
    </row>
    <row r="37" spans="1:23" s="2604" customFormat="1" ht="13.15" customHeight="1">
      <c r="A37" s="2680"/>
      <c r="B37" s="2681"/>
      <c r="C37" s="2681"/>
      <c r="D37" s="2681"/>
      <c r="E37" s="2681"/>
      <c r="F37" s="2685"/>
      <c r="G37" s="2592"/>
      <c r="H37" s="2599"/>
      <c r="I37" s="2600"/>
      <c r="J37" s="3359"/>
      <c r="K37" s="3361"/>
      <c r="L37" s="2634"/>
      <c r="M37" s="2635"/>
      <c r="N37" s="2611"/>
      <c r="O37" s="2636"/>
      <c r="P37" s="2636"/>
      <c r="Q37" s="2637"/>
      <c r="R37" s="2638"/>
      <c r="S37" s="2592"/>
      <c r="T37" s="2592" t="s">
        <v>2345</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59"/>
      <c r="K38" s="3361"/>
      <c r="L38" s="2634"/>
      <c r="M38" s="2635"/>
      <c r="N38" s="2611"/>
      <c r="O38" s="2636"/>
      <c r="P38" s="2636"/>
      <c r="Q38" s="2637"/>
      <c r="R38" s="2638"/>
      <c r="S38" s="2592"/>
      <c r="T38" s="2592" t="s">
        <v>2352</v>
      </c>
      <c r="U38" s="2592"/>
      <c r="V38" s="2600"/>
    </row>
    <row r="39" spans="1:23" s="2604" customFormat="1" ht="13.15" customHeight="1">
      <c r="A39" s="2680">
        <v>9</v>
      </c>
      <c r="B39" s="2681" t="s">
        <v>2430</v>
      </c>
      <c r="C39" s="2648" t="e">
        <f>C38</f>
        <v>#DIV/0!</v>
      </c>
      <c r="D39" s="2681">
        <f>D38/(1+D34)^C36</f>
        <v>0</v>
      </c>
      <c r="E39" s="2681">
        <f>E38/(1+E34)^(C36+D36)</f>
        <v>0</v>
      </c>
      <c r="F39" s="2685"/>
      <c r="G39" s="2600"/>
      <c r="H39" s="2599"/>
      <c r="I39" s="2600"/>
      <c r="J39" s="3359"/>
      <c r="K39" s="3361"/>
      <c r="L39" s="2634"/>
      <c r="M39" s="2635"/>
      <c r="N39" s="2611"/>
      <c r="O39" s="2636"/>
      <c r="P39" s="2636"/>
      <c r="Q39" s="2637"/>
      <c r="R39" s="2638"/>
      <c r="S39" s="2592"/>
      <c r="T39" s="2592"/>
      <c r="U39" s="2592"/>
      <c r="V39" s="2600"/>
    </row>
    <row r="40" spans="1:23" s="2604" customFormat="1" ht="13.15" customHeight="1">
      <c r="A40" s="2739">
        <v>10</v>
      </c>
      <c r="B40" s="2681" t="s">
        <v>2431</v>
      </c>
      <c r="C40" s="2740" t="e">
        <f>C39+D39+E39</f>
        <v>#DIV/0!</v>
      </c>
      <c r="D40" s="2741"/>
      <c r="E40" s="2741"/>
      <c r="F40" s="2742"/>
      <c r="G40" s="2592"/>
      <c r="H40" s="2599"/>
      <c r="I40" s="2600"/>
      <c r="J40" s="3359"/>
      <c r="K40" s="3362"/>
      <c r="L40" s="2654" t="s">
        <v>2370</v>
      </c>
      <c r="M40" s="2655"/>
      <c r="N40" s="2655"/>
      <c r="O40" s="2656"/>
      <c r="P40" s="2656"/>
      <c r="Q40" s="2657"/>
      <c r="R40" s="2603">
        <f>SUM(R37:R39)</f>
        <v>0</v>
      </c>
      <c r="S40" s="2592"/>
      <c r="T40" s="2592"/>
      <c r="U40" s="2592"/>
      <c r="V40" s="2600"/>
    </row>
    <row r="41" spans="1:23" s="2604" customFormat="1" ht="13.15"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15" customHeight="1">
      <c r="G42" s="2599"/>
      <c r="H42" s="2599"/>
      <c r="I42" s="2600"/>
      <c r="J42" s="3369">
        <v>3</v>
      </c>
      <c r="K42" s="2700" t="s">
        <v>2412</v>
      </c>
      <c r="L42" s="2701"/>
      <c r="M42" s="2702"/>
      <c r="N42" s="2703" t="s">
        <v>2413</v>
      </c>
      <c r="O42" s="2703" t="s">
        <v>2414</v>
      </c>
      <c r="P42" s="2704" t="s">
        <v>2415</v>
      </c>
      <c r="Q42" s="2704" t="s">
        <v>2416</v>
      </c>
      <c r="R42" s="2609" t="s">
        <v>2341</v>
      </c>
      <c r="S42" s="2643"/>
      <c r="T42" s="2643"/>
      <c r="U42" s="2592"/>
      <c r="V42" s="2600"/>
    </row>
    <row r="43" spans="1:23" ht="13.15" customHeight="1">
      <c r="A43" s="2604"/>
      <c r="B43" s="2604"/>
      <c r="C43" s="2604"/>
      <c r="D43" s="2604"/>
      <c r="E43" s="2604"/>
      <c r="F43" s="2604"/>
      <c r="I43" s="2587"/>
      <c r="J43" s="3370"/>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238.91200000000001</v>
      </c>
      <c r="C2" s="1729" t="s">
        <v>1651</v>
      </c>
      <c r="D2" s="1730" t="s">
        <v>1652</v>
      </c>
      <c r="E2" s="2392">
        <f>SUM(E6:E13)</f>
        <v>63.97</v>
      </c>
      <c r="F2" s="2479"/>
      <c r="G2" s="459"/>
      <c r="H2" s="459"/>
      <c r="I2" s="459"/>
      <c r="J2" s="459"/>
      <c r="K2" s="459"/>
      <c r="L2" s="459"/>
      <c r="M2" s="459"/>
      <c r="N2" s="459"/>
      <c r="O2" s="459"/>
      <c r="P2" s="459"/>
      <c r="Q2" s="459"/>
      <c r="R2" s="459"/>
      <c r="S2" s="459"/>
    </row>
    <row r="3" spans="1:22" ht="15.75">
      <c r="A3" s="1728" t="s">
        <v>686</v>
      </c>
      <c r="B3" s="2386">
        <f ca="1">ROUND(B2*10000/E2,0)</f>
        <v>37348</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371" t="s">
        <v>1654</v>
      </c>
      <c r="C5" s="3372"/>
      <c r="D5" s="2480"/>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238.91200000000001</v>
      </c>
      <c r="C6" s="1729" t="s">
        <v>1651</v>
      </c>
      <c r="D6" s="2479"/>
      <c r="E6" s="2391">
        <f>IF(OR(A6=0,F6="否"),0,'数据-取费表'!K6+'数据-取费表'!S6)</f>
        <v>63.97</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0"/>
      <c r="Q1" s="1801"/>
      <c r="R1" s="1801"/>
      <c r="S1" s="1801"/>
      <c r="T1" s="1801"/>
      <c r="U1" s="1801"/>
      <c r="V1" s="1801"/>
      <c r="W1" s="1801"/>
      <c r="X1" s="1801"/>
      <c r="Y1" s="1801"/>
      <c r="Z1" s="1801"/>
      <c r="AA1" s="1801"/>
      <c r="AB1" s="1801"/>
      <c r="AC1" s="1802"/>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63.97</v>
      </c>
      <c r="E3" s="1804"/>
      <c r="F3" s="856"/>
      <c r="G3" s="855"/>
      <c r="H3" s="855"/>
      <c r="I3" s="855"/>
      <c r="J3" s="855"/>
      <c r="K3" s="857"/>
      <c r="L3" s="2503"/>
      <c r="M3" s="2504"/>
      <c r="N3" s="2504"/>
      <c r="O3" s="2504"/>
      <c r="P3" s="1803"/>
      <c r="Q3" s="859"/>
      <c r="R3" s="859"/>
      <c r="S3" s="859"/>
      <c r="T3" s="859"/>
      <c r="U3" s="859"/>
      <c r="V3" s="859"/>
      <c r="W3" s="859"/>
      <c r="X3" s="859"/>
      <c r="Y3" s="859"/>
      <c r="Z3" s="859"/>
      <c r="AA3" s="859"/>
      <c r="AB3" s="859"/>
      <c r="AC3" s="1804"/>
    </row>
    <row r="4" spans="1:29" ht="15">
      <c r="A4" s="345" t="s">
        <v>1769</v>
      </c>
      <c r="B4" s="346"/>
      <c r="C4" s="3391" t="s">
        <v>1770</v>
      </c>
      <c r="D4" s="3392"/>
      <c r="E4" s="3393" t="s">
        <v>1771</v>
      </c>
      <c r="F4" s="3394"/>
      <c r="G4" s="3391" t="s">
        <v>1772</v>
      </c>
      <c r="H4" s="3392"/>
      <c r="I4" s="3391" t="s">
        <v>1773</v>
      </c>
      <c r="J4" s="3392"/>
      <c r="K4" s="537" t="s">
        <v>1774</v>
      </c>
      <c r="L4" s="2486"/>
      <c r="M4" s="2487"/>
      <c r="N4" s="2487"/>
      <c r="O4" s="2487"/>
      <c r="P4" s="3395" t="s">
        <v>1775</v>
      </c>
      <c r="Q4" s="3396"/>
      <c r="R4" s="3378" t="s">
        <v>1771</v>
      </c>
      <c r="S4" s="3379"/>
      <c r="T4" s="3378" t="s">
        <v>1772</v>
      </c>
      <c r="U4" s="3379"/>
      <c r="V4" s="3403" t="s">
        <v>1773</v>
      </c>
      <c r="W4" s="3403"/>
      <c r="X4" s="1265"/>
      <c r="Y4" s="3378" t="s">
        <v>1775</v>
      </c>
      <c r="Z4" s="3379"/>
      <c r="AA4" s="3373" t="s">
        <v>1771</v>
      </c>
      <c r="AB4" s="3403" t="s">
        <v>1772</v>
      </c>
      <c r="AC4" s="3373" t="s">
        <v>1773</v>
      </c>
    </row>
    <row r="5" spans="1:29" ht="15">
      <c r="A5" s="348"/>
      <c r="B5" s="349"/>
      <c r="C5" s="3384" t="s">
        <v>1673</v>
      </c>
      <c r="D5" s="3385"/>
      <c r="E5" s="3382" t="s">
        <v>1674</v>
      </c>
      <c r="F5" s="3383"/>
      <c r="G5" s="3384" t="s">
        <v>1675</v>
      </c>
      <c r="H5" s="3385"/>
      <c r="I5" s="3384" t="s">
        <v>1676</v>
      </c>
      <c r="J5" s="3385"/>
      <c r="K5" s="537"/>
      <c r="L5" s="2486"/>
      <c r="M5" s="2487"/>
      <c r="N5" s="2487"/>
      <c r="O5" s="2487"/>
      <c r="P5" s="3397"/>
      <c r="Q5" s="3398"/>
      <c r="R5" s="3380"/>
      <c r="S5" s="3381"/>
      <c r="T5" s="3380"/>
      <c r="U5" s="3381"/>
      <c r="V5" s="3403"/>
      <c r="W5" s="3403"/>
      <c r="X5" s="1265"/>
      <c r="Y5" s="3380"/>
      <c r="Z5" s="3381"/>
      <c r="AA5" s="3374"/>
      <c r="AB5" s="3403"/>
      <c r="AC5" s="3374"/>
    </row>
    <row r="6" spans="1:29" ht="15.75" thickBot="1">
      <c r="A6" s="350"/>
      <c r="B6" s="351"/>
      <c r="C6" s="3386" t="s">
        <v>1677</v>
      </c>
      <c r="D6" s="3387"/>
      <c r="E6" s="3388" t="s">
        <v>1677</v>
      </c>
      <c r="F6" s="3389"/>
      <c r="G6" s="3386" t="s">
        <v>1677</v>
      </c>
      <c r="H6" s="3387"/>
      <c r="I6" s="3386" t="s">
        <v>1677</v>
      </c>
      <c r="J6" s="3387"/>
      <c r="K6" s="537" t="s">
        <v>1678</v>
      </c>
      <c r="L6" s="2486"/>
      <c r="M6" s="2487"/>
      <c r="N6" s="2487"/>
      <c r="O6" s="2487"/>
      <c r="P6" s="3399"/>
      <c r="Q6" s="3400"/>
      <c r="R6" s="3380"/>
      <c r="S6" s="3381"/>
      <c r="T6" s="3401"/>
      <c r="U6" s="3402"/>
      <c r="V6" s="3403"/>
      <c r="W6" s="3403"/>
      <c r="X6" s="1265"/>
      <c r="Y6" s="3401"/>
      <c r="Z6" s="3402"/>
      <c r="AA6" s="3375"/>
      <c r="AB6" s="3403"/>
      <c r="AC6" s="3375"/>
    </row>
    <row r="7" spans="1:29" s="102" customFormat="1" ht="15.75" thickBot="1">
      <c r="A7" s="352" t="s">
        <v>1679</v>
      </c>
      <c r="B7" s="353"/>
      <c r="C7" s="354">
        <f>'数据-取费表'!B2</f>
        <v>45812</v>
      </c>
      <c r="D7" s="355">
        <v>100</v>
      </c>
      <c r="E7" s="356"/>
      <c r="F7" s="357">
        <f>SUMIF(58:58,YEAR(E7)&amp;"-"&amp;MONTH(E7),59:59)</f>
        <v>0</v>
      </c>
      <c r="G7" s="356"/>
      <c r="H7" s="355">
        <f>SUMIF(58:58,YEAR(G7)&amp;"-"&amp;MONTH(G7),59:59)</f>
        <v>0</v>
      </c>
      <c r="I7" s="356"/>
      <c r="J7" s="355">
        <f>SUMIF(58:58,YEAR(I7)&amp;"-"&amp;MONTH(I7),59:59)</f>
        <v>0</v>
      </c>
      <c r="K7" s="38"/>
      <c r="L7" s="2488"/>
      <c r="M7" s="2439"/>
      <c r="N7" s="2439"/>
      <c r="O7" s="2439"/>
      <c r="P7" s="3376" t="s">
        <v>1680</v>
      </c>
      <c r="Q7" s="3404"/>
      <c r="R7" s="664" t="s">
        <v>14</v>
      </c>
      <c r="S7" s="665">
        <f t="shared" ref="S7:S15" si="0">F7</f>
        <v>0</v>
      </c>
      <c r="T7" s="664" t="s">
        <v>14</v>
      </c>
      <c r="U7" s="665">
        <f t="shared" ref="U7:U15" si="1">H7</f>
        <v>0</v>
      </c>
      <c r="V7" s="664" t="s">
        <v>14</v>
      </c>
      <c r="W7" s="665">
        <f t="shared" ref="W7:W15" si="2">J7</f>
        <v>0</v>
      </c>
      <c r="X7" s="666"/>
      <c r="Y7" s="3376" t="s">
        <v>1680</v>
      </c>
      <c r="Z7" s="3377"/>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376" t="s">
        <v>1683</v>
      </c>
      <c r="Q8" s="3377"/>
      <c r="R8" s="664" t="s">
        <v>14</v>
      </c>
      <c r="S8" s="665">
        <f t="shared" si="0"/>
        <v>100</v>
      </c>
      <c r="T8" s="664" t="s">
        <v>14</v>
      </c>
      <c r="U8" s="665">
        <f t="shared" si="1"/>
        <v>100</v>
      </c>
      <c r="V8" s="664" t="s">
        <v>14</v>
      </c>
      <c r="W8" s="665">
        <f t="shared" si="2"/>
        <v>100</v>
      </c>
      <c r="X8" s="666"/>
      <c r="Y8" s="3376" t="s">
        <v>1683</v>
      </c>
      <c r="Z8" s="3377"/>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90"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90"/>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90"/>
      <c r="Q11" s="530" t="str">
        <f t="shared" si="6"/>
        <v>容积率</v>
      </c>
      <c r="R11" s="664" t="s">
        <v>14</v>
      </c>
      <c r="S11" s="665" t="e">
        <f t="shared" si="0"/>
        <v>#N/A</v>
      </c>
      <c r="T11" s="664" t="s">
        <v>14</v>
      </c>
      <c r="U11" s="665" t="e">
        <f t="shared" si="1"/>
        <v>#N/A</v>
      </c>
      <c r="V11" s="664" t="s">
        <v>14</v>
      </c>
      <c r="W11" s="665" t="e">
        <f t="shared" si="2"/>
        <v>#N/A</v>
      </c>
      <c r="X11" s="666"/>
      <c r="Y11" s="332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90"/>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90"/>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90"/>
      <c r="Q14" s="530">
        <f t="shared" si="6"/>
        <v>111</v>
      </c>
      <c r="R14" s="664" t="s">
        <v>14</v>
      </c>
      <c r="S14" s="665">
        <f t="shared" si="0"/>
        <v>100</v>
      </c>
      <c r="T14" s="664" t="s">
        <v>14</v>
      </c>
      <c r="U14" s="665">
        <f t="shared" si="1"/>
        <v>100</v>
      </c>
      <c r="V14" s="664" t="s">
        <v>14</v>
      </c>
      <c r="W14" s="665">
        <f t="shared" si="2"/>
        <v>100</v>
      </c>
      <c r="X14" s="666"/>
      <c r="Y14" s="3320"/>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16" t="s">
        <v>1691</v>
      </c>
      <c r="Q15" s="1263" t="str">
        <f t="shared" si="6"/>
        <v>商业繁华度</v>
      </c>
      <c r="R15" s="667" t="s">
        <v>14</v>
      </c>
      <c r="S15" s="668">
        <f t="shared" si="0"/>
        <v>100</v>
      </c>
      <c r="T15" s="667" t="s">
        <v>14</v>
      </c>
      <c r="U15" s="668">
        <f t="shared" si="1"/>
        <v>100</v>
      </c>
      <c r="V15" s="667" t="s">
        <v>14</v>
      </c>
      <c r="W15" s="668">
        <f t="shared" si="2"/>
        <v>100</v>
      </c>
      <c r="X15" s="1265"/>
      <c r="Y15" s="3409"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17"/>
      <c r="Q16" s="1263"/>
      <c r="R16" s="667"/>
      <c r="S16" s="668"/>
      <c r="T16" s="667"/>
      <c r="U16" s="668"/>
      <c r="V16" s="667"/>
      <c r="W16" s="668"/>
      <c r="X16" s="1265"/>
      <c r="Y16" s="3410"/>
      <c r="Z16" s="1264"/>
      <c r="AA16" s="1264">
        <v>1</v>
      </c>
      <c r="AB16" s="1264">
        <v>1</v>
      </c>
      <c r="AC16" s="1264">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17"/>
      <c r="Q17" s="1263" t="str">
        <f>B17</f>
        <v>交通便捷度</v>
      </c>
      <c r="R17" s="667" t="s">
        <v>14</v>
      </c>
      <c r="S17" s="668">
        <f>F17</f>
        <v>100</v>
      </c>
      <c r="T17" s="667" t="s">
        <v>14</v>
      </c>
      <c r="U17" s="668">
        <f>H17</f>
        <v>100</v>
      </c>
      <c r="V17" s="667" t="s">
        <v>14</v>
      </c>
      <c r="W17" s="668">
        <f>J17</f>
        <v>100</v>
      </c>
      <c r="X17" s="1265"/>
      <c r="Y17" s="3410"/>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2492"/>
      <c r="M18" s="2487"/>
      <c r="N18" s="2487"/>
      <c r="O18" s="2487"/>
      <c r="P18" s="3417"/>
      <c r="Q18" s="1263"/>
      <c r="R18" s="667"/>
      <c r="S18" s="668"/>
      <c r="T18" s="667"/>
      <c r="U18" s="668"/>
      <c r="V18" s="667"/>
      <c r="W18" s="668"/>
      <c r="X18" s="1265"/>
      <c r="Y18" s="3410"/>
      <c r="Z18" s="1264"/>
      <c r="AA18" s="1264">
        <v>1</v>
      </c>
      <c r="AB18" s="1264">
        <v>1</v>
      </c>
      <c r="AC18" s="1264">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17"/>
      <c r="Q19" s="1263" t="str">
        <f>B19</f>
        <v>公共配套设施</v>
      </c>
      <c r="R19" s="667" t="s">
        <v>14</v>
      </c>
      <c r="S19" s="668">
        <f>F19</f>
        <v>100</v>
      </c>
      <c r="T19" s="667" t="s">
        <v>14</v>
      </c>
      <c r="U19" s="668">
        <f>H19</f>
        <v>100</v>
      </c>
      <c r="V19" s="667" t="s">
        <v>14</v>
      </c>
      <c r="W19" s="668">
        <f>J19</f>
        <v>100</v>
      </c>
      <c r="X19" s="1265"/>
      <c r="Y19" s="3410"/>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2492"/>
      <c r="M20" s="2487"/>
      <c r="N20" s="2487"/>
      <c r="O20" s="2487"/>
      <c r="P20" s="3417"/>
      <c r="Q20" s="1263"/>
      <c r="R20" s="667"/>
      <c r="S20" s="668"/>
      <c r="T20" s="667"/>
      <c r="U20" s="668"/>
      <c r="V20" s="667"/>
      <c r="W20" s="668"/>
      <c r="X20" s="1265"/>
      <c r="Y20" s="3410"/>
      <c r="Z20" s="1264"/>
      <c r="AA20" s="1264">
        <v>1</v>
      </c>
      <c r="AB20" s="1264">
        <v>1</v>
      </c>
      <c r="AC20" s="1264">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17"/>
      <c r="Q21" s="1263" t="str">
        <f>B21</f>
        <v>基础设施水平</v>
      </c>
      <c r="R21" s="667" t="s">
        <v>14</v>
      </c>
      <c r="S21" s="668">
        <f>F21</f>
        <v>100</v>
      </c>
      <c r="T21" s="667" t="s">
        <v>14</v>
      </c>
      <c r="U21" s="668">
        <f>H21</f>
        <v>100</v>
      </c>
      <c r="V21" s="667" t="s">
        <v>14</v>
      </c>
      <c r="W21" s="668">
        <f>J21</f>
        <v>100</v>
      </c>
      <c r="X21" s="1265"/>
      <c r="Y21" s="3410"/>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2492"/>
      <c r="M22" s="2487"/>
      <c r="N22" s="2487"/>
      <c r="O22" s="2487"/>
      <c r="P22" s="3417"/>
      <c r="Q22" s="1263"/>
      <c r="R22" s="667"/>
      <c r="S22" s="668"/>
      <c r="T22" s="667"/>
      <c r="U22" s="668"/>
      <c r="V22" s="667"/>
      <c r="W22" s="668"/>
      <c r="X22" s="1265"/>
      <c r="Y22" s="3410"/>
      <c r="Z22" s="1264"/>
      <c r="AA22" s="1264">
        <v>1</v>
      </c>
      <c r="AB22" s="1264">
        <v>1</v>
      </c>
      <c r="AC22" s="1264">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17"/>
      <c r="Q23" s="1263" t="str">
        <f>B23</f>
        <v>自然及人文环境</v>
      </c>
      <c r="R23" s="667" t="s">
        <v>14</v>
      </c>
      <c r="S23" s="668">
        <f>F23</f>
        <v>100</v>
      </c>
      <c r="T23" s="667" t="s">
        <v>14</v>
      </c>
      <c r="U23" s="668">
        <f>H23</f>
        <v>100</v>
      </c>
      <c r="V23" s="667" t="s">
        <v>14</v>
      </c>
      <c r="W23" s="668">
        <f>J23</f>
        <v>100</v>
      </c>
      <c r="X23" s="1265"/>
      <c r="Y23" s="3410"/>
      <c r="Z23" s="1264" t="str">
        <f>Q23</f>
        <v>自然及人文环境</v>
      </c>
      <c r="AA23" s="1264">
        <f t="shared" si="3"/>
        <v>1</v>
      </c>
      <c r="AB23" s="1264">
        <f t="shared" si="4"/>
        <v>1</v>
      </c>
      <c r="AC23" s="1264">
        <f t="shared" si="5"/>
        <v>1</v>
      </c>
    </row>
    <row r="24" spans="1:29" ht="15">
      <c r="A24" s="367"/>
      <c r="B24" s="395"/>
      <c r="C24" s="386"/>
      <c r="D24" s="387"/>
      <c r="E24" s="1751"/>
      <c r="F24" s="388"/>
      <c r="G24" s="1750"/>
      <c r="H24" s="387"/>
      <c r="I24" s="1751"/>
      <c r="J24" s="387"/>
      <c r="K24" s="541"/>
      <c r="L24" s="2492"/>
      <c r="M24" s="2487"/>
      <c r="N24" s="2487"/>
      <c r="O24" s="2487"/>
      <c r="P24" s="3417"/>
      <c r="Q24" s="1263"/>
      <c r="R24" s="667"/>
      <c r="S24" s="668"/>
      <c r="T24" s="667"/>
      <c r="U24" s="668"/>
      <c r="V24" s="667"/>
      <c r="W24" s="668"/>
      <c r="X24" s="1265"/>
      <c r="Y24" s="3410"/>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17"/>
      <c r="Q25" s="1263" t="str">
        <f t="shared" ref="Q25:Q46" si="11">B25</f>
        <v>临街状况</v>
      </c>
      <c r="R25" s="667" t="s">
        <v>14</v>
      </c>
      <c r="S25" s="668">
        <f>F25</f>
        <v>100</v>
      </c>
      <c r="T25" s="667" t="s">
        <v>14</v>
      </c>
      <c r="U25" s="668">
        <f>H25</f>
        <v>100</v>
      </c>
      <c r="V25" s="667" t="s">
        <v>14</v>
      </c>
      <c r="W25" s="668">
        <f>J25</f>
        <v>100</v>
      </c>
      <c r="X25" s="1265"/>
      <c r="Y25" s="341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17"/>
      <c r="Q26" s="1263" t="str">
        <f t="shared" si="11"/>
        <v>平面位置/可视性</v>
      </c>
      <c r="R26" s="667" t="s">
        <v>14</v>
      </c>
      <c r="S26" s="668">
        <f>F26</f>
        <v>100</v>
      </c>
      <c r="T26" s="667" t="s">
        <v>14</v>
      </c>
      <c r="U26" s="668">
        <f>H26</f>
        <v>100</v>
      </c>
      <c r="V26" s="667" t="s">
        <v>14</v>
      </c>
      <c r="W26" s="668">
        <f>J26</f>
        <v>100</v>
      </c>
      <c r="X26" s="1265"/>
      <c r="Y26" s="3410"/>
      <c r="Z26" s="1264" t="str">
        <f>Q26</f>
        <v>平面位置/可视性</v>
      </c>
      <c r="AA26" s="1264">
        <f t="shared" si="3"/>
        <v>1</v>
      </c>
      <c r="AB26" s="1264">
        <f t="shared" si="4"/>
        <v>1</v>
      </c>
      <c r="AC26" s="1264">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417"/>
      <c r="Q27" s="530" t="str">
        <f t="shared" si="11"/>
        <v>人流量</v>
      </c>
      <c r="R27" s="664" t="s">
        <v>14</v>
      </c>
      <c r="S27" s="665">
        <f>F27</f>
        <v>100</v>
      </c>
      <c r="T27" s="664" t="s">
        <v>14</v>
      </c>
      <c r="U27" s="665">
        <f>H27</f>
        <v>100</v>
      </c>
      <c r="V27" s="664" t="s">
        <v>14</v>
      </c>
      <c r="W27" s="665">
        <f>J27</f>
        <v>100</v>
      </c>
      <c r="X27" s="666"/>
      <c r="Y27" s="3410"/>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1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17"/>
      <c r="Q29" s="1263">
        <f t="shared" si="11"/>
        <v>111</v>
      </c>
      <c r="R29" s="667" t="s">
        <v>14</v>
      </c>
      <c r="S29" s="668">
        <f t="shared" si="12"/>
        <v>100</v>
      </c>
      <c r="T29" s="667" t="s">
        <v>14</v>
      </c>
      <c r="U29" s="668">
        <f t="shared" si="13"/>
        <v>100</v>
      </c>
      <c r="V29" s="667" t="s">
        <v>14</v>
      </c>
      <c r="W29" s="668">
        <f t="shared" si="14"/>
        <v>100</v>
      </c>
      <c r="X29" s="1265"/>
      <c r="Y29" s="341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17"/>
      <c r="Q30" s="1263">
        <f t="shared" si="11"/>
        <v>111</v>
      </c>
      <c r="R30" s="667" t="s">
        <v>14</v>
      </c>
      <c r="S30" s="668">
        <f t="shared" si="12"/>
        <v>100</v>
      </c>
      <c r="T30" s="667" t="s">
        <v>14</v>
      </c>
      <c r="U30" s="668">
        <f t="shared" si="13"/>
        <v>100</v>
      </c>
      <c r="V30" s="667" t="s">
        <v>14</v>
      </c>
      <c r="W30" s="668">
        <f t="shared" si="14"/>
        <v>100</v>
      </c>
      <c r="X30" s="1265"/>
      <c r="Y30" s="3410"/>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17"/>
      <c r="Q31" s="1263">
        <f t="shared" si="11"/>
        <v>111</v>
      </c>
      <c r="R31" s="667" t="s">
        <v>14</v>
      </c>
      <c r="S31" s="668">
        <f t="shared" si="12"/>
        <v>100</v>
      </c>
      <c r="T31" s="667" t="s">
        <v>14</v>
      </c>
      <c r="U31" s="668">
        <f t="shared" si="13"/>
        <v>100</v>
      </c>
      <c r="V31" s="667" t="s">
        <v>14</v>
      </c>
      <c r="W31" s="668">
        <f t="shared" si="14"/>
        <v>100</v>
      </c>
      <c r="X31" s="1265"/>
      <c r="Y31" s="3410"/>
      <c r="Z31" s="1264">
        <f t="shared" si="15"/>
        <v>111</v>
      </c>
      <c r="AA31" s="1264">
        <f t="shared" si="3"/>
        <v>1</v>
      </c>
      <c r="AB31" s="1264">
        <f t="shared" si="4"/>
        <v>1</v>
      </c>
      <c r="AC31" s="1264">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2"/>
      <c r="M32" s="2487"/>
      <c r="N32" s="2487"/>
      <c r="O32" s="2487"/>
      <c r="P32" s="3411" t="s">
        <v>1696</v>
      </c>
      <c r="Q32" s="1263" t="str">
        <f t="shared" si="11"/>
        <v>商业类型</v>
      </c>
      <c r="R32" s="667" t="s">
        <v>14</v>
      </c>
      <c r="S32" s="668">
        <f t="shared" si="12"/>
        <v>100</v>
      </c>
      <c r="T32" s="667" t="s">
        <v>14</v>
      </c>
      <c r="U32" s="668">
        <f t="shared" si="13"/>
        <v>100</v>
      </c>
      <c r="V32" s="667" t="s">
        <v>14</v>
      </c>
      <c r="W32" s="668">
        <f t="shared" si="14"/>
        <v>100</v>
      </c>
      <c r="X32" s="1265"/>
      <c r="Y32" s="3414"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12"/>
      <c r="Q33" s="531" t="str">
        <f t="shared" si="11"/>
        <v>项目建筑规模</v>
      </c>
      <c r="R33" s="669" t="s">
        <v>14</v>
      </c>
      <c r="S33" s="670" t="e">
        <f t="shared" si="12"/>
        <v>#N/A</v>
      </c>
      <c r="T33" s="669" t="s">
        <v>14</v>
      </c>
      <c r="U33" s="670" t="e">
        <f t="shared" si="13"/>
        <v>#N/A</v>
      </c>
      <c r="V33" s="669" t="s">
        <v>14</v>
      </c>
      <c r="W33" s="670" t="e">
        <f t="shared" si="14"/>
        <v>#N/A</v>
      </c>
      <c r="X33" s="671"/>
      <c r="Y33" s="3414"/>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12"/>
      <c r="Q34" s="1263" t="str">
        <f t="shared" si="11"/>
        <v>建筑结构</v>
      </c>
      <c r="R34" s="667" t="s">
        <v>14</v>
      </c>
      <c r="S34" s="668">
        <f t="shared" si="12"/>
        <v>100</v>
      </c>
      <c r="T34" s="667" t="s">
        <v>14</v>
      </c>
      <c r="U34" s="668">
        <f t="shared" si="13"/>
        <v>100</v>
      </c>
      <c r="V34" s="667" t="s">
        <v>14</v>
      </c>
      <c r="W34" s="668">
        <f t="shared" si="14"/>
        <v>100</v>
      </c>
      <c r="X34" s="1265"/>
      <c r="Y34" s="3414"/>
      <c r="Z34" s="1264" t="str">
        <f t="shared" si="15"/>
        <v>建筑结构</v>
      </c>
      <c r="AA34" s="1264">
        <f t="shared" si="3"/>
        <v>1</v>
      </c>
      <c r="AB34" s="1264">
        <f t="shared" si="4"/>
        <v>1</v>
      </c>
      <c r="AC34" s="1264">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412"/>
      <c r="Q35" s="1263" t="str">
        <f t="shared" si="11"/>
        <v>公共部分装修</v>
      </c>
      <c r="R35" s="667" t="s">
        <v>14</v>
      </c>
      <c r="S35" s="668">
        <f t="shared" si="12"/>
        <v>100</v>
      </c>
      <c r="T35" s="667" t="s">
        <v>14</v>
      </c>
      <c r="U35" s="668">
        <f t="shared" si="13"/>
        <v>100</v>
      </c>
      <c r="V35" s="667" t="s">
        <v>14</v>
      </c>
      <c r="W35" s="668">
        <f t="shared" si="14"/>
        <v>100</v>
      </c>
      <c r="X35" s="1265"/>
      <c r="Y35" s="3414"/>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12"/>
      <c r="Q36" s="1263" t="str">
        <f t="shared" si="11"/>
        <v>成新度</v>
      </c>
      <c r="R36" s="667" t="s">
        <v>14</v>
      </c>
      <c r="S36" s="668" t="e">
        <f t="shared" si="12"/>
        <v>#N/A</v>
      </c>
      <c r="T36" s="667" t="s">
        <v>14</v>
      </c>
      <c r="U36" s="668" t="e">
        <f t="shared" si="13"/>
        <v>#N/A</v>
      </c>
      <c r="V36" s="667" t="s">
        <v>14</v>
      </c>
      <c r="W36" s="668" t="e">
        <f t="shared" si="14"/>
        <v>#N/A</v>
      </c>
      <c r="X36" s="1265"/>
      <c r="Y36" s="3414"/>
      <c r="Z36" s="1264" t="str">
        <f t="shared" si="15"/>
        <v>成新度</v>
      </c>
      <c r="AA36" s="1264" t="e">
        <f t="shared" si="3"/>
        <v>#N/A</v>
      </c>
      <c r="AB36" s="1264" t="e">
        <f t="shared" si="4"/>
        <v>#N/A</v>
      </c>
      <c r="AC36" s="1264"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412"/>
      <c r="Q37" s="530" t="str">
        <f t="shared" si="11"/>
        <v>市政基础设施</v>
      </c>
      <c r="R37" s="664" t="s">
        <v>14</v>
      </c>
      <c r="S37" s="665">
        <f t="shared" si="12"/>
        <v>100</v>
      </c>
      <c r="T37" s="664" t="s">
        <v>14</v>
      </c>
      <c r="U37" s="665">
        <f t="shared" si="13"/>
        <v>100</v>
      </c>
      <c r="V37" s="664" t="s">
        <v>14</v>
      </c>
      <c r="W37" s="665">
        <f t="shared" si="14"/>
        <v>100</v>
      </c>
      <c r="X37" s="666"/>
      <c r="Y37" s="3414"/>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412" t="s">
        <v>1696</v>
      </c>
      <c r="Q38" s="1263" t="str">
        <f t="shared" si="11"/>
        <v>业态</v>
      </c>
      <c r="R38" s="667" t="s">
        <v>14</v>
      </c>
      <c r="S38" s="668">
        <f t="shared" si="12"/>
        <v>100</v>
      </c>
      <c r="T38" s="667" t="s">
        <v>14</v>
      </c>
      <c r="U38" s="668">
        <f t="shared" si="13"/>
        <v>100</v>
      </c>
      <c r="V38" s="667" t="s">
        <v>14</v>
      </c>
      <c r="W38" s="668">
        <f t="shared" si="14"/>
        <v>100</v>
      </c>
      <c r="X38" s="1265"/>
      <c r="Y38" s="3414" t="s">
        <v>1696</v>
      </c>
      <c r="Z38" s="1264" t="str">
        <f t="shared" si="15"/>
        <v>业态</v>
      </c>
      <c r="AA38" s="1264">
        <f t="shared" si="3"/>
        <v>1</v>
      </c>
      <c r="AB38" s="1264">
        <f t="shared" si="4"/>
        <v>1</v>
      </c>
      <c r="AC38" s="1264">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412"/>
      <c r="Q39" s="1263" t="str">
        <f t="shared" si="11"/>
        <v>层高</v>
      </c>
      <c r="R39" s="667" t="s">
        <v>14</v>
      </c>
      <c r="S39" s="668">
        <f t="shared" si="12"/>
        <v>100</v>
      </c>
      <c r="T39" s="667" t="s">
        <v>14</v>
      </c>
      <c r="U39" s="668">
        <f t="shared" si="13"/>
        <v>100</v>
      </c>
      <c r="V39" s="667" t="s">
        <v>14</v>
      </c>
      <c r="W39" s="668">
        <f t="shared" si="14"/>
        <v>100</v>
      </c>
      <c r="X39" s="1265"/>
      <c r="Y39" s="341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12"/>
      <c r="Q40" s="1263" t="str">
        <f t="shared" si="11"/>
        <v>单套建筑面积</v>
      </c>
      <c r="R40" s="667" t="s">
        <v>14</v>
      </c>
      <c r="S40" s="668">
        <f t="shared" si="12"/>
        <v>100</v>
      </c>
      <c r="T40" s="667" t="s">
        <v>14</v>
      </c>
      <c r="U40" s="668">
        <f t="shared" si="13"/>
        <v>100</v>
      </c>
      <c r="V40" s="667" t="s">
        <v>14</v>
      </c>
      <c r="W40" s="668">
        <f t="shared" si="14"/>
        <v>100</v>
      </c>
      <c r="X40" s="1265"/>
      <c r="Y40" s="341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12"/>
      <c r="Q41" s="531" t="str">
        <f t="shared" si="11"/>
        <v>进深比</v>
      </c>
      <c r="R41" s="669" t="s">
        <v>14</v>
      </c>
      <c r="S41" s="670">
        <f t="shared" si="12"/>
        <v>100</v>
      </c>
      <c r="T41" s="669" t="s">
        <v>14</v>
      </c>
      <c r="U41" s="670">
        <f t="shared" si="13"/>
        <v>100</v>
      </c>
      <c r="V41" s="669" t="s">
        <v>14</v>
      </c>
      <c r="W41" s="670">
        <f t="shared" si="14"/>
        <v>100</v>
      </c>
      <c r="X41" s="671"/>
      <c r="Y41" s="3414"/>
      <c r="Z41" s="672" t="str">
        <f t="shared" si="15"/>
        <v>进深比</v>
      </c>
      <c r="AA41" s="1264">
        <f t="shared" si="3"/>
        <v>1</v>
      </c>
      <c r="AB41" s="1264">
        <f t="shared" si="4"/>
        <v>1</v>
      </c>
      <c r="AC41" s="1264">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2"/>
      <c r="M42" s="2487"/>
      <c r="N42" s="2487"/>
      <c r="O42" s="2487"/>
      <c r="P42" s="3412"/>
      <c r="Q42" s="1263" t="str">
        <f t="shared" si="11"/>
        <v>内部装修</v>
      </c>
      <c r="R42" s="667" t="s">
        <v>14</v>
      </c>
      <c r="S42" s="668">
        <f t="shared" si="12"/>
        <v>100</v>
      </c>
      <c r="T42" s="667" t="s">
        <v>14</v>
      </c>
      <c r="U42" s="668">
        <f t="shared" si="13"/>
        <v>100</v>
      </c>
      <c r="V42" s="667" t="s">
        <v>14</v>
      </c>
      <c r="W42" s="668">
        <f t="shared" si="14"/>
        <v>100</v>
      </c>
      <c r="X42" s="1265"/>
      <c r="Y42" s="3414"/>
      <c r="Z42" s="1264" t="str">
        <f t="shared" si="15"/>
        <v>内部装修</v>
      </c>
      <c r="AA42" s="1264">
        <f t="shared" si="3"/>
        <v>1</v>
      </c>
      <c r="AB42" s="1264">
        <f t="shared" si="4"/>
        <v>1</v>
      </c>
      <c r="AC42" s="1264">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2"/>
      <c r="M43" s="2487"/>
      <c r="N43" s="2487"/>
      <c r="O43" s="2487"/>
      <c r="P43" s="3412"/>
      <c r="Q43" s="1263" t="str">
        <f t="shared" si="11"/>
        <v>内部装修维护情况</v>
      </c>
      <c r="R43" s="667" t="s">
        <v>14</v>
      </c>
      <c r="S43" s="668">
        <f t="shared" si="12"/>
        <v>100</v>
      </c>
      <c r="T43" s="667" t="s">
        <v>14</v>
      </c>
      <c r="U43" s="668">
        <f t="shared" si="13"/>
        <v>100</v>
      </c>
      <c r="V43" s="667" t="s">
        <v>14</v>
      </c>
      <c r="W43" s="668">
        <f t="shared" si="14"/>
        <v>100</v>
      </c>
      <c r="X43" s="1265"/>
      <c r="Y43" s="341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12"/>
      <c r="Q44" s="530">
        <f t="shared" si="11"/>
        <v>111</v>
      </c>
      <c r="R44" s="664" t="s">
        <v>14</v>
      </c>
      <c r="S44" s="665">
        <f t="shared" si="12"/>
        <v>100</v>
      </c>
      <c r="T44" s="664" t="s">
        <v>14</v>
      </c>
      <c r="U44" s="665">
        <f t="shared" si="13"/>
        <v>100</v>
      </c>
      <c r="V44" s="664" t="s">
        <v>14</v>
      </c>
      <c r="W44" s="665">
        <f t="shared" si="14"/>
        <v>100</v>
      </c>
      <c r="X44" s="666"/>
      <c r="Y44" s="341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12"/>
      <c r="Q45" s="1263">
        <f t="shared" si="11"/>
        <v>111</v>
      </c>
      <c r="R45" s="667" t="s">
        <v>14</v>
      </c>
      <c r="S45" s="668">
        <f t="shared" si="12"/>
        <v>100</v>
      </c>
      <c r="T45" s="667" t="s">
        <v>14</v>
      </c>
      <c r="U45" s="668">
        <f t="shared" si="13"/>
        <v>100</v>
      </c>
      <c r="V45" s="667" t="s">
        <v>14</v>
      </c>
      <c r="W45" s="668">
        <f t="shared" si="14"/>
        <v>100</v>
      </c>
      <c r="X45" s="1265"/>
      <c r="Y45" s="3414"/>
      <c r="Z45" s="1264">
        <f t="shared" si="15"/>
        <v>111</v>
      </c>
      <c r="AA45" s="1264">
        <f t="shared" si="3"/>
        <v>1</v>
      </c>
      <c r="AB45" s="1264">
        <f t="shared" si="4"/>
        <v>1</v>
      </c>
      <c r="AC45" s="1264">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13"/>
      <c r="Q46" s="1263">
        <f t="shared" si="11"/>
        <v>111</v>
      </c>
      <c r="R46" s="667" t="s">
        <v>14</v>
      </c>
      <c r="S46" s="668">
        <f t="shared" si="12"/>
        <v>100</v>
      </c>
      <c r="T46" s="667" t="s">
        <v>14</v>
      </c>
      <c r="U46" s="668">
        <f t="shared" si="13"/>
        <v>100</v>
      </c>
      <c r="V46" s="667" t="s">
        <v>14</v>
      </c>
      <c r="W46" s="668">
        <f t="shared" si="14"/>
        <v>100</v>
      </c>
      <c r="X46" s="1265"/>
      <c r="Y46" s="3415"/>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4"/>
      <c r="M47" s="2487"/>
      <c r="N47" s="2487"/>
      <c r="O47" s="2487"/>
      <c r="P47" s="3408" t="str">
        <f>A47</f>
        <v>成交单价（元/平方米）</v>
      </c>
      <c r="Q47" s="3408"/>
      <c r="R47" s="3403">
        <f>E47</f>
        <v>0</v>
      </c>
      <c r="S47" s="3403"/>
      <c r="T47" s="3403">
        <f>G47</f>
        <v>0</v>
      </c>
      <c r="U47" s="3403"/>
      <c r="V47" s="3403">
        <f>I47</f>
        <v>0</v>
      </c>
      <c r="W47" s="3403"/>
      <c r="X47" s="385"/>
      <c r="Y47" s="673"/>
      <c r="Z47" s="385"/>
      <c r="AA47" s="385"/>
      <c r="AB47" s="385"/>
      <c r="AC47" s="385"/>
    </row>
    <row r="48" spans="1:29" ht="15.75" thickBot="1">
      <c r="A48" s="423" t="s">
        <v>1793</v>
      </c>
      <c r="B48" s="424"/>
      <c r="C48" s="1082" t="e">
        <f>R49</f>
        <v>#DIV/0!</v>
      </c>
      <c r="D48" s="2140" t="s">
        <v>2138</v>
      </c>
      <c r="E48" s="1083" t="e">
        <f>R48</f>
        <v>#DIV/0!</v>
      </c>
      <c r="F48" s="2141"/>
      <c r="G48" s="1082" t="e">
        <f>T48</f>
        <v>#DIV/0!</v>
      </c>
      <c r="H48" s="2141"/>
      <c r="I48" s="1083" t="e">
        <f>V48</f>
        <v>#DIV/0!</v>
      </c>
      <c r="J48" s="2141"/>
      <c r="K48" s="2143">
        <f>F48+H48+J48</f>
        <v>0</v>
      </c>
      <c r="L48" s="2494"/>
      <c r="M48" s="2487"/>
      <c r="N48" s="2487"/>
      <c r="O48" s="2487"/>
      <c r="P48" s="3408" t="str">
        <f>A48</f>
        <v>比较价值（元/平方米）</v>
      </c>
      <c r="Q48" s="3408"/>
      <c r="R48" s="3403" t="e">
        <f>IF(F1="售价",ROUND(PRODUCT(R47,AA7:AA46),0),ROUND(PRODUCT(R47,AA7:AA46),1))</f>
        <v>#DIV/0!</v>
      </c>
      <c r="S48" s="3403"/>
      <c r="T48" s="3403" t="e">
        <f>IF(F1="售价",ROUND(PRODUCT(T47,AB7:AB46),0),ROUND(PRODUCT(T47,AB7:AB46),1))</f>
        <v>#DIV/0!</v>
      </c>
      <c r="U48" s="3403"/>
      <c r="V48" s="3403" t="e">
        <f>IF(F1="售价",ROUND(PRODUCT(V47,AC7:AC46),0),ROUND(PRODUCT(V47,AC7:AC46),1))</f>
        <v>#DIV/0!</v>
      </c>
      <c r="W48" s="3403"/>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405" t="str">
        <f>A49</f>
        <v>估价对象XX用房的比较价值（楼面单价，元/平方米）</v>
      </c>
      <c r="Q49" s="3406"/>
      <c r="R49" s="3407" t="e">
        <f>IF(F1="售价",ROUND(IF(D48="简单平均",AVERAGE(R48:V48),R48*F48+T48*H48+V48*J48),0),ROUND(IF(D48="简单平均",AVERAGE(R48:V48),R48*F48+T48*H48+V48*J48),1))</f>
        <v>#DIV/0!</v>
      </c>
      <c r="S49" s="3407"/>
      <c r="T49" s="3407"/>
      <c r="U49" s="3407"/>
      <c r="V49" s="3407"/>
      <c r="W49" s="3407"/>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63.97</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391" t="s">
        <v>1770</v>
      </c>
      <c r="D4" s="3392"/>
      <c r="E4" s="3393" t="s">
        <v>1771</v>
      </c>
      <c r="F4" s="3394"/>
      <c r="G4" s="3391" t="s">
        <v>1772</v>
      </c>
      <c r="H4" s="3392"/>
      <c r="I4" s="3391" t="s">
        <v>1773</v>
      </c>
      <c r="J4" s="3392"/>
      <c r="K4" s="537" t="s">
        <v>1774</v>
      </c>
      <c r="L4" s="2486"/>
      <c r="M4" s="2487"/>
      <c r="N4" s="2487"/>
      <c r="O4" s="2487"/>
      <c r="P4" s="3424" t="s">
        <v>1775</v>
      </c>
      <c r="Q4" s="3425"/>
      <c r="R4" s="3419" t="s">
        <v>1771</v>
      </c>
      <c r="S4" s="3420"/>
      <c r="T4" s="3419" t="s">
        <v>1772</v>
      </c>
      <c r="U4" s="3420"/>
      <c r="V4" s="3428" t="s">
        <v>1773</v>
      </c>
      <c r="W4" s="3428"/>
      <c r="X4" s="1808"/>
      <c r="Y4" s="3419" t="s">
        <v>1775</v>
      </c>
      <c r="Z4" s="3420"/>
      <c r="AA4" s="3418" t="s">
        <v>1771</v>
      </c>
      <c r="AB4" s="3418" t="s">
        <v>1772</v>
      </c>
      <c r="AC4" s="3421" t="s">
        <v>1773</v>
      </c>
    </row>
    <row r="5" spans="1:29" ht="15">
      <c r="A5" s="348"/>
      <c r="B5" s="349"/>
      <c r="C5" s="3384" t="s">
        <v>1673</v>
      </c>
      <c r="D5" s="3385"/>
      <c r="E5" s="3382" t="s">
        <v>1674</v>
      </c>
      <c r="F5" s="3383"/>
      <c r="G5" s="3384" t="s">
        <v>1675</v>
      </c>
      <c r="H5" s="3385"/>
      <c r="I5" s="3384" t="s">
        <v>1676</v>
      </c>
      <c r="J5" s="3385"/>
      <c r="K5" s="537"/>
      <c r="L5" s="2486"/>
      <c r="M5" s="2487"/>
      <c r="N5" s="2487"/>
      <c r="O5" s="2487"/>
      <c r="P5" s="3426"/>
      <c r="Q5" s="3398"/>
      <c r="R5" s="3380"/>
      <c r="S5" s="3381"/>
      <c r="T5" s="3380"/>
      <c r="U5" s="3381"/>
      <c r="V5" s="3403"/>
      <c r="W5" s="3403"/>
      <c r="X5" s="1265"/>
      <c r="Y5" s="3380"/>
      <c r="Z5" s="3381"/>
      <c r="AA5" s="3374"/>
      <c r="AB5" s="3374"/>
      <c r="AC5" s="3422"/>
    </row>
    <row r="6" spans="1:29" ht="15.75" thickBot="1">
      <c r="A6" s="350"/>
      <c r="B6" s="351"/>
      <c r="C6" s="3386" t="s">
        <v>1677</v>
      </c>
      <c r="D6" s="3387"/>
      <c r="E6" s="3388" t="s">
        <v>1677</v>
      </c>
      <c r="F6" s="3389"/>
      <c r="G6" s="3386" t="s">
        <v>1677</v>
      </c>
      <c r="H6" s="3387"/>
      <c r="I6" s="3386" t="s">
        <v>1677</v>
      </c>
      <c r="J6" s="3387"/>
      <c r="K6" s="537" t="s">
        <v>1678</v>
      </c>
      <c r="L6" s="2486"/>
      <c r="M6" s="2487"/>
      <c r="N6" s="2487"/>
      <c r="O6" s="2487"/>
      <c r="P6" s="3427"/>
      <c r="Q6" s="3400"/>
      <c r="R6" s="3380"/>
      <c r="S6" s="3381"/>
      <c r="T6" s="3401"/>
      <c r="U6" s="3402"/>
      <c r="V6" s="3403"/>
      <c r="W6" s="3403"/>
      <c r="X6" s="1265"/>
      <c r="Y6" s="3401"/>
      <c r="Z6" s="3402"/>
      <c r="AA6" s="3375"/>
      <c r="AB6" s="3375"/>
      <c r="AC6" s="3423"/>
    </row>
    <row r="7" spans="1:29" s="102" customFormat="1" ht="15.75" thickBot="1">
      <c r="A7" s="352" t="s">
        <v>1679</v>
      </c>
      <c r="B7" s="353"/>
      <c r="C7" s="354">
        <f>'数据-取费表'!B2</f>
        <v>45812</v>
      </c>
      <c r="D7" s="355">
        <v>100</v>
      </c>
      <c r="E7" s="356"/>
      <c r="F7" s="357">
        <f>SUMIF(59:59,YEAR(E7)&amp;"-"&amp;MONTH(E7),60:60)</f>
        <v>0</v>
      </c>
      <c r="G7" s="356"/>
      <c r="H7" s="355">
        <f>SUMIF(59:59,YEAR(G7)&amp;"-"&amp;MONTH(G7),60:60)</f>
        <v>0</v>
      </c>
      <c r="I7" s="356"/>
      <c r="J7" s="355">
        <f>SUMIF(59:59,YEAR(I7)&amp;"-"&amp;MONTH(I7),60:60)</f>
        <v>0</v>
      </c>
      <c r="K7" s="38"/>
      <c r="L7" s="2488"/>
      <c r="M7" s="2439"/>
      <c r="N7" s="2439"/>
      <c r="O7" s="2439"/>
      <c r="P7" s="3429" t="s">
        <v>1680</v>
      </c>
      <c r="Q7" s="3404"/>
      <c r="R7" s="664" t="s">
        <v>14</v>
      </c>
      <c r="S7" s="665">
        <f t="shared" ref="S7:S15" si="0">F7</f>
        <v>0</v>
      </c>
      <c r="T7" s="664" t="s">
        <v>14</v>
      </c>
      <c r="U7" s="665">
        <f t="shared" ref="U7:U15" si="1">H7</f>
        <v>0</v>
      </c>
      <c r="V7" s="664" t="s">
        <v>14</v>
      </c>
      <c r="W7" s="665">
        <f t="shared" ref="W7:W15" si="2">J7</f>
        <v>0</v>
      </c>
      <c r="X7" s="666"/>
      <c r="Y7" s="3376" t="s">
        <v>1680</v>
      </c>
      <c r="Z7" s="3377"/>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29" t="s">
        <v>1683</v>
      </c>
      <c r="Q8" s="3377"/>
      <c r="R8" s="664" t="s">
        <v>14</v>
      </c>
      <c r="S8" s="665">
        <f t="shared" si="0"/>
        <v>100</v>
      </c>
      <c r="T8" s="664" t="s">
        <v>14</v>
      </c>
      <c r="U8" s="665">
        <f t="shared" si="1"/>
        <v>100</v>
      </c>
      <c r="V8" s="664" t="s">
        <v>14</v>
      </c>
      <c r="W8" s="665">
        <f t="shared" si="2"/>
        <v>100</v>
      </c>
      <c r="X8" s="666"/>
      <c r="Y8" s="3376" t="s">
        <v>1683</v>
      </c>
      <c r="Z8" s="3377"/>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90"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90"/>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90"/>
      <c r="Q11" s="530" t="str">
        <f t="shared" si="6"/>
        <v>容积率</v>
      </c>
      <c r="R11" s="664" t="s">
        <v>14</v>
      </c>
      <c r="S11" s="665">
        <f t="shared" si="0"/>
        <v>100</v>
      </c>
      <c r="T11" s="664" t="s">
        <v>14</v>
      </c>
      <c r="U11" s="665">
        <f t="shared" si="1"/>
        <v>100</v>
      </c>
      <c r="V11" s="664" t="s">
        <v>14</v>
      </c>
      <c r="W11" s="665">
        <f t="shared" si="2"/>
        <v>100</v>
      </c>
      <c r="X11" s="666"/>
      <c r="Y11" s="332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90"/>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90"/>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390"/>
      <c r="Q14" s="530">
        <f t="shared" si="6"/>
        <v>111</v>
      </c>
      <c r="R14" s="664" t="s">
        <v>14</v>
      </c>
      <c r="S14" s="665">
        <f t="shared" si="0"/>
        <v>100</v>
      </c>
      <c r="T14" s="664" t="s">
        <v>14</v>
      </c>
      <c r="U14" s="665">
        <f t="shared" si="1"/>
        <v>100</v>
      </c>
      <c r="V14" s="664" t="s">
        <v>14</v>
      </c>
      <c r="W14" s="665">
        <f t="shared" si="2"/>
        <v>100</v>
      </c>
      <c r="X14" s="666"/>
      <c r="Y14" s="3320"/>
      <c r="Z14" s="50">
        <f t="shared" si="7"/>
        <v>111</v>
      </c>
      <c r="AA14" s="50">
        <f t="shared" si="3"/>
        <v>1</v>
      </c>
      <c r="AB14" s="50">
        <f t="shared" si="4"/>
        <v>1</v>
      </c>
      <c r="AC14" s="802">
        <f t="shared" si="5"/>
        <v>1</v>
      </c>
    </row>
    <row r="15" spans="1:29" ht="71.25">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16" t="s">
        <v>1691</v>
      </c>
      <c r="Q15" s="1263" t="str">
        <f t="shared" si="6"/>
        <v>办公集聚程度</v>
      </c>
      <c r="R15" s="667" t="s">
        <v>14</v>
      </c>
      <c r="S15" s="668">
        <f t="shared" si="0"/>
        <v>100</v>
      </c>
      <c r="T15" s="667" t="s">
        <v>14</v>
      </c>
      <c r="U15" s="668">
        <f t="shared" si="1"/>
        <v>100</v>
      </c>
      <c r="V15" s="667" t="s">
        <v>14</v>
      </c>
      <c r="W15" s="668">
        <f t="shared" si="2"/>
        <v>100</v>
      </c>
      <c r="X15" s="1265"/>
      <c r="Y15" s="3409" t="s">
        <v>1691</v>
      </c>
      <c r="Z15" s="1264" t="str">
        <f t="shared" si="7"/>
        <v>办公集聚程度</v>
      </c>
      <c r="AA15" s="1264">
        <f t="shared" si="3"/>
        <v>1</v>
      </c>
      <c r="AB15" s="1264">
        <f t="shared" si="4"/>
        <v>1</v>
      </c>
      <c r="AC15" s="1811">
        <f t="shared" si="5"/>
        <v>1</v>
      </c>
    </row>
    <row r="16" spans="1:29" ht="15">
      <c r="A16" s="367"/>
      <c r="B16" s="555"/>
      <c r="C16" s="1757"/>
      <c r="D16" s="387"/>
      <c r="E16" s="386"/>
      <c r="F16" s="387"/>
      <c r="G16" s="1757"/>
      <c r="H16" s="389"/>
      <c r="I16" s="386"/>
      <c r="J16" s="387"/>
      <c r="K16" s="541"/>
      <c r="L16" s="2492"/>
      <c r="M16" s="2487"/>
      <c r="N16" s="2487"/>
      <c r="O16" s="2487"/>
      <c r="P16" s="3417"/>
      <c r="Q16" s="1263"/>
      <c r="R16" s="667"/>
      <c r="S16" s="668"/>
      <c r="T16" s="667"/>
      <c r="U16" s="668"/>
      <c r="V16" s="667"/>
      <c r="W16" s="668"/>
      <c r="X16" s="1265"/>
      <c r="Y16" s="3410"/>
      <c r="Z16" s="1264"/>
      <c r="AA16" s="1264">
        <v>1</v>
      </c>
      <c r="AB16" s="1264">
        <v>1</v>
      </c>
      <c r="AC16" s="1811">
        <v>1</v>
      </c>
    </row>
    <row r="17" spans="1:29" ht="71.25">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17"/>
      <c r="Q17" s="1263" t="str">
        <f>B17</f>
        <v>交通便捷度</v>
      </c>
      <c r="R17" s="667" t="s">
        <v>14</v>
      </c>
      <c r="S17" s="668">
        <f>F17</f>
        <v>100</v>
      </c>
      <c r="T17" s="667" t="s">
        <v>14</v>
      </c>
      <c r="U17" s="668">
        <f>H17</f>
        <v>100</v>
      </c>
      <c r="V17" s="667" t="s">
        <v>14</v>
      </c>
      <c r="W17" s="668">
        <f>J17</f>
        <v>100</v>
      </c>
      <c r="X17" s="1265"/>
      <c r="Y17" s="3410"/>
      <c r="Z17" s="1264" t="str">
        <f>Q17</f>
        <v>交通便捷度</v>
      </c>
      <c r="AA17" s="1264">
        <f t="shared" si="3"/>
        <v>1</v>
      </c>
      <c r="AB17" s="1264">
        <f t="shared" si="4"/>
        <v>1</v>
      </c>
      <c r="AC17" s="1811">
        <f t="shared" si="5"/>
        <v>1</v>
      </c>
    </row>
    <row r="18" spans="1:29" ht="15">
      <c r="A18" s="367"/>
      <c r="B18" s="401"/>
      <c r="C18" s="1813"/>
      <c r="D18" s="389"/>
      <c r="E18" s="1755"/>
      <c r="F18" s="389"/>
      <c r="G18" s="1756"/>
      <c r="H18" s="387"/>
      <c r="I18" s="1756"/>
      <c r="J18" s="387"/>
      <c r="K18" s="541"/>
      <c r="L18" s="2492"/>
      <c r="M18" s="2487"/>
      <c r="N18" s="2487"/>
      <c r="O18" s="2487"/>
      <c r="P18" s="3417"/>
      <c r="Q18" s="1263"/>
      <c r="R18" s="667"/>
      <c r="S18" s="668"/>
      <c r="T18" s="667"/>
      <c r="U18" s="668"/>
      <c r="V18" s="667"/>
      <c r="W18" s="668"/>
      <c r="X18" s="1265"/>
      <c r="Y18" s="3410"/>
      <c r="Z18" s="1264"/>
      <c r="AA18" s="1264">
        <v>1</v>
      </c>
      <c r="AB18" s="1264">
        <v>1</v>
      </c>
      <c r="AC18" s="1811">
        <v>1</v>
      </c>
    </row>
    <row r="19" spans="1:29" ht="42.75">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17"/>
      <c r="Q19" s="1263" t="str">
        <f>B19</f>
        <v>公共配套设施</v>
      </c>
      <c r="R19" s="667" t="s">
        <v>14</v>
      </c>
      <c r="S19" s="668">
        <f>F19</f>
        <v>100</v>
      </c>
      <c r="T19" s="667" t="s">
        <v>14</v>
      </c>
      <c r="U19" s="668">
        <f>H19</f>
        <v>100</v>
      </c>
      <c r="V19" s="667" t="s">
        <v>14</v>
      </c>
      <c r="W19" s="668">
        <f>J19</f>
        <v>100</v>
      </c>
      <c r="X19" s="1265"/>
      <c r="Y19" s="3410"/>
      <c r="Z19" s="1264" t="str">
        <f>Q19</f>
        <v>公共配套设施</v>
      </c>
      <c r="AA19" s="1264">
        <f t="shared" si="3"/>
        <v>1</v>
      </c>
      <c r="AB19" s="1264">
        <f t="shared" si="4"/>
        <v>1</v>
      </c>
      <c r="AC19" s="1811">
        <f t="shared" si="5"/>
        <v>1</v>
      </c>
    </row>
    <row r="20" spans="1:29" ht="15">
      <c r="A20" s="367"/>
      <c r="B20" s="401"/>
      <c r="C20" s="1757"/>
      <c r="D20" s="387"/>
      <c r="E20" s="1750"/>
      <c r="F20" s="387"/>
      <c r="G20" s="1751"/>
      <c r="H20" s="387"/>
      <c r="I20" s="1751"/>
      <c r="J20" s="387"/>
      <c r="K20" s="541"/>
      <c r="L20" s="2492"/>
      <c r="M20" s="2487"/>
      <c r="N20" s="2487"/>
      <c r="O20" s="2487"/>
      <c r="P20" s="3417"/>
      <c r="Q20" s="1263"/>
      <c r="R20" s="667"/>
      <c r="S20" s="668"/>
      <c r="T20" s="667"/>
      <c r="U20" s="668"/>
      <c r="V20" s="667"/>
      <c r="W20" s="668"/>
      <c r="X20" s="1265"/>
      <c r="Y20" s="3410"/>
      <c r="Z20" s="1264"/>
      <c r="AA20" s="1264">
        <v>1</v>
      </c>
      <c r="AB20" s="1264">
        <v>1</v>
      </c>
      <c r="AC20" s="1811">
        <v>1</v>
      </c>
    </row>
    <row r="21" spans="1:29" ht="28.5">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17"/>
      <c r="Q21" s="1263" t="str">
        <f>B21</f>
        <v>基础设施水平</v>
      </c>
      <c r="R21" s="667" t="s">
        <v>14</v>
      </c>
      <c r="S21" s="668">
        <f>F21</f>
        <v>100</v>
      </c>
      <c r="T21" s="667" t="s">
        <v>14</v>
      </c>
      <c r="U21" s="668">
        <f>H21</f>
        <v>100</v>
      </c>
      <c r="V21" s="667" t="s">
        <v>14</v>
      </c>
      <c r="W21" s="668">
        <f>J21</f>
        <v>100</v>
      </c>
      <c r="X21" s="1265"/>
      <c r="Y21" s="3410"/>
      <c r="Z21" s="1264" t="str">
        <f>Q21</f>
        <v>基础设施水平</v>
      </c>
      <c r="AA21" s="1264">
        <f t="shared" ref="AA21" si="8">D21/F21</f>
        <v>1</v>
      </c>
      <c r="AB21" s="1264">
        <f t="shared" ref="AB21" si="9">D21/H21</f>
        <v>1</v>
      </c>
      <c r="AC21" s="1811">
        <f t="shared" ref="AC21" si="10">D21/J21</f>
        <v>1</v>
      </c>
    </row>
    <row r="22" spans="1:29" ht="15">
      <c r="A22" s="367"/>
      <c r="B22" s="557"/>
      <c r="C22" s="1813"/>
      <c r="D22" s="387"/>
      <c r="E22" s="386"/>
      <c r="F22" s="387"/>
      <c r="G22" s="1757"/>
      <c r="H22" s="387"/>
      <c r="I22" s="1757"/>
      <c r="J22" s="387"/>
      <c r="K22" s="1064"/>
      <c r="L22" s="2492"/>
      <c r="M22" s="2487"/>
      <c r="N22" s="2487"/>
      <c r="O22" s="2487"/>
      <c r="P22" s="3417"/>
      <c r="Q22" s="1263"/>
      <c r="R22" s="667"/>
      <c r="S22" s="668"/>
      <c r="T22" s="667"/>
      <c r="U22" s="668"/>
      <c r="V22" s="667"/>
      <c r="W22" s="668"/>
      <c r="X22" s="1265"/>
      <c r="Y22" s="3410"/>
      <c r="Z22" s="1264"/>
      <c r="AA22" s="1264">
        <v>1</v>
      </c>
      <c r="AB22" s="1264">
        <v>1</v>
      </c>
      <c r="AC22" s="1811">
        <v>1</v>
      </c>
    </row>
    <row r="23" spans="1:29" ht="42.75">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17"/>
      <c r="Q23" s="1263" t="str">
        <f>B23</f>
        <v>环境质量</v>
      </c>
      <c r="R23" s="667" t="s">
        <v>14</v>
      </c>
      <c r="S23" s="668">
        <f>F23</f>
        <v>100</v>
      </c>
      <c r="T23" s="667" t="s">
        <v>14</v>
      </c>
      <c r="U23" s="668">
        <f>H23</f>
        <v>100</v>
      </c>
      <c r="V23" s="667" t="s">
        <v>14</v>
      </c>
      <c r="W23" s="668">
        <f>J23</f>
        <v>100</v>
      </c>
      <c r="X23" s="1265"/>
      <c r="Y23" s="3410"/>
      <c r="Z23" s="1264" t="str">
        <f>Q23</f>
        <v>环境质量</v>
      </c>
      <c r="AA23" s="1264">
        <f t="shared" si="3"/>
        <v>1</v>
      </c>
      <c r="AB23" s="1264">
        <f t="shared" si="4"/>
        <v>1</v>
      </c>
      <c r="AC23" s="1811">
        <f t="shared" si="5"/>
        <v>1</v>
      </c>
    </row>
    <row r="24" spans="1:29" ht="15">
      <c r="A24" s="367"/>
      <c r="B24" s="557"/>
      <c r="C24" s="1757"/>
      <c r="D24" s="387"/>
      <c r="E24" s="1750"/>
      <c r="F24" s="387"/>
      <c r="G24" s="1751"/>
      <c r="H24" s="387"/>
      <c r="I24" s="1751"/>
      <c r="J24" s="387"/>
      <c r="K24" s="541"/>
      <c r="L24" s="2492"/>
      <c r="M24" s="2487"/>
      <c r="N24" s="2487"/>
      <c r="O24" s="2487"/>
      <c r="P24" s="3417"/>
      <c r="Q24" s="1263"/>
      <c r="R24" s="667"/>
      <c r="S24" s="668"/>
      <c r="T24" s="667"/>
      <c r="U24" s="668"/>
      <c r="V24" s="667"/>
      <c r="W24" s="668"/>
      <c r="X24" s="1265"/>
      <c r="Y24" s="3410"/>
      <c r="Z24" s="1264"/>
      <c r="AA24" s="1264">
        <v>1</v>
      </c>
      <c r="AB24" s="1264">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417"/>
      <c r="Q25" s="1263" t="str">
        <f>B25</f>
        <v>毗邻道路的类型与等级</v>
      </c>
      <c r="R25" s="667" t="s">
        <v>14</v>
      </c>
      <c r="S25" s="668">
        <f>F25</f>
        <v>100</v>
      </c>
      <c r="T25" s="667" t="s">
        <v>14</v>
      </c>
      <c r="U25" s="668">
        <f>H25</f>
        <v>100</v>
      </c>
      <c r="V25" s="667" t="s">
        <v>14</v>
      </c>
      <c r="W25" s="668">
        <f>J25</f>
        <v>100</v>
      </c>
      <c r="X25" s="1265"/>
      <c r="Y25" s="3410"/>
      <c r="Z25" s="1264" t="str">
        <f>Q25</f>
        <v>毗邻道路的类型与等级</v>
      </c>
      <c r="AA25" s="1264">
        <f t="shared" si="3"/>
        <v>1</v>
      </c>
      <c r="AB25" s="1264">
        <f t="shared" si="4"/>
        <v>1</v>
      </c>
      <c r="AC25" s="1811">
        <f t="shared" si="5"/>
        <v>1</v>
      </c>
    </row>
    <row r="26" spans="1:29" ht="15">
      <c r="A26" s="348"/>
      <c r="B26" s="401"/>
      <c r="C26" s="558"/>
      <c r="D26" s="374"/>
      <c r="E26" s="542"/>
      <c r="F26" s="374"/>
      <c r="G26" s="558"/>
      <c r="H26" s="374"/>
      <c r="I26" s="542"/>
      <c r="J26" s="374"/>
      <c r="K26" s="541"/>
      <c r="L26" s="2492"/>
      <c r="M26" s="2487"/>
      <c r="N26" s="2487"/>
      <c r="O26" s="2487"/>
      <c r="P26" s="3417"/>
      <c r="Q26" s="1263"/>
      <c r="R26" s="667"/>
      <c r="S26" s="668"/>
      <c r="T26" s="667"/>
      <c r="U26" s="668"/>
      <c r="V26" s="667"/>
      <c r="W26" s="668"/>
      <c r="X26" s="1265"/>
      <c r="Y26" s="3410"/>
      <c r="Z26" s="1264"/>
      <c r="AA26" s="1264">
        <v>1</v>
      </c>
      <c r="AB26" s="1264">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17"/>
      <c r="Q27" s="1263" t="str">
        <f t="shared" ref="Q27:Q47" si="11">B27</f>
        <v>楼层</v>
      </c>
      <c r="R27" s="667" t="s">
        <v>14</v>
      </c>
      <c r="S27" s="668">
        <f>F27</f>
        <v>100</v>
      </c>
      <c r="T27" s="667" t="s">
        <v>14</v>
      </c>
      <c r="U27" s="668">
        <f>H27</f>
        <v>100</v>
      </c>
      <c r="V27" s="667" t="s">
        <v>14</v>
      </c>
      <c r="W27" s="668">
        <f>J27</f>
        <v>100</v>
      </c>
      <c r="X27" s="1265"/>
      <c r="Y27" s="3410"/>
      <c r="Z27" s="1264" t="str">
        <f>Q27</f>
        <v>楼层</v>
      </c>
      <c r="AA27" s="1264">
        <f t="shared" si="3"/>
        <v>1</v>
      </c>
      <c r="AB27" s="1264">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417"/>
      <c r="Q28" s="530" t="str">
        <f t="shared" si="11"/>
        <v>朝向</v>
      </c>
      <c r="R28" s="664" t="s">
        <v>14</v>
      </c>
      <c r="S28" s="665">
        <f>F28</f>
        <v>100</v>
      </c>
      <c r="T28" s="664" t="s">
        <v>14</v>
      </c>
      <c r="U28" s="665">
        <f>H28</f>
        <v>100</v>
      </c>
      <c r="V28" s="664" t="s">
        <v>14</v>
      </c>
      <c r="W28" s="665">
        <f>J28</f>
        <v>100</v>
      </c>
      <c r="X28" s="666"/>
      <c r="Y28" s="3410"/>
      <c r="Z28" s="50" t="str">
        <f>Q28</f>
        <v>朝向</v>
      </c>
      <c r="AA28" s="1264">
        <f>D28/F28</f>
        <v>1</v>
      </c>
      <c r="AB28" s="1264">
        <f>D28/H28</f>
        <v>1</v>
      </c>
      <c r="AC28" s="1811">
        <f>D28/J28</f>
        <v>1</v>
      </c>
    </row>
    <row r="29" spans="1:29" ht="15">
      <c r="A29" s="367"/>
      <c r="B29" s="1099">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417"/>
      <c r="Q29" s="1263">
        <f t="shared" si="11"/>
        <v>111</v>
      </c>
      <c r="R29" s="667" t="s">
        <v>14</v>
      </c>
      <c r="S29" s="668">
        <f t="shared" ref="S29:S47" si="12">F29</f>
        <v>100</v>
      </c>
      <c r="T29" s="667" t="s">
        <v>14</v>
      </c>
      <c r="U29" s="668">
        <f t="shared" ref="U29:U47" si="13">H29</f>
        <v>100</v>
      </c>
      <c r="V29" s="667" t="s">
        <v>14</v>
      </c>
      <c r="W29" s="668">
        <f t="shared" ref="W29:W47" si="14">J29</f>
        <v>100</v>
      </c>
      <c r="X29" s="1265"/>
      <c r="Y29" s="3410"/>
      <c r="Z29" s="1264">
        <f t="shared" ref="Z29:Z47" si="15">Q29</f>
        <v>111</v>
      </c>
      <c r="AA29" s="1264">
        <f t="shared" si="3"/>
        <v>1</v>
      </c>
      <c r="AB29" s="1264">
        <f t="shared" si="4"/>
        <v>1</v>
      </c>
      <c r="AC29" s="1811">
        <f t="shared" si="5"/>
        <v>1</v>
      </c>
    </row>
    <row r="30" spans="1:29" ht="15">
      <c r="A30" s="367"/>
      <c r="B30" s="1099">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417"/>
      <c r="Q30" s="1263">
        <f t="shared" si="11"/>
        <v>111</v>
      </c>
      <c r="R30" s="667" t="s">
        <v>14</v>
      </c>
      <c r="S30" s="668">
        <f t="shared" si="12"/>
        <v>100</v>
      </c>
      <c r="T30" s="667" t="s">
        <v>14</v>
      </c>
      <c r="U30" s="668">
        <f t="shared" si="13"/>
        <v>100</v>
      </c>
      <c r="V30" s="667" t="s">
        <v>14</v>
      </c>
      <c r="W30" s="668">
        <f t="shared" si="14"/>
        <v>100</v>
      </c>
      <c r="X30" s="1265"/>
      <c r="Y30" s="3410"/>
      <c r="Z30" s="1264">
        <f t="shared" si="15"/>
        <v>111</v>
      </c>
      <c r="AA30" s="1264">
        <f t="shared" si="3"/>
        <v>1</v>
      </c>
      <c r="AB30" s="1264">
        <f t="shared" si="4"/>
        <v>1</v>
      </c>
      <c r="AC30" s="1811">
        <f t="shared" si="5"/>
        <v>1</v>
      </c>
    </row>
    <row r="31" spans="1:29" ht="15">
      <c r="A31" s="367"/>
      <c r="B31" s="1099">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417"/>
      <c r="Q31" s="1263">
        <f t="shared" si="11"/>
        <v>111</v>
      </c>
      <c r="R31" s="667" t="s">
        <v>14</v>
      </c>
      <c r="S31" s="668">
        <f t="shared" si="12"/>
        <v>100</v>
      </c>
      <c r="T31" s="667" t="s">
        <v>14</v>
      </c>
      <c r="U31" s="668">
        <f t="shared" si="13"/>
        <v>100</v>
      </c>
      <c r="V31" s="667" t="s">
        <v>14</v>
      </c>
      <c r="W31" s="668">
        <f t="shared" si="14"/>
        <v>100</v>
      </c>
      <c r="X31" s="1265"/>
      <c r="Y31" s="3410"/>
      <c r="Z31" s="1264">
        <f t="shared" si="15"/>
        <v>111</v>
      </c>
      <c r="AA31" s="1264">
        <f t="shared" si="3"/>
        <v>1</v>
      </c>
      <c r="AB31" s="1264">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417"/>
      <c r="Q32" s="1263">
        <f t="shared" si="11"/>
        <v>111</v>
      </c>
      <c r="R32" s="667" t="s">
        <v>14</v>
      </c>
      <c r="S32" s="668">
        <f t="shared" si="12"/>
        <v>100</v>
      </c>
      <c r="T32" s="667" t="s">
        <v>14</v>
      </c>
      <c r="U32" s="668">
        <f t="shared" si="13"/>
        <v>100</v>
      </c>
      <c r="V32" s="667" t="s">
        <v>14</v>
      </c>
      <c r="W32" s="668">
        <f t="shared" si="14"/>
        <v>100</v>
      </c>
      <c r="X32" s="1265"/>
      <c r="Y32" s="3410"/>
      <c r="Z32" s="1264">
        <f t="shared" si="15"/>
        <v>111</v>
      </c>
      <c r="AA32" s="1264">
        <f t="shared" si="3"/>
        <v>1</v>
      </c>
      <c r="AB32" s="1264">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411" t="s">
        <v>1696</v>
      </c>
      <c r="Q33" s="1263" t="str">
        <f t="shared" si="11"/>
        <v>建筑类型</v>
      </c>
      <c r="R33" s="667" t="s">
        <v>14</v>
      </c>
      <c r="S33" s="668">
        <f t="shared" si="12"/>
        <v>100</v>
      </c>
      <c r="T33" s="667" t="s">
        <v>14</v>
      </c>
      <c r="U33" s="668">
        <f t="shared" si="13"/>
        <v>100</v>
      </c>
      <c r="V33" s="667" t="s">
        <v>14</v>
      </c>
      <c r="W33" s="668">
        <f t="shared" si="14"/>
        <v>100</v>
      </c>
      <c r="X33" s="1265"/>
      <c r="Y33" s="3414" t="s">
        <v>1696</v>
      </c>
      <c r="Z33" s="1264" t="str">
        <f t="shared" si="15"/>
        <v>建筑类型</v>
      </c>
      <c r="AA33" s="1264">
        <f t="shared" si="3"/>
        <v>1</v>
      </c>
      <c r="AB33" s="1264">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12"/>
      <c r="Q34" s="531" t="str">
        <f t="shared" si="11"/>
        <v>项目建筑规模</v>
      </c>
      <c r="R34" s="669" t="s">
        <v>14</v>
      </c>
      <c r="S34" s="670" t="e">
        <f t="shared" si="12"/>
        <v>#N/A</v>
      </c>
      <c r="T34" s="669" t="s">
        <v>14</v>
      </c>
      <c r="U34" s="670" t="e">
        <f t="shared" si="13"/>
        <v>#N/A</v>
      </c>
      <c r="V34" s="669" t="s">
        <v>14</v>
      </c>
      <c r="W34" s="670" t="e">
        <f t="shared" si="14"/>
        <v>#N/A</v>
      </c>
      <c r="X34" s="671"/>
      <c r="Y34" s="3414"/>
      <c r="Z34" s="672" t="str">
        <f t="shared" si="15"/>
        <v>项目建筑规模</v>
      </c>
      <c r="AA34" s="1264" t="e">
        <f t="shared" si="3"/>
        <v>#N/A</v>
      </c>
      <c r="AB34" s="1264"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12"/>
      <c r="Q35" s="1263" t="str">
        <f t="shared" si="11"/>
        <v>建筑结构</v>
      </c>
      <c r="R35" s="667" t="s">
        <v>14</v>
      </c>
      <c r="S35" s="668">
        <f t="shared" si="12"/>
        <v>100</v>
      </c>
      <c r="T35" s="667" t="s">
        <v>14</v>
      </c>
      <c r="U35" s="668">
        <f t="shared" si="13"/>
        <v>100</v>
      </c>
      <c r="V35" s="667" t="s">
        <v>14</v>
      </c>
      <c r="W35" s="668">
        <f t="shared" si="14"/>
        <v>100</v>
      </c>
      <c r="X35" s="1265"/>
      <c r="Y35" s="3414"/>
      <c r="Z35" s="1264" t="str">
        <f t="shared" si="15"/>
        <v>建筑结构</v>
      </c>
      <c r="AA35" s="1264">
        <f t="shared" si="3"/>
        <v>1</v>
      </c>
      <c r="AB35" s="1264">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12"/>
      <c r="Q36" s="1263" t="str">
        <f t="shared" si="11"/>
        <v>公共部分装修</v>
      </c>
      <c r="R36" s="667" t="s">
        <v>14</v>
      </c>
      <c r="S36" s="668">
        <f t="shared" si="12"/>
        <v>100</v>
      </c>
      <c r="T36" s="667" t="s">
        <v>14</v>
      </c>
      <c r="U36" s="668">
        <f t="shared" si="13"/>
        <v>100</v>
      </c>
      <c r="V36" s="667" t="s">
        <v>14</v>
      </c>
      <c r="W36" s="668">
        <f t="shared" si="14"/>
        <v>100</v>
      </c>
      <c r="X36" s="1265"/>
      <c r="Y36" s="3414"/>
      <c r="Z36" s="1264" t="str">
        <f t="shared" si="15"/>
        <v>公共部分装修</v>
      </c>
      <c r="AA36" s="1264">
        <f t="shared" si="3"/>
        <v>1</v>
      </c>
      <c r="AB36" s="1264">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12"/>
      <c r="Q37" s="1263" t="str">
        <f t="shared" si="11"/>
        <v>成新度</v>
      </c>
      <c r="R37" s="667" t="s">
        <v>14</v>
      </c>
      <c r="S37" s="668" t="e">
        <f t="shared" si="12"/>
        <v>#N/A</v>
      </c>
      <c r="T37" s="667" t="s">
        <v>14</v>
      </c>
      <c r="U37" s="668" t="e">
        <f t="shared" si="13"/>
        <v>#N/A</v>
      </c>
      <c r="V37" s="667" t="s">
        <v>14</v>
      </c>
      <c r="W37" s="668" t="e">
        <f t="shared" si="14"/>
        <v>#N/A</v>
      </c>
      <c r="X37" s="1265"/>
      <c r="Y37" s="3414"/>
      <c r="Z37" s="1264" t="str">
        <f t="shared" si="15"/>
        <v>成新度</v>
      </c>
      <c r="AA37" s="1264" t="e">
        <f t="shared" si="3"/>
        <v>#N/A</v>
      </c>
      <c r="AB37" s="1264"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12"/>
      <c r="Q38" s="530" t="str">
        <f t="shared" si="11"/>
        <v>写字楼等级</v>
      </c>
      <c r="R38" s="664" t="s">
        <v>14</v>
      </c>
      <c r="S38" s="665">
        <f t="shared" si="12"/>
        <v>100</v>
      </c>
      <c r="T38" s="664" t="s">
        <v>14</v>
      </c>
      <c r="U38" s="665">
        <f t="shared" si="13"/>
        <v>100</v>
      </c>
      <c r="V38" s="664" t="s">
        <v>14</v>
      </c>
      <c r="W38" s="665">
        <f t="shared" si="14"/>
        <v>100</v>
      </c>
      <c r="X38" s="666"/>
      <c r="Y38" s="3414"/>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12" t="s">
        <v>1696</v>
      </c>
      <c r="Q39" s="1263" t="str">
        <f t="shared" si="11"/>
        <v>物业管理</v>
      </c>
      <c r="R39" s="667" t="s">
        <v>14</v>
      </c>
      <c r="S39" s="668">
        <f t="shared" si="12"/>
        <v>100</v>
      </c>
      <c r="T39" s="667" t="s">
        <v>14</v>
      </c>
      <c r="U39" s="668">
        <f t="shared" si="13"/>
        <v>100</v>
      </c>
      <c r="V39" s="667" t="s">
        <v>14</v>
      </c>
      <c r="W39" s="668">
        <f t="shared" si="14"/>
        <v>100</v>
      </c>
      <c r="X39" s="1265"/>
      <c r="Y39" s="3414" t="s">
        <v>1696</v>
      </c>
      <c r="Z39" s="1264" t="str">
        <f t="shared" si="15"/>
        <v>物业管理</v>
      </c>
      <c r="AA39" s="1264">
        <f t="shared" si="3"/>
        <v>1</v>
      </c>
      <c r="AB39" s="1264">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12"/>
      <c r="Q40" s="1263" t="str">
        <f t="shared" si="11"/>
        <v>市政基础设施</v>
      </c>
      <c r="R40" s="667" t="s">
        <v>14</v>
      </c>
      <c r="S40" s="668">
        <f t="shared" si="12"/>
        <v>100</v>
      </c>
      <c r="T40" s="667" t="s">
        <v>14</v>
      </c>
      <c r="U40" s="668">
        <f t="shared" si="13"/>
        <v>100</v>
      </c>
      <c r="V40" s="667" t="s">
        <v>14</v>
      </c>
      <c r="W40" s="668">
        <f t="shared" si="14"/>
        <v>100</v>
      </c>
      <c r="X40" s="1265"/>
      <c r="Y40" s="3414"/>
      <c r="Z40" s="1264" t="str">
        <f t="shared" si="15"/>
        <v>市政基础设施</v>
      </c>
      <c r="AA40" s="1264">
        <f t="shared" si="3"/>
        <v>1</v>
      </c>
      <c r="AB40" s="1264">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12"/>
      <c r="Q41" s="1263" t="str">
        <f t="shared" si="11"/>
        <v>层高</v>
      </c>
      <c r="R41" s="667" t="s">
        <v>14</v>
      </c>
      <c r="S41" s="668">
        <f t="shared" si="12"/>
        <v>100</v>
      </c>
      <c r="T41" s="667" t="s">
        <v>14</v>
      </c>
      <c r="U41" s="668">
        <f t="shared" si="13"/>
        <v>100</v>
      </c>
      <c r="V41" s="667" t="s">
        <v>14</v>
      </c>
      <c r="W41" s="668">
        <f t="shared" si="14"/>
        <v>100</v>
      </c>
      <c r="X41" s="1265"/>
      <c r="Y41" s="3414"/>
      <c r="Z41" s="1264" t="str">
        <f t="shared" si="15"/>
        <v>层高</v>
      </c>
      <c r="AA41" s="1264">
        <f t="shared" si="3"/>
        <v>1</v>
      </c>
      <c r="AB41" s="1264">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12"/>
      <c r="Q42" s="531" t="str">
        <f t="shared" si="11"/>
        <v>单套建筑面积</v>
      </c>
      <c r="R42" s="669" t="s">
        <v>14</v>
      </c>
      <c r="S42" s="670">
        <f t="shared" si="12"/>
        <v>100</v>
      </c>
      <c r="T42" s="669" t="s">
        <v>14</v>
      </c>
      <c r="U42" s="670">
        <f t="shared" si="13"/>
        <v>100</v>
      </c>
      <c r="V42" s="669" t="s">
        <v>14</v>
      </c>
      <c r="W42" s="670">
        <f t="shared" si="14"/>
        <v>100</v>
      </c>
      <c r="X42" s="671"/>
      <c r="Y42" s="3414"/>
      <c r="Z42" s="672" t="str">
        <f t="shared" si="15"/>
        <v>单套建筑面积</v>
      </c>
      <c r="AA42" s="1264">
        <f t="shared" si="3"/>
        <v>1</v>
      </c>
      <c r="AB42" s="1264">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12"/>
      <c r="Q43" s="1263" t="str">
        <f t="shared" si="11"/>
        <v>内部装修</v>
      </c>
      <c r="R43" s="667" t="s">
        <v>14</v>
      </c>
      <c r="S43" s="668">
        <f t="shared" si="12"/>
        <v>100</v>
      </c>
      <c r="T43" s="667" t="s">
        <v>14</v>
      </c>
      <c r="U43" s="668">
        <f t="shared" si="13"/>
        <v>100</v>
      </c>
      <c r="V43" s="667" t="s">
        <v>14</v>
      </c>
      <c r="W43" s="668">
        <f t="shared" si="14"/>
        <v>100</v>
      </c>
      <c r="X43" s="1265"/>
      <c r="Y43" s="3414"/>
      <c r="Z43" s="1264" t="str">
        <f t="shared" si="15"/>
        <v>内部装修</v>
      </c>
      <c r="AA43" s="1264">
        <f t="shared" si="3"/>
        <v>1</v>
      </c>
      <c r="AB43" s="1264">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412"/>
      <c r="Q44" s="1263" t="str">
        <f t="shared" si="11"/>
        <v>内部装修维护情况</v>
      </c>
      <c r="R44" s="667" t="s">
        <v>14</v>
      </c>
      <c r="S44" s="668">
        <f t="shared" si="12"/>
        <v>100</v>
      </c>
      <c r="T44" s="667" t="s">
        <v>14</v>
      </c>
      <c r="U44" s="668">
        <f t="shared" si="13"/>
        <v>100</v>
      </c>
      <c r="V44" s="667" t="s">
        <v>14</v>
      </c>
      <c r="W44" s="668">
        <f t="shared" si="14"/>
        <v>100</v>
      </c>
      <c r="X44" s="1265"/>
      <c r="Y44" s="3414"/>
      <c r="Z44" s="1264" t="str">
        <f t="shared" si="15"/>
        <v>内部装修维护情况</v>
      </c>
      <c r="AA44" s="1264">
        <f t="shared" si="3"/>
        <v>1</v>
      </c>
      <c r="AB44" s="1264">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12"/>
      <c r="Q45" s="530">
        <f t="shared" si="11"/>
        <v>111</v>
      </c>
      <c r="R45" s="664" t="s">
        <v>14</v>
      </c>
      <c r="S45" s="665">
        <f t="shared" si="12"/>
        <v>100</v>
      </c>
      <c r="T45" s="664" t="s">
        <v>14</v>
      </c>
      <c r="U45" s="665">
        <f t="shared" si="13"/>
        <v>100</v>
      </c>
      <c r="V45" s="664" t="s">
        <v>14</v>
      </c>
      <c r="W45" s="665">
        <f t="shared" si="14"/>
        <v>100</v>
      </c>
      <c r="X45" s="666"/>
      <c r="Y45" s="341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12"/>
      <c r="Q46" s="1263">
        <f t="shared" si="11"/>
        <v>111</v>
      </c>
      <c r="R46" s="667" t="s">
        <v>14</v>
      </c>
      <c r="S46" s="668">
        <f t="shared" si="12"/>
        <v>100</v>
      </c>
      <c r="T46" s="667" t="s">
        <v>14</v>
      </c>
      <c r="U46" s="668">
        <f t="shared" si="13"/>
        <v>100</v>
      </c>
      <c r="V46" s="667" t="s">
        <v>14</v>
      </c>
      <c r="W46" s="668">
        <f t="shared" si="14"/>
        <v>100</v>
      </c>
      <c r="X46" s="1265"/>
      <c r="Y46" s="3414"/>
      <c r="Z46" s="1264">
        <f t="shared" si="15"/>
        <v>111</v>
      </c>
      <c r="AA46" s="1264">
        <f t="shared" si="3"/>
        <v>1</v>
      </c>
      <c r="AB46" s="1264">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13"/>
      <c r="Q47" s="1263">
        <f t="shared" si="11"/>
        <v>111</v>
      </c>
      <c r="R47" s="667" t="s">
        <v>14</v>
      </c>
      <c r="S47" s="668">
        <f t="shared" si="12"/>
        <v>100</v>
      </c>
      <c r="T47" s="667" t="s">
        <v>14</v>
      </c>
      <c r="U47" s="668">
        <f t="shared" si="13"/>
        <v>100</v>
      </c>
      <c r="V47" s="667" t="s">
        <v>14</v>
      </c>
      <c r="W47" s="668">
        <f t="shared" si="14"/>
        <v>100</v>
      </c>
      <c r="X47" s="1265"/>
      <c r="Y47" s="3415"/>
      <c r="Z47" s="1264">
        <f t="shared" si="15"/>
        <v>111</v>
      </c>
      <c r="AA47" s="1264">
        <f t="shared" si="3"/>
        <v>1</v>
      </c>
      <c r="AB47" s="1264">
        <f t="shared" si="4"/>
        <v>1</v>
      </c>
      <c r="AC47" s="1811">
        <f t="shared" si="5"/>
        <v>1</v>
      </c>
    </row>
    <row r="48" spans="1:29" ht="15">
      <c r="A48" s="416" t="s">
        <v>1708</v>
      </c>
      <c r="B48" s="417"/>
      <c r="C48" s="1081" t="s">
        <v>0</v>
      </c>
      <c r="D48" s="418"/>
      <c r="E48" s="419"/>
      <c r="F48" s="420"/>
      <c r="G48" s="421"/>
      <c r="H48" s="422"/>
      <c r="I48" s="419"/>
      <c r="J48" s="422"/>
      <c r="K48" s="674"/>
      <c r="L48" s="2494"/>
      <c r="M48" s="2487"/>
      <c r="N48" s="2487"/>
      <c r="O48" s="2487"/>
      <c r="P48" s="3390" t="str">
        <f>A48</f>
        <v>成交单价（元/平方米）</v>
      </c>
      <c r="Q48" s="3408"/>
      <c r="R48" s="3403">
        <f>E48</f>
        <v>0</v>
      </c>
      <c r="S48" s="3403"/>
      <c r="T48" s="3403">
        <f>G48</f>
        <v>0</v>
      </c>
      <c r="U48" s="3403"/>
      <c r="V48" s="3403">
        <f>I48</f>
        <v>0</v>
      </c>
      <c r="W48" s="3403"/>
      <c r="X48" s="385"/>
      <c r="Y48" s="673"/>
      <c r="Z48" s="385"/>
      <c r="AA48" s="385"/>
      <c r="AB48" s="385"/>
      <c r="AC48" s="555"/>
    </row>
    <row r="49" spans="1:29" ht="15.75" thickBot="1">
      <c r="A49" s="423" t="s">
        <v>1793</v>
      </c>
      <c r="B49" s="424"/>
      <c r="C49" s="1082" t="e">
        <f>R50</f>
        <v>#DIV/0!</v>
      </c>
      <c r="D49" s="2140" t="s">
        <v>2138</v>
      </c>
      <c r="E49" s="1083" t="e">
        <f>R49</f>
        <v>#DIV/0!</v>
      </c>
      <c r="F49" s="2141"/>
      <c r="G49" s="1082" t="e">
        <f>T49</f>
        <v>#DIV/0!</v>
      </c>
      <c r="H49" s="2141"/>
      <c r="I49" s="1083" t="e">
        <f>V49</f>
        <v>#DIV/0!</v>
      </c>
      <c r="J49" s="2141"/>
      <c r="K49" s="2143">
        <f>F49+H49+J49</f>
        <v>0</v>
      </c>
      <c r="L49" s="2494"/>
      <c r="M49" s="2487"/>
      <c r="N49" s="2487"/>
      <c r="O49" s="2487"/>
      <c r="P49" s="3390" t="str">
        <f>A49</f>
        <v>比较价值（元/平方米）</v>
      </c>
      <c r="Q49" s="3408"/>
      <c r="R49" s="3403" t="e">
        <f>IF(F1="售价",ROUND(PRODUCT(R48,AA7:AA47),0),ROUND(PRODUCT(R48,AA7:AA47),1))</f>
        <v>#DIV/0!</v>
      </c>
      <c r="S49" s="3403"/>
      <c r="T49" s="3403" t="e">
        <f>IF(F1="售价",ROUND(PRODUCT(T48,AB7:AB47),0),ROUND(PRODUCT(T48,AB7:AB47),1))</f>
        <v>#DIV/0!</v>
      </c>
      <c r="U49" s="3403"/>
      <c r="V49" s="3403" t="e">
        <f>IF(F1="售价",ROUND(PRODUCT(V48,AC7:AC47),0),ROUND(PRODUCT(V48,AC7:AC47),1))</f>
        <v>#DIV/0!</v>
      </c>
      <c r="W49" s="3403"/>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430" t="str">
        <f>A50</f>
        <v>估价对象XX用房的比较价值（楼面单价，元/平方米）</v>
      </c>
      <c r="Q50" s="3431"/>
      <c r="R50" s="3432" t="e">
        <f>IF(F1="售价",ROUND(IF(D49="简单平均",AVERAGE(R49:V49),R49*F49+T49*H49+V49*J49),0),ROUND(IF(D49="简单平均",AVERAGE(R49:V49),R49*F49+T49*H49+V49*J49),1))</f>
        <v>#DIV/0!</v>
      </c>
      <c r="S50" s="3432"/>
      <c r="T50" s="3432"/>
      <c r="U50" s="3432"/>
      <c r="V50" s="3432"/>
      <c r="W50" s="3432"/>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63.97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1" t="s">
        <v>1770</v>
      </c>
      <c r="D4" s="3392"/>
      <c r="E4" s="3393" t="s">
        <v>1771</v>
      </c>
      <c r="F4" s="3394"/>
      <c r="G4" s="3391" t="s">
        <v>1772</v>
      </c>
      <c r="H4" s="3392"/>
      <c r="I4" s="3391" t="s">
        <v>1773</v>
      </c>
      <c r="J4" s="3392"/>
      <c r="K4" s="537" t="s">
        <v>1774</v>
      </c>
      <c r="L4" s="860"/>
      <c r="M4" s="861"/>
      <c r="N4" s="861"/>
      <c r="O4" s="861"/>
      <c r="P4" s="3395" t="s">
        <v>1775</v>
      </c>
      <c r="Q4" s="3396"/>
      <c r="R4" s="3378" t="s">
        <v>1771</v>
      </c>
      <c r="S4" s="3379"/>
      <c r="T4" s="3378" t="s">
        <v>1772</v>
      </c>
      <c r="U4" s="3379"/>
      <c r="V4" s="3403" t="s">
        <v>1773</v>
      </c>
      <c r="W4" s="3403"/>
      <c r="X4" s="1265"/>
      <c r="Y4" s="3378" t="s">
        <v>1775</v>
      </c>
      <c r="Z4" s="3379"/>
      <c r="AA4" s="3373" t="s">
        <v>1771</v>
      </c>
      <c r="AB4" s="3374" t="s">
        <v>1772</v>
      </c>
      <c r="AC4" s="3373" t="s">
        <v>1773</v>
      </c>
    </row>
    <row r="5" spans="1:29" ht="15">
      <c r="A5" s="348"/>
      <c r="B5" s="349"/>
      <c r="C5" s="3384" t="s">
        <v>1673</v>
      </c>
      <c r="D5" s="3385"/>
      <c r="E5" s="3382" t="s">
        <v>1674</v>
      </c>
      <c r="F5" s="3383"/>
      <c r="G5" s="3384" t="s">
        <v>1675</v>
      </c>
      <c r="H5" s="3385"/>
      <c r="I5" s="3384" t="s">
        <v>1676</v>
      </c>
      <c r="J5" s="3385"/>
      <c r="K5" s="537"/>
      <c r="L5" s="860"/>
      <c r="M5" s="861"/>
      <c r="N5" s="861"/>
      <c r="O5" s="861"/>
      <c r="P5" s="3397"/>
      <c r="Q5" s="3398"/>
      <c r="R5" s="3380"/>
      <c r="S5" s="3381"/>
      <c r="T5" s="3380"/>
      <c r="U5" s="3381"/>
      <c r="V5" s="3403"/>
      <c r="W5" s="3403"/>
      <c r="X5" s="1265"/>
      <c r="Y5" s="3380"/>
      <c r="Z5" s="3381"/>
      <c r="AA5" s="3374"/>
      <c r="AB5" s="3374"/>
      <c r="AC5" s="3374"/>
    </row>
    <row r="6" spans="1:29" ht="15.75" thickBot="1">
      <c r="A6" s="350"/>
      <c r="B6" s="351"/>
      <c r="C6" s="3386" t="s">
        <v>1677</v>
      </c>
      <c r="D6" s="3387"/>
      <c r="E6" s="3388" t="s">
        <v>1677</v>
      </c>
      <c r="F6" s="3389"/>
      <c r="G6" s="3386" t="s">
        <v>1677</v>
      </c>
      <c r="H6" s="3387"/>
      <c r="I6" s="3386" t="s">
        <v>1677</v>
      </c>
      <c r="J6" s="3387"/>
      <c r="K6" s="537" t="s">
        <v>1678</v>
      </c>
      <c r="L6" s="860"/>
      <c r="M6" s="861"/>
      <c r="N6" s="861"/>
      <c r="O6" s="861"/>
      <c r="P6" s="3399"/>
      <c r="Q6" s="3400"/>
      <c r="R6" s="3380"/>
      <c r="S6" s="3381"/>
      <c r="T6" s="3401"/>
      <c r="U6" s="3402"/>
      <c r="V6" s="3403"/>
      <c r="W6" s="3403"/>
      <c r="X6" s="1265"/>
      <c r="Y6" s="3401"/>
      <c r="Z6" s="3402"/>
      <c r="AA6" s="3375"/>
      <c r="AB6" s="3375"/>
      <c r="AC6" s="3375"/>
    </row>
    <row r="7" spans="1:29" s="102" customFormat="1" ht="15.75" thickBot="1">
      <c r="A7" s="352" t="s">
        <v>1679</v>
      </c>
      <c r="B7" s="353"/>
      <c r="C7" s="354">
        <f>'数据-取费表'!B2</f>
        <v>45812</v>
      </c>
      <c r="D7" s="355">
        <v>100</v>
      </c>
      <c r="E7" s="356"/>
      <c r="F7" s="357">
        <f>SUMIF(52:52,YEAR(E7)&amp;"-"&amp;MONTH(E7),53:53)</f>
        <v>0</v>
      </c>
      <c r="G7" s="356"/>
      <c r="H7" s="355">
        <f>SUMIF(52:52,YEAR(G7)&amp;"-"&amp;MONTH(G7),53:53)</f>
        <v>0</v>
      </c>
      <c r="I7" s="356"/>
      <c r="J7" s="355">
        <f>SUMIF(52:52,YEAR(I7)&amp;"-"&amp;MONTH(I7),53:53)</f>
        <v>0</v>
      </c>
      <c r="K7" s="38"/>
      <c r="L7" s="862"/>
      <c r="M7" s="863"/>
      <c r="N7" s="863"/>
      <c r="O7" s="863"/>
      <c r="P7" s="3376" t="s">
        <v>1680</v>
      </c>
      <c r="Q7" s="3404"/>
      <c r="R7" s="664" t="s">
        <v>14</v>
      </c>
      <c r="S7" s="665">
        <f t="shared" ref="S7:S15" si="0">F7</f>
        <v>0</v>
      </c>
      <c r="T7" s="664" t="s">
        <v>14</v>
      </c>
      <c r="U7" s="665">
        <f t="shared" ref="U7:U15" si="1">H7</f>
        <v>0</v>
      </c>
      <c r="V7" s="664" t="s">
        <v>14</v>
      </c>
      <c r="W7" s="665">
        <f t="shared" ref="W7:W15" si="2">J7</f>
        <v>0</v>
      </c>
      <c r="X7" s="666"/>
      <c r="Y7" s="3376" t="s">
        <v>1680</v>
      </c>
      <c r="Z7" s="3377"/>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6" t="s">
        <v>1683</v>
      </c>
      <c r="Q8" s="3377"/>
      <c r="R8" s="664" t="s">
        <v>14</v>
      </c>
      <c r="S8" s="665">
        <f t="shared" si="0"/>
        <v>100</v>
      </c>
      <c r="T8" s="664" t="s">
        <v>14</v>
      </c>
      <c r="U8" s="665">
        <f t="shared" si="1"/>
        <v>100</v>
      </c>
      <c r="V8" s="664" t="s">
        <v>14</v>
      </c>
      <c r="W8" s="665">
        <f t="shared" si="2"/>
        <v>100</v>
      </c>
      <c r="X8" s="666"/>
      <c r="Y8" s="3376" t="s">
        <v>1683</v>
      </c>
      <c r="Z8" s="337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8"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08"/>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8"/>
      <c r="Q11" s="530" t="str">
        <f t="shared" si="6"/>
        <v>容积率</v>
      </c>
      <c r="R11" s="664" t="s">
        <v>14</v>
      </c>
      <c r="S11" s="665">
        <f t="shared" si="0"/>
        <v>100</v>
      </c>
      <c r="T11" s="664" t="s">
        <v>14</v>
      </c>
      <c r="U11" s="665">
        <f t="shared" si="1"/>
        <v>100</v>
      </c>
      <c r="V11" s="664" t="s">
        <v>14</v>
      </c>
      <c r="W11" s="665">
        <f t="shared" si="2"/>
        <v>100</v>
      </c>
      <c r="X11" s="666"/>
      <c r="Y11" s="332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408"/>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408"/>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408"/>
      <c r="Q14" s="530">
        <f t="shared" si="6"/>
        <v>111</v>
      </c>
      <c r="R14" s="664" t="s">
        <v>14</v>
      </c>
      <c r="S14" s="665">
        <f t="shared" si="0"/>
        <v>100</v>
      </c>
      <c r="T14" s="664" t="s">
        <v>14</v>
      </c>
      <c r="U14" s="665">
        <f t="shared" si="1"/>
        <v>100</v>
      </c>
      <c r="V14" s="664" t="s">
        <v>14</v>
      </c>
      <c r="W14" s="665">
        <f t="shared" si="2"/>
        <v>100</v>
      </c>
      <c r="X14" s="666"/>
      <c r="Y14" s="3320"/>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9" t="s">
        <v>1691</v>
      </c>
      <c r="Q15" s="1263" t="str">
        <f t="shared" si="6"/>
        <v>产业集聚程度</v>
      </c>
      <c r="R15" s="667" t="s">
        <v>14</v>
      </c>
      <c r="S15" s="668">
        <f t="shared" si="0"/>
        <v>100</v>
      </c>
      <c r="T15" s="667" t="s">
        <v>14</v>
      </c>
      <c r="U15" s="668">
        <f t="shared" si="1"/>
        <v>100</v>
      </c>
      <c r="V15" s="667" t="s">
        <v>14</v>
      </c>
      <c r="W15" s="668">
        <f t="shared" si="2"/>
        <v>100</v>
      </c>
      <c r="X15" s="1265"/>
      <c r="Y15" s="340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0"/>
      <c r="Q16" s="1263"/>
      <c r="R16" s="667"/>
      <c r="S16" s="668"/>
      <c r="T16" s="667"/>
      <c r="U16" s="668"/>
      <c r="V16" s="667"/>
      <c r="W16" s="668"/>
      <c r="X16" s="1265"/>
      <c r="Y16" s="3410"/>
      <c r="Z16" s="1264"/>
      <c r="AA16" s="1264">
        <v>1</v>
      </c>
      <c r="AB16" s="1264">
        <v>1</v>
      </c>
      <c r="AC16" s="1264">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0"/>
      <c r="Q17" s="1263" t="str">
        <f>B17</f>
        <v>交通便捷度</v>
      </c>
      <c r="R17" s="667" t="s">
        <v>14</v>
      </c>
      <c r="S17" s="668">
        <f>F17</f>
        <v>100</v>
      </c>
      <c r="T17" s="667" t="s">
        <v>14</v>
      </c>
      <c r="U17" s="668">
        <f>H17</f>
        <v>100</v>
      </c>
      <c r="V17" s="667" t="s">
        <v>14</v>
      </c>
      <c r="W17" s="668">
        <f>J17</f>
        <v>100</v>
      </c>
      <c r="X17" s="1265"/>
      <c r="Y17" s="3410"/>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870"/>
      <c r="M18" s="861"/>
      <c r="N18" s="861"/>
      <c r="O18" s="869"/>
      <c r="P18" s="3410"/>
      <c r="Q18" s="1263"/>
      <c r="R18" s="667"/>
      <c r="S18" s="668"/>
      <c r="T18" s="667"/>
      <c r="U18" s="668"/>
      <c r="V18" s="667"/>
      <c r="W18" s="668"/>
      <c r="X18" s="1265"/>
      <c r="Y18" s="3410"/>
      <c r="Z18" s="1264"/>
      <c r="AA18" s="1264">
        <v>1</v>
      </c>
      <c r="AB18" s="1264">
        <v>1</v>
      </c>
      <c r="AC18" s="1264">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0"/>
      <c r="Q19" s="1263" t="str">
        <f>B19</f>
        <v>公共配套设施</v>
      </c>
      <c r="R19" s="667" t="s">
        <v>14</v>
      </c>
      <c r="S19" s="668">
        <f>F19</f>
        <v>100</v>
      </c>
      <c r="T19" s="667" t="s">
        <v>14</v>
      </c>
      <c r="U19" s="668">
        <f>H19</f>
        <v>100</v>
      </c>
      <c r="V19" s="667" t="s">
        <v>14</v>
      </c>
      <c r="W19" s="668">
        <f>J19</f>
        <v>100</v>
      </c>
      <c r="X19" s="1265"/>
      <c r="Y19" s="3410"/>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870"/>
      <c r="M20" s="861"/>
      <c r="N20" s="861"/>
      <c r="O20" s="869"/>
      <c r="P20" s="3410"/>
      <c r="Q20" s="1263"/>
      <c r="R20" s="667"/>
      <c r="S20" s="668"/>
      <c r="T20" s="667"/>
      <c r="U20" s="668"/>
      <c r="V20" s="667"/>
      <c r="W20" s="668"/>
      <c r="X20" s="1265"/>
      <c r="Y20" s="3410"/>
      <c r="Z20" s="1264"/>
      <c r="AA20" s="1264">
        <v>1</v>
      </c>
      <c r="AB20" s="1264">
        <v>1</v>
      </c>
      <c r="AC20" s="1264">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0"/>
      <c r="Q21" s="1263" t="str">
        <f>B21</f>
        <v>基础设施水平</v>
      </c>
      <c r="R21" s="667" t="s">
        <v>14</v>
      </c>
      <c r="S21" s="668">
        <f>F21</f>
        <v>100</v>
      </c>
      <c r="T21" s="667" t="s">
        <v>14</v>
      </c>
      <c r="U21" s="668">
        <f>H21</f>
        <v>100</v>
      </c>
      <c r="V21" s="667" t="s">
        <v>14</v>
      </c>
      <c r="W21" s="668">
        <f>J21</f>
        <v>100</v>
      </c>
      <c r="X21" s="1265"/>
      <c r="Y21" s="3410"/>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870"/>
      <c r="M22" s="861"/>
      <c r="N22" s="861"/>
      <c r="O22" s="869"/>
      <c r="P22" s="3410"/>
      <c r="Q22" s="1263"/>
      <c r="R22" s="667"/>
      <c r="S22" s="668"/>
      <c r="T22" s="667"/>
      <c r="U22" s="668"/>
      <c r="V22" s="667"/>
      <c r="W22" s="668"/>
      <c r="X22" s="1265"/>
      <c r="Y22" s="3410"/>
      <c r="Z22" s="1264"/>
      <c r="AA22" s="1264">
        <v>1</v>
      </c>
      <c r="AB22" s="1264">
        <v>1</v>
      </c>
      <c r="AC22" s="1264">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0"/>
      <c r="Q23" s="1263" t="str">
        <f>B23</f>
        <v>环境质量</v>
      </c>
      <c r="R23" s="667" t="s">
        <v>14</v>
      </c>
      <c r="S23" s="668">
        <f>F23</f>
        <v>100</v>
      </c>
      <c r="T23" s="667" t="s">
        <v>14</v>
      </c>
      <c r="U23" s="668">
        <f>H23</f>
        <v>100</v>
      </c>
      <c r="V23" s="667" t="s">
        <v>14</v>
      </c>
      <c r="W23" s="668">
        <f>J23</f>
        <v>100</v>
      </c>
      <c r="X23" s="1265"/>
      <c r="Y23" s="3410"/>
      <c r="Z23" s="1264" t="str">
        <f>Q23</f>
        <v>环境质量</v>
      </c>
      <c r="AA23" s="1264">
        <f t="shared" si="3"/>
        <v>1</v>
      </c>
      <c r="AB23" s="1264">
        <f t="shared" si="4"/>
        <v>1</v>
      </c>
      <c r="AC23" s="1264">
        <f t="shared" si="5"/>
        <v>1</v>
      </c>
    </row>
    <row r="24" spans="1:29" ht="15">
      <c r="A24" s="367"/>
      <c r="B24" s="586"/>
      <c r="C24" s="386"/>
      <c r="D24" s="387"/>
      <c r="E24" s="1751"/>
      <c r="F24" s="388"/>
      <c r="G24" s="1750"/>
      <c r="H24" s="387"/>
      <c r="I24" s="1751"/>
      <c r="J24" s="387"/>
      <c r="K24" s="541"/>
      <c r="L24" s="870"/>
      <c r="M24" s="861"/>
      <c r="N24" s="861"/>
      <c r="O24" s="869"/>
      <c r="P24" s="3410"/>
      <c r="Q24" s="1263"/>
      <c r="R24" s="667"/>
      <c r="S24" s="668"/>
      <c r="T24" s="667"/>
      <c r="U24" s="668"/>
      <c r="V24" s="667"/>
      <c r="W24" s="668"/>
      <c r="X24" s="1265"/>
      <c r="Y24" s="341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0"/>
      <c r="Q25" s="1263">
        <f>B25</f>
        <v>111</v>
      </c>
      <c r="R25" s="667" t="s">
        <v>14</v>
      </c>
      <c r="S25" s="668">
        <f>F25</f>
        <v>100</v>
      </c>
      <c r="T25" s="667" t="s">
        <v>14</v>
      </c>
      <c r="U25" s="668">
        <f>H25</f>
        <v>100</v>
      </c>
      <c r="V25" s="667" t="s">
        <v>14</v>
      </c>
      <c r="W25" s="668">
        <f>J25</f>
        <v>100</v>
      </c>
      <c r="X25" s="1265"/>
      <c r="Y25" s="341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0"/>
      <c r="Q26" s="1263">
        <f t="shared" ref="Q26:Q40" si="11">B26</f>
        <v>111</v>
      </c>
      <c r="R26" s="667" t="s">
        <v>14</v>
      </c>
      <c r="S26" s="668">
        <f>F26</f>
        <v>100</v>
      </c>
      <c r="T26" s="667" t="s">
        <v>14</v>
      </c>
      <c r="U26" s="668">
        <f>H26</f>
        <v>100</v>
      </c>
      <c r="V26" s="667" t="s">
        <v>14</v>
      </c>
      <c r="W26" s="668">
        <f>J26</f>
        <v>100</v>
      </c>
      <c r="X26" s="1265"/>
      <c r="Y26" s="341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0"/>
      <c r="Q27" s="530">
        <f t="shared" si="11"/>
        <v>111</v>
      </c>
      <c r="R27" s="664" t="s">
        <v>14</v>
      </c>
      <c r="S27" s="665">
        <f>F27</f>
        <v>100</v>
      </c>
      <c r="T27" s="664" t="s">
        <v>14</v>
      </c>
      <c r="U27" s="665">
        <f>H27</f>
        <v>100</v>
      </c>
      <c r="V27" s="664" t="s">
        <v>14</v>
      </c>
      <c r="W27" s="665">
        <f>J27</f>
        <v>100</v>
      </c>
      <c r="X27" s="666"/>
      <c r="Y27" s="3410"/>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0"/>
      <c r="Q28" s="1263">
        <f t="shared" si="11"/>
        <v>111</v>
      </c>
      <c r="R28" s="667" t="s">
        <v>14</v>
      </c>
      <c r="S28" s="668">
        <f t="shared" ref="S28:S40" si="12">F28</f>
        <v>100</v>
      </c>
      <c r="T28" s="667" t="s">
        <v>14</v>
      </c>
      <c r="U28" s="668">
        <f t="shared" ref="U28:U40" si="13">H28</f>
        <v>100</v>
      </c>
      <c r="V28" s="667" t="s">
        <v>14</v>
      </c>
      <c r="W28" s="668">
        <f t="shared" ref="W28:W40" si="14">J28</f>
        <v>100</v>
      </c>
      <c r="X28" s="1265"/>
      <c r="Y28" s="3410"/>
      <c r="Z28" s="1264">
        <f t="shared" ref="Z28:Z40" si="15">Q28</f>
        <v>111</v>
      </c>
      <c r="AA28" s="1264">
        <f t="shared" si="3"/>
        <v>1</v>
      </c>
      <c r="AB28" s="1264">
        <f t="shared" si="4"/>
        <v>1</v>
      </c>
      <c r="AC28" s="1264">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33" t="s">
        <v>1696</v>
      </c>
      <c r="Q29" s="1263" t="str">
        <f t="shared" si="11"/>
        <v>建筑类型</v>
      </c>
      <c r="R29" s="667" t="s">
        <v>14</v>
      </c>
      <c r="S29" s="668">
        <f t="shared" si="12"/>
        <v>100</v>
      </c>
      <c r="T29" s="667" t="s">
        <v>14</v>
      </c>
      <c r="U29" s="668">
        <f t="shared" si="13"/>
        <v>100</v>
      </c>
      <c r="V29" s="667" t="s">
        <v>14</v>
      </c>
      <c r="W29" s="668">
        <f t="shared" si="14"/>
        <v>100</v>
      </c>
      <c r="X29" s="1265"/>
      <c r="Y29" s="341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4"/>
      <c r="Q30" s="531" t="str">
        <f t="shared" si="11"/>
        <v>项目建筑规模</v>
      </c>
      <c r="R30" s="669" t="s">
        <v>14</v>
      </c>
      <c r="S30" s="670" t="e">
        <f t="shared" si="12"/>
        <v>#N/A</v>
      </c>
      <c r="T30" s="669" t="s">
        <v>14</v>
      </c>
      <c r="U30" s="670" t="e">
        <f t="shared" si="13"/>
        <v>#N/A</v>
      </c>
      <c r="V30" s="669" t="s">
        <v>14</v>
      </c>
      <c r="W30" s="670" t="e">
        <f t="shared" si="14"/>
        <v>#N/A</v>
      </c>
      <c r="X30" s="671"/>
      <c r="Y30" s="341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4"/>
      <c r="Q31" s="1263" t="str">
        <f t="shared" si="11"/>
        <v>建筑结构</v>
      </c>
      <c r="R31" s="667" t="s">
        <v>14</v>
      </c>
      <c r="S31" s="668">
        <f t="shared" si="12"/>
        <v>100</v>
      </c>
      <c r="T31" s="667" t="s">
        <v>14</v>
      </c>
      <c r="U31" s="668">
        <f t="shared" si="13"/>
        <v>100</v>
      </c>
      <c r="V31" s="667" t="s">
        <v>14</v>
      </c>
      <c r="W31" s="668">
        <f t="shared" si="14"/>
        <v>100</v>
      </c>
      <c r="X31" s="1265"/>
      <c r="Y31" s="341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4"/>
      <c r="Q32" s="1263" t="str">
        <f t="shared" si="11"/>
        <v>公共部分装修</v>
      </c>
      <c r="R32" s="667" t="s">
        <v>14</v>
      </c>
      <c r="S32" s="668">
        <f t="shared" si="12"/>
        <v>100</v>
      </c>
      <c r="T32" s="667" t="s">
        <v>14</v>
      </c>
      <c r="U32" s="668">
        <f t="shared" si="13"/>
        <v>100</v>
      </c>
      <c r="V32" s="667" t="s">
        <v>14</v>
      </c>
      <c r="W32" s="668">
        <f t="shared" si="14"/>
        <v>100</v>
      </c>
      <c r="X32" s="1265"/>
      <c r="Y32" s="341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4"/>
      <c r="Q33" s="1263" t="str">
        <f t="shared" si="11"/>
        <v>成新度</v>
      </c>
      <c r="R33" s="667" t="s">
        <v>14</v>
      </c>
      <c r="S33" s="668" t="e">
        <f t="shared" si="12"/>
        <v>#N/A</v>
      </c>
      <c r="T33" s="667" t="s">
        <v>14</v>
      </c>
      <c r="U33" s="668" t="e">
        <f t="shared" si="13"/>
        <v>#N/A</v>
      </c>
      <c r="V33" s="667" t="s">
        <v>14</v>
      </c>
      <c r="W33" s="668" t="e">
        <f t="shared" si="14"/>
        <v>#N/A</v>
      </c>
      <c r="X33" s="1265"/>
      <c r="Y33" s="341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4"/>
      <c r="Q34" s="530" t="str">
        <f t="shared" si="11"/>
        <v>物业管理</v>
      </c>
      <c r="R34" s="664" t="s">
        <v>14</v>
      </c>
      <c r="S34" s="665">
        <f t="shared" si="12"/>
        <v>100</v>
      </c>
      <c r="T34" s="664" t="s">
        <v>14</v>
      </c>
      <c r="U34" s="665">
        <f t="shared" si="13"/>
        <v>100</v>
      </c>
      <c r="V34" s="664" t="s">
        <v>14</v>
      </c>
      <c r="W34" s="665">
        <f t="shared" si="14"/>
        <v>100</v>
      </c>
      <c r="X34" s="666"/>
      <c r="Y34" s="341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4" t="s">
        <v>1696</v>
      </c>
      <c r="Q35" s="1263" t="str">
        <f t="shared" si="11"/>
        <v>市政基础设施</v>
      </c>
      <c r="R35" s="667" t="s">
        <v>14</v>
      </c>
      <c r="S35" s="668">
        <f t="shared" si="12"/>
        <v>100</v>
      </c>
      <c r="T35" s="667" t="s">
        <v>14</v>
      </c>
      <c r="U35" s="668">
        <f t="shared" si="13"/>
        <v>100</v>
      </c>
      <c r="V35" s="667" t="s">
        <v>14</v>
      </c>
      <c r="W35" s="668">
        <f t="shared" si="14"/>
        <v>100</v>
      </c>
      <c r="X35" s="1265"/>
      <c r="Y35" s="341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4"/>
      <c r="Q36" s="1263" t="str">
        <f t="shared" si="11"/>
        <v>内部装修</v>
      </c>
      <c r="R36" s="667" t="s">
        <v>14</v>
      </c>
      <c r="S36" s="668">
        <f t="shared" si="12"/>
        <v>100</v>
      </c>
      <c r="T36" s="667" t="s">
        <v>14</v>
      </c>
      <c r="U36" s="668">
        <f t="shared" si="13"/>
        <v>100</v>
      </c>
      <c r="V36" s="667" t="s">
        <v>14</v>
      </c>
      <c r="W36" s="668">
        <f t="shared" si="14"/>
        <v>100</v>
      </c>
      <c r="X36" s="1265"/>
      <c r="Y36" s="341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4"/>
      <c r="Q37" s="1263" t="str">
        <f t="shared" si="11"/>
        <v>内部装修状况</v>
      </c>
      <c r="R37" s="667" t="s">
        <v>14</v>
      </c>
      <c r="S37" s="668">
        <f t="shared" si="12"/>
        <v>100</v>
      </c>
      <c r="T37" s="667" t="s">
        <v>14</v>
      </c>
      <c r="U37" s="668">
        <f t="shared" si="13"/>
        <v>100</v>
      </c>
      <c r="V37" s="667" t="s">
        <v>14</v>
      </c>
      <c r="W37" s="668">
        <f t="shared" si="14"/>
        <v>100</v>
      </c>
      <c r="X37" s="1265"/>
      <c r="Y37" s="341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4"/>
      <c r="Q38" s="531">
        <f t="shared" si="11"/>
        <v>111</v>
      </c>
      <c r="R38" s="669" t="s">
        <v>14</v>
      </c>
      <c r="S38" s="670">
        <f t="shared" si="12"/>
        <v>100</v>
      </c>
      <c r="T38" s="669" t="s">
        <v>14</v>
      </c>
      <c r="U38" s="670">
        <f t="shared" si="13"/>
        <v>100</v>
      </c>
      <c r="V38" s="669" t="s">
        <v>14</v>
      </c>
      <c r="W38" s="670">
        <f t="shared" si="14"/>
        <v>100</v>
      </c>
      <c r="X38" s="671"/>
      <c r="Y38" s="341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4"/>
      <c r="Q39" s="1263">
        <f t="shared" si="11"/>
        <v>111</v>
      </c>
      <c r="R39" s="667" t="s">
        <v>14</v>
      </c>
      <c r="S39" s="668">
        <f t="shared" si="12"/>
        <v>100</v>
      </c>
      <c r="T39" s="667" t="s">
        <v>14</v>
      </c>
      <c r="U39" s="668">
        <f t="shared" si="13"/>
        <v>100</v>
      </c>
      <c r="V39" s="667" t="s">
        <v>14</v>
      </c>
      <c r="W39" s="668">
        <f t="shared" si="14"/>
        <v>100</v>
      </c>
      <c r="X39" s="1265"/>
      <c r="Y39" s="3414"/>
      <c r="Z39" s="1264">
        <f t="shared" si="15"/>
        <v>111</v>
      </c>
      <c r="AA39" s="1264">
        <f t="shared" si="3"/>
        <v>1</v>
      </c>
      <c r="AB39" s="1264">
        <f t="shared" si="4"/>
        <v>1</v>
      </c>
      <c r="AC39" s="1264">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5"/>
      <c r="Q40" s="1263">
        <f t="shared" si="11"/>
        <v>111</v>
      </c>
      <c r="R40" s="667" t="s">
        <v>14</v>
      </c>
      <c r="S40" s="668">
        <f t="shared" si="12"/>
        <v>100</v>
      </c>
      <c r="T40" s="667" t="s">
        <v>14</v>
      </c>
      <c r="U40" s="668">
        <f t="shared" si="13"/>
        <v>100</v>
      </c>
      <c r="V40" s="667" t="s">
        <v>14</v>
      </c>
      <c r="W40" s="668">
        <f t="shared" si="14"/>
        <v>100</v>
      </c>
      <c r="X40" s="1265"/>
      <c r="Y40" s="3415"/>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08" t="str">
        <f>A41</f>
        <v>成交单价（元/平方米）</v>
      </c>
      <c r="Q41" s="3408"/>
      <c r="R41" s="3403">
        <f>E41</f>
        <v>0</v>
      </c>
      <c r="S41" s="3403"/>
      <c r="T41" s="3403">
        <f>G41</f>
        <v>0</v>
      </c>
      <c r="U41" s="3403"/>
      <c r="V41" s="3403">
        <f>I41</f>
        <v>0</v>
      </c>
      <c r="W41" s="3403"/>
      <c r="X41" s="385"/>
      <c r="Y41" s="673"/>
      <c r="Z41" s="385"/>
      <c r="AA41" s="385"/>
      <c r="AB41" s="385"/>
      <c r="AC41" s="385"/>
    </row>
    <row r="42" spans="1:29" ht="15.7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408" t="str">
        <f>A42</f>
        <v>比较价值（元/平方米）</v>
      </c>
      <c r="Q42" s="3408"/>
      <c r="R42" s="3403" t="e">
        <f>IF(F1="售价",ROUND(PRODUCT(R41,AA7:AA40),0),ROUND(PRODUCT(R41,AA7:AA40),1))</f>
        <v>#DIV/0!</v>
      </c>
      <c r="S42" s="3403"/>
      <c r="T42" s="3403" t="e">
        <f>IF(F1="售价",ROUND(PRODUCT(T41,AB7:AB40),0),ROUND(PRODUCT(T41,AB7:AB40),1))</f>
        <v>#DIV/0!</v>
      </c>
      <c r="U42" s="3403"/>
      <c r="V42" s="3403" t="e">
        <f>IF(F1="售价",ROUND(PRODUCT(V41,AC7:AC40),0),ROUND(PRODUCT(V41,AC7:AC40),1))</f>
        <v>#DIV/0!</v>
      </c>
      <c r="W42" s="3403"/>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05" t="str">
        <f>A43</f>
        <v>估价对象XX用房的比较价值（楼面单价，元/平方米）</v>
      </c>
      <c r="Q43" s="3406"/>
      <c r="R43" s="3407" t="e">
        <f>IF(F1="售价",ROUND(IF(D42="简单平均",AVERAGE(R42:V42),R42*F42+T42*H42+V42*J42),0),ROUND(IF(D42="简单平均",AVERAGE(R42:V42),R42*F42+T42*H42+V42*J42),1))</f>
        <v>#DIV/0!</v>
      </c>
      <c r="S43" s="3407"/>
      <c r="T43" s="3407"/>
      <c r="U43" s="3407"/>
      <c r="V43" s="3407"/>
      <c r="W43" s="3407"/>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391" t="s">
        <v>1770</v>
      </c>
      <c r="D4" s="3392"/>
      <c r="E4" s="3393" t="s">
        <v>1771</v>
      </c>
      <c r="F4" s="3394"/>
      <c r="G4" s="3391" t="s">
        <v>1772</v>
      </c>
      <c r="H4" s="3392"/>
      <c r="I4" s="3391" t="s">
        <v>1773</v>
      </c>
      <c r="J4" s="3392"/>
      <c r="K4" s="537" t="s">
        <v>1774</v>
      </c>
      <c r="L4" s="2486"/>
      <c r="M4" s="2487"/>
      <c r="N4" s="2487"/>
      <c r="O4" s="2487"/>
      <c r="P4" s="3395" t="s">
        <v>1775</v>
      </c>
      <c r="Q4" s="3396"/>
      <c r="R4" s="3378" t="s">
        <v>1771</v>
      </c>
      <c r="S4" s="3379"/>
      <c r="T4" s="3378" t="s">
        <v>1772</v>
      </c>
      <c r="U4" s="3379"/>
      <c r="V4" s="3403" t="s">
        <v>1773</v>
      </c>
      <c r="W4" s="3403"/>
      <c r="X4" s="1265"/>
      <c r="Y4" s="3378" t="s">
        <v>1775</v>
      </c>
      <c r="Z4" s="3379"/>
      <c r="AA4" s="3373" t="s">
        <v>1771</v>
      </c>
      <c r="AB4" s="3374" t="s">
        <v>1772</v>
      </c>
      <c r="AC4" s="3373" t="s">
        <v>1773</v>
      </c>
    </row>
    <row r="5" spans="1:29" ht="15">
      <c r="A5" s="348"/>
      <c r="B5" s="349"/>
      <c r="C5" s="3384" t="s">
        <v>1673</v>
      </c>
      <c r="D5" s="3385"/>
      <c r="E5" s="3382" t="s">
        <v>1674</v>
      </c>
      <c r="F5" s="3383"/>
      <c r="G5" s="3384" t="s">
        <v>1675</v>
      </c>
      <c r="H5" s="3385"/>
      <c r="I5" s="3384" t="s">
        <v>1676</v>
      </c>
      <c r="J5" s="3385"/>
      <c r="K5" s="537"/>
      <c r="L5" s="2486"/>
      <c r="M5" s="2487"/>
      <c r="N5" s="2487"/>
      <c r="O5" s="2487"/>
      <c r="P5" s="3397"/>
      <c r="Q5" s="3398"/>
      <c r="R5" s="3380"/>
      <c r="S5" s="3381"/>
      <c r="T5" s="3380"/>
      <c r="U5" s="3381"/>
      <c r="V5" s="3403"/>
      <c r="W5" s="3403"/>
      <c r="X5" s="1265"/>
      <c r="Y5" s="3380"/>
      <c r="Z5" s="3381"/>
      <c r="AA5" s="3374"/>
      <c r="AB5" s="3374"/>
      <c r="AC5" s="3374"/>
    </row>
    <row r="6" spans="1:29" ht="15.75" thickBot="1">
      <c r="A6" s="350"/>
      <c r="B6" s="351"/>
      <c r="C6" s="3386" t="s">
        <v>1677</v>
      </c>
      <c r="D6" s="3387"/>
      <c r="E6" s="3388" t="s">
        <v>1677</v>
      </c>
      <c r="F6" s="3389"/>
      <c r="G6" s="3386" t="s">
        <v>1677</v>
      </c>
      <c r="H6" s="3387"/>
      <c r="I6" s="3386" t="s">
        <v>1677</v>
      </c>
      <c r="J6" s="3387"/>
      <c r="K6" s="537" t="s">
        <v>1678</v>
      </c>
      <c r="L6" s="2486"/>
      <c r="M6" s="2487"/>
      <c r="N6" s="2487"/>
      <c r="O6" s="2487"/>
      <c r="P6" s="3399"/>
      <c r="Q6" s="3400"/>
      <c r="R6" s="3380"/>
      <c r="S6" s="3381"/>
      <c r="T6" s="3401"/>
      <c r="U6" s="3402"/>
      <c r="V6" s="3403"/>
      <c r="W6" s="3403"/>
      <c r="X6" s="1265"/>
      <c r="Y6" s="3401"/>
      <c r="Z6" s="3402"/>
      <c r="AA6" s="3375"/>
      <c r="AB6" s="3375"/>
      <c r="AC6" s="3375"/>
    </row>
    <row r="7" spans="1:29" s="102" customFormat="1" ht="15.75" thickBot="1">
      <c r="A7" s="352" t="s">
        <v>1679</v>
      </c>
      <c r="B7" s="353"/>
      <c r="C7" s="354">
        <f>'数据-取费表'!B2</f>
        <v>45812</v>
      </c>
      <c r="D7" s="355">
        <v>100</v>
      </c>
      <c r="E7" s="356"/>
      <c r="F7" s="357">
        <f>SUMIF(48:48,YEAR(E7)&amp;"-"&amp;MONTH(E7),49:49)</f>
        <v>0</v>
      </c>
      <c r="G7" s="356"/>
      <c r="H7" s="355">
        <f>SUMIF(48:48,YEAR(G7)&amp;"-"&amp;MONTH(G7),49:49)</f>
        <v>0</v>
      </c>
      <c r="I7" s="356"/>
      <c r="J7" s="355">
        <f>SUMIF(48:48,YEAR(I7)&amp;"-"&amp;MONTH(I7),49:49)</f>
        <v>0</v>
      </c>
      <c r="K7" s="38"/>
      <c r="L7" s="2488"/>
      <c r="M7" s="2439"/>
      <c r="N7" s="2439"/>
      <c r="O7" s="2439"/>
      <c r="P7" s="3376" t="s">
        <v>1680</v>
      </c>
      <c r="Q7" s="3404"/>
      <c r="R7" s="664" t="s">
        <v>14</v>
      </c>
      <c r="S7" s="665">
        <f t="shared" ref="S7:S14" si="0">F7</f>
        <v>0</v>
      </c>
      <c r="T7" s="664" t="s">
        <v>14</v>
      </c>
      <c r="U7" s="665">
        <f t="shared" ref="U7:U14" si="1">H7</f>
        <v>0</v>
      </c>
      <c r="V7" s="664" t="s">
        <v>14</v>
      </c>
      <c r="W7" s="665">
        <f t="shared" ref="W7:W14" si="2">J7</f>
        <v>0</v>
      </c>
      <c r="X7" s="666"/>
      <c r="Y7" s="3376" t="s">
        <v>1680</v>
      </c>
      <c r="Z7" s="3377"/>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76" t="s">
        <v>1683</v>
      </c>
      <c r="Q8" s="3377"/>
      <c r="R8" s="664" t="s">
        <v>14</v>
      </c>
      <c r="S8" s="665">
        <f t="shared" si="0"/>
        <v>100</v>
      </c>
      <c r="T8" s="664" t="s">
        <v>14</v>
      </c>
      <c r="U8" s="665">
        <f t="shared" si="1"/>
        <v>100</v>
      </c>
      <c r="V8" s="664" t="s">
        <v>14</v>
      </c>
      <c r="W8" s="665">
        <f t="shared" si="2"/>
        <v>100</v>
      </c>
      <c r="X8" s="666"/>
      <c r="Y8" s="3376" t="s">
        <v>1683</v>
      </c>
      <c r="Z8" s="3377"/>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08" t="s">
        <v>1686</v>
      </c>
      <c r="Q9" s="530" t="str">
        <f t="shared" ref="Q9:Q14" si="6">B9</f>
        <v>用途</v>
      </c>
      <c r="R9" s="664" t="s">
        <v>14</v>
      </c>
      <c r="S9" s="665">
        <f t="shared" si="0"/>
        <v>100</v>
      </c>
      <c r="T9" s="664" t="s">
        <v>14</v>
      </c>
      <c r="U9" s="665">
        <f t="shared" si="1"/>
        <v>100</v>
      </c>
      <c r="V9" s="664" t="s">
        <v>14</v>
      </c>
      <c r="W9" s="665">
        <f t="shared" si="2"/>
        <v>100</v>
      </c>
      <c r="X9" s="666"/>
      <c r="Y9" s="3320"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08"/>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08"/>
      <c r="Q11" s="530">
        <f t="shared" si="6"/>
        <v>111</v>
      </c>
      <c r="R11" s="664" t="s">
        <v>14</v>
      </c>
      <c r="S11" s="665">
        <f t="shared" si="0"/>
        <v>100</v>
      </c>
      <c r="T11" s="664" t="s">
        <v>14</v>
      </c>
      <c r="U11" s="665">
        <f t="shared" si="1"/>
        <v>100</v>
      </c>
      <c r="V11" s="664" t="s">
        <v>14</v>
      </c>
      <c r="W11" s="665">
        <f t="shared" si="2"/>
        <v>100</v>
      </c>
      <c r="X11" s="666"/>
      <c r="Y11" s="332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08"/>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08"/>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85.5">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09" t="s">
        <v>1691</v>
      </c>
      <c r="Q14" s="1263" t="str">
        <f t="shared" si="6"/>
        <v>交通便捷度</v>
      </c>
      <c r="R14" s="667" t="s">
        <v>14</v>
      </c>
      <c r="S14" s="668">
        <f t="shared" si="0"/>
        <v>100</v>
      </c>
      <c r="T14" s="667" t="s">
        <v>14</v>
      </c>
      <c r="U14" s="668">
        <f t="shared" si="1"/>
        <v>100</v>
      </c>
      <c r="V14" s="667" t="s">
        <v>14</v>
      </c>
      <c r="W14" s="668">
        <f t="shared" si="2"/>
        <v>100</v>
      </c>
      <c r="X14" s="1265"/>
      <c r="Y14" s="340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10"/>
      <c r="Q15" s="1263"/>
      <c r="R15" s="667"/>
      <c r="S15" s="668"/>
      <c r="T15" s="667"/>
      <c r="U15" s="668"/>
      <c r="V15" s="667"/>
      <c r="W15" s="668"/>
      <c r="X15" s="1265"/>
      <c r="Y15" s="3410"/>
      <c r="Z15" s="1264"/>
      <c r="AA15" s="1264">
        <v>1</v>
      </c>
      <c r="AB15" s="1264">
        <v>1</v>
      </c>
      <c r="AC15" s="1264">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10"/>
      <c r="Q16" s="1263" t="str">
        <f>B16</f>
        <v>公共配套设施</v>
      </c>
      <c r="R16" s="667" t="s">
        <v>14</v>
      </c>
      <c r="S16" s="668">
        <f>F16</f>
        <v>100</v>
      </c>
      <c r="T16" s="667" t="s">
        <v>14</v>
      </c>
      <c r="U16" s="668">
        <f>H16</f>
        <v>100</v>
      </c>
      <c r="V16" s="667" t="s">
        <v>14</v>
      </c>
      <c r="W16" s="668">
        <f>J16</f>
        <v>100</v>
      </c>
      <c r="X16" s="1265"/>
      <c r="Y16" s="3410"/>
      <c r="Z16" s="1264" t="str">
        <f>Q16</f>
        <v>公共配套设施</v>
      </c>
      <c r="AA16" s="1264">
        <f t="shared" si="3"/>
        <v>1</v>
      </c>
      <c r="AB16" s="1264">
        <f t="shared" si="4"/>
        <v>1</v>
      </c>
      <c r="AC16" s="1264">
        <f t="shared" si="5"/>
        <v>1</v>
      </c>
    </row>
    <row r="17" spans="1:29" ht="15">
      <c r="A17" s="348"/>
      <c r="B17" s="401"/>
      <c r="C17" s="1754"/>
      <c r="D17" s="387"/>
      <c r="E17" s="386"/>
      <c r="F17" s="388"/>
      <c r="G17" s="386"/>
      <c r="H17" s="387"/>
      <c r="I17" s="386"/>
      <c r="J17" s="387"/>
      <c r="K17" s="541"/>
      <c r="L17" s="2492"/>
      <c r="M17" s="2487"/>
      <c r="N17" s="2487"/>
      <c r="O17" s="2487"/>
      <c r="P17" s="3410"/>
      <c r="Q17" s="1263"/>
      <c r="R17" s="667"/>
      <c r="S17" s="668"/>
      <c r="T17" s="667"/>
      <c r="U17" s="668"/>
      <c r="V17" s="667"/>
      <c r="W17" s="668"/>
      <c r="X17" s="1265"/>
      <c r="Y17" s="3410"/>
      <c r="Z17" s="1264"/>
      <c r="AA17" s="1264">
        <v>1</v>
      </c>
      <c r="AB17" s="1264">
        <v>1</v>
      </c>
      <c r="AC17" s="1264">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10"/>
      <c r="Q18" s="1263" t="str">
        <f>B18</f>
        <v>基础设施水平</v>
      </c>
      <c r="R18" s="667" t="s">
        <v>14</v>
      </c>
      <c r="S18" s="668">
        <f>F18</f>
        <v>100</v>
      </c>
      <c r="T18" s="667" t="s">
        <v>14</v>
      </c>
      <c r="U18" s="668">
        <f>H18</f>
        <v>100</v>
      </c>
      <c r="V18" s="667" t="s">
        <v>14</v>
      </c>
      <c r="W18" s="668">
        <f>J18</f>
        <v>100</v>
      </c>
      <c r="X18" s="1265"/>
      <c r="Y18" s="3410"/>
      <c r="Z18" s="1264" t="str">
        <f>Q18</f>
        <v>基础设施水平</v>
      </c>
      <c r="AA18" s="1264">
        <f t="shared" ref="AA18" si="8">D18/F18</f>
        <v>1</v>
      </c>
      <c r="AB18" s="1264">
        <f t="shared" ref="AB18" si="9">D18/H18</f>
        <v>1</v>
      </c>
      <c r="AC18" s="1264">
        <f t="shared" ref="AC18" si="10">D18/J18</f>
        <v>1</v>
      </c>
    </row>
    <row r="19" spans="1:29" ht="15">
      <c r="A19" s="348"/>
      <c r="B19" s="557"/>
      <c r="C19" s="1754"/>
      <c r="D19" s="389"/>
      <c r="E19" s="1754"/>
      <c r="F19" s="392"/>
      <c r="G19" s="1754"/>
      <c r="H19" s="387"/>
      <c r="I19" s="386"/>
      <c r="J19" s="387"/>
      <c r="K19" s="1064"/>
      <c r="L19" s="2492"/>
      <c r="M19" s="2487"/>
      <c r="N19" s="2487"/>
      <c r="O19" s="2487"/>
      <c r="P19" s="3410"/>
      <c r="Q19" s="1263"/>
      <c r="R19" s="667"/>
      <c r="S19" s="668"/>
      <c r="T19" s="667"/>
      <c r="U19" s="668"/>
      <c r="V19" s="667"/>
      <c r="W19" s="668"/>
      <c r="X19" s="1265"/>
      <c r="Y19" s="3410"/>
      <c r="Z19" s="1264"/>
      <c r="AA19" s="1264">
        <v>1</v>
      </c>
      <c r="AB19" s="1264">
        <v>1</v>
      </c>
      <c r="AC19" s="1264">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10"/>
      <c r="Q20" s="1263" t="str">
        <f>B20</f>
        <v>自然及人文环境</v>
      </c>
      <c r="R20" s="667" t="s">
        <v>14</v>
      </c>
      <c r="S20" s="668">
        <f>F20</f>
        <v>100</v>
      </c>
      <c r="T20" s="667" t="s">
        <v>14</v>
      </c>
      <c r="U20" s="668">
        <f>H20</f>
        <v>100</v>
      </c>
      <c r="V20" s="667" t="s">
        <v>14</v>
      </c>
      <c r="W20" s="668">
        <f>J20</f>
        <v>100</v>
      </c>
      <c r="X20" s="1265"/>
      <c r="Y20" s="341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10"/>
      <c r="Q21" s="1263"/>
      <c r="R21" s="667"/>
      <c r="S21" s="668"/>
      <c r="T21" s="667"/>
      <c r="U21" s="668"/>
      <c r="V21" s="667"/>
      <c r="W21" s="668"/>
      <c r="X21" s="1265"/>
      <c r="Y21" s="341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10"/>
      <c r="Q22" s="1263" t="str">
        <f>B22</f>
        <v>楼层</v>
      </c>
      <c r="R22" s="667" t="s">
        <v>14</v>
      </c>
      <c r="S22" s="668">
        <f>F22</f>
        <v>100</v>
      </c>
      <c r="T22" s="667" t="s">
        <v>14</v>
      </c>
      <c r="U22" s="668">
        <f>H22</f>
        <v>100</v>
      </c>
      <c r="V22" s="667" t="s">
        <v>14</v>
      </c>
      <c r="W22" s="668">
        <f>J22</f>
        <v>100</v>
      </c>
      <c r="X22" s="1265"/>
      <c r="Y22" s="341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10"/>
      <c r="Q23" s="1263">
        <f>B23</f>
        <v>111</v>
      </c>
      <c r="R23" s="667" t="s">
        <v>14</v>
      </c>
      <c r="S23" s="668">
        <f>F23</f>
        <v>100</v>
      </c>
      <c r="T23" s="667" t="s">
        <v>14</v>
      </c>
      <c r="U23" s="668">
        <f>H23</f>
        <v>100</v>
      </c>
      <c r="V23" s="667" t="s">
        <v>14</v>
      </c>
      <c r="W23" s="668">
        <f>J23</f>
        <v>100</v>
      </c>
      <c r="X23" s="1265"/>
      <c r="Y23" s="341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10"/>
      <c r="Q24" s="1263">
        <f t="shared" ref="Q24:Q36" si="11">B24</f>
        <v>111</v>
      </c>
      <c r="R24" s="667" t="s">
        <v>14</v>
      </c>
      <c r="S24" s="668">
        <f>F24</f>
        <v>100</v>
      </c>
      <c r="T24" s="667" t="s">
        <v>14</v>
      </c>
      <c r="U24" s="668">
        <f>H24</f>
        <v>100</v>
      </c>
      <c r="V24" s="667" t="s">
        <v>14</v>
      </c>
      <c r="W24" s="668">
        <f>J24</f>
        <v>100</v>
      </c>
      <c r="X24" s="1265"/>
      <c r="Y24" s="3410"/>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10"/>
      <c r="Q25" s="530">
        <f t="shared" si="11"/>
        <v>111</v>
      </c>
      <c r="R25" s="664" t="s">
        <v>14</v>
      </c>
      <c r="S25" s="665">
        <f>F25</f>
        <v>100</v>
      </c>
      <c r="T25" s="664" t="s">
        <v>14</v>
      </c>
      <c r="U25" s="665">
        <f>H25</f>
        <v>100</v>
      </c>
      <c r="V25" s="664" t="s">
        <v>14</v>
      </c>
      <c r="W25" s="665">
        <f>J25</f>
        <v>100</v>
      </c>
      <c r="X25" s="666"/>
      <c r="Y25" s="3410"/>
      <c r="Z25" s="50">
        <f>Q25</f>
        <v>111</v>
      </c>
      <c r="AA25" s="1264">
        <f>D25/F25</f>
        <v>1</v>
      </c>
      <c r="AB25" s="1264">
        <f>D25/H25</f>
        <v>1</v>
      </c>
      <c r="AC25" s="1264">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3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14"/>
      <c r="Q27" s="531" t="str">
        <f t="shared" si="11"/>
        <v>项目停车位配比</v>
      </c>
      <c r="R27" s="669" t="s">
        <v>14</v>
      </c>
      <c r="S27" s="670">
        <f t="shared" si="12"/>
        <v>100</v>
      </c>
      <c r="T27" s="669" t="s">
        <v>14</v>
      </c>
      <c r="U27" s="670">
        <f t="shared" si="13"/>
        <v>100</v>
      </c>
      <c r="V27" s="669" t="s">
        <v>14</v>
      </c>
      <c r="W27" s="670">
        <f t="shared" si="14"/>
        <v>100</v>
      </c>
      <c r="X27" s="671"/>
      <c r="Y27" s="341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14"/>
      <c r="Q28" s="1263" t="str">
        <f t="shared" si="11"/>
        <v>公共部分装修</v>
      </c>
      <c r="R28" s="667" t="s">
        <v>14</v>
      </c>
      <c r="S28" s="668">
        <f t="shared" si="12"/>
        <v>100</v>
      </c>
      <c r="T28" s="667" t="s">
        <v>14</v>
      </c>
      <c r="U28" s="668">
        <f t="shared" si="13"/>
        <v>100</v>
      </c>
      <c r="V28" s="667" t="s">
        <v>14</v>
      </c>
      <c r="W28" s="668">
        <f t="shared" si="14"/>
        <v>100</v>
      </c>
      <c r="X28" s="1265"/>
      <c r="Y28" s="341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14"/>
      <c r="Q29" s="1263" t="str">
        <f t="shared" si="11"/>
        <v>成新率</v>
      </c>
      <c r="R29" s="667" t="s">
        <v>14</v>
      </c>
      <c r="S29" s="668" t="e">
        <f t="shared" si="12"/>
        <v>#N/A</v>
      </c>
      <c r="T29" s="667" t="s">
        <v>14</v>
      </c>
      <c r="U29" s="668" t="e">
        <f t="shared" si="13"/>
        <v>#N/A</v>
      </c>
      <c r="V29" s="667" t="s">
        <v>14</v>
      </c>
      <c r="W29" s="668" t="e">
        <f t="shared" si="14"/>
        <v>#N/A</v>
      </c>
      <c r="X29" s="1265"/>
      <c r="Y29" s="341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14"/>
      <c r="Q30" s="1263" t="str">
        <f t="shared" si="11"/>
        <v>物业等级</v>
      </c>
      <c r="R30" s="667" t="s">
        <v>14</v>
      </c>
      <c r="S30" s="668">
        <f t="shared" si="12"/>
        <v>100</v>
      </c>
      <c r="T30" s="667" t="s">
        <v>14</v>
      </c>
      <c r="U30" s="668">
        <f t="shared" si="13"/>
        <v>100</v>
      </c>
      <c r="V30" s="667" t="s">
        <v>14</v>
      </c>
      <c r="W30" s="668">
        <f t="shared" si="14"/>
        <v>100</v>
      </c>
      <c r="X30" s="1265"/>
      <c r="Y30" s="341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14"/>
      <c r="Q31" s="530" t="str">
        <f t="shared" si="11"/>
        <v>停车位面积</v>
      </c>
      <c r="R31" s="664" t="s">
        <v>14</v>
      </c>
      <c r="S31" s="665" t="e">
        <f t="shared" si="12"/>
        <v>#N/A</v>
      </c>
      <c r="T31" s="664" t="s">
        <v>14</v>
      </c>
      <c r="U31" s="665" t="e">
        <f t="shared" si="13"/>
        <v>#N/A</v>
      </c>
      <c r="V31" s="664" t="s">
        <v>14</v>
      </c>
      <c r="W31" s="665" t="e">
        <f t="shared" si="14"/>
        <v>#N/A</v>
      </c>
      <c r="X31" s="666"/>
      <c r="Y31" s="341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14" t="s">
        <v>1696</v>
      </c>
      <c r="Q32" s="1263" t="str">
        <f t="shared" si="11"/>
        <v>车位类型</v>
      </c>
      <c r="R32" s="667" t="s">
        <v>14</v>
      </c>
      <c r="S32" s="668">
        <f t="shared" si="12"/>
        <v>100</v>
      </c>
      <c r="T32" s="667" t="s">
        <v>14</v>
      </c>
      <c r="U32" s="668">
        <f t="shared" si="13"/>
        <v>100</v>
      </c>
      <c r="V32" s="667" t="s">
        <v>14</v>
      </c>
      <c r="W32" s="668">
        <f t="shared" si="14"/>
        <v>100</v>
      </c>
      <c r="X32" s="1265"/>
      <c r="Y32" s="341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14"/>
      <c r="Q33" s="1263" t="str">
        <f t="shared" si="11"/>
        <v>是否直接入户</v>
      </c>
      <c r="R33" s="667" t="s">
        <v>14</v>
      </c>
      <c r="S33" s="668">
        <f t="shared" si="12"/>
        <v>100</v>
      </c>
      <c r="T33" s="667" t="s">
        <v>14</v>
      </c>
      <c r="U33" s="668">
        <f t="shared" si="13"/>
        <v>100</v>
      </c>
      <c r="V33" s="667" t="s">
        <v>14</v>
      </c>
      <c r="W33" s="668">
        <f t="shared" si="14"/>
        <v>100</v>
      </c>
      <c r="X33" s="1265"/>
      <c r="Y33" s="341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14"/>
      <c r="Q34" s="1263">
        <f t="shared" si="11"/>
        <v>111</v>
      </c>
      <c r="R34" s="667" t="s">
        <v>14</v>
      </c>
      <c r="S34" s="668">
        <f t="shared" si="12"/>
        <v>100</v>
      </c>
      <c r="T34" s="667" t="s">
        <v>14</v>
      </c>
      <c r="U34" s="668">
        <f t="shared" si="13"/>
        <v>100</v>
      </c>
      <c r="V34" s="667" t="s">
        <v>14</v>
      </c>
      <c r="W34" s="668">
        <f t="shared" si="14"/>
        <v>100</v>
      </c>
      <c r="X34" s="1265"/>
      <c r="Y34" s="341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14"/>
      <c r="Q35" s="531">
        <f t="shared" si="11"/>
        <v>111</v>
      </c>
      <c r="R35" s="669" t="s">
        <v>14</v>
      </c>
      <c r="S35" s="670">
        <f t="shared" si="12"/>
        <v>100</v>
      </c>
      <c r="T35" s="669" t="s">
        <v>14</v>
      </c>
      <c r="U35" s="670">
        <f t="shared" si="13"/>
        <v>100</v>
      </c>
      <c r="V35" s="669" t="s">
        <v>14</v>
      </c>
      <c r="W35" s="670">
        <f t="shared" si="14"/>
        <v>100</v>
      </c>
      <c r="X35" s="671"/>
      <c r="Y35" s="3414"/>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14"/>
      <c r="Q36" s="1263">
        <f t="shared" si="11"/>
        <v>111</v>
      </c>
      <c r="R36" s="667" t="s">
        <v>14</v>
      </c>
      <c r="S36" s="668">
        <f t="shared" si="12"/>
        <v>100</v>
      </c>
      <c r="T36" s="667" t="s">
        <v>14</v>
      </c>
      <c r="U36" s="668">
        <f t="shared" si="13"/>
        <v>100</v>
      </c>
      <c r="V36" s="667" t="s">
        <v>14</v>
      </c>
      <c r="W36" s="668">
        <f t="shared" si="14"/>
        <v>100</v>
      </c>
      <c r="X36" s="1265"/>
      <c r="Y36" s="3414"/>
      <c r="Z36" s="1264">
        <f t="shared" si="15"/>
        <v>111</v>
      </c>
      <c r="AA36" s="1264">
        <f t="shared" si="3"/>
        <v>1</v>
      </c>
      <c r="AB36" s="1264">
        <f t="shared" si="4"/>
        <v>1</v>
      </c>
      <c r="AC36" s="1264">
        <f t="shared" si="5"/>
        <v>1</v>
      </c>
    </row>
    <row r="37" spans="1:29" ht="15">
      <c r="A37" s="416" t="s">
        <v>1844</v>
      </c>
      <c r="B37" s="1820" t="s">
        <v>3354</v>
      </c>
      <c r="C37" s="1081" t="s">
        <v>0</v>
      </c>
      <c r="D37" s="418"/>
      <c r="E37" s="419"/>
      <c r="F37" s="420"/>
      <c r="G37" s="421"/>
      <c r="H37" s="422"/>
      <c r="I37" s="419"/>
      <c r="J37" s="422"/>
      <c r="K37" s="545"/>
      <c r="L37" s="2494"/>
      <c r="M37" s="2487"/>
      <c r="N37" s="2487"/>
      <c r="O37" s="2487"/>
      <c r="P37" s="3408" t="str">
        <f>A37</f>
        <v>成交单价</v>
      </c>
      <c r="Q37" s="3408"/>
      <c r="R37" s="3403">
        <f>E37</f>
        <v>0</v>
      </c>
      <c r="S37" s="3403"/>
      <c r="T37" s="3403">
        <f>G37</f>
        <v>0</v>
      </c>
      <c r="U37" s="3403"/>
      <c r="V37" s="3403">
        <f>I37</f>
        <v>0</v>
      </c>
      <c r="W37" s="3403"/>
      <c r="X37" s="385"/>
      <c r="Y37" s="673"/>
      <c r="Z37" s="385"/>
      <c r="AA37" s="385"/>
      <c r="AB37" s="385"/>
      <c r="AC37" s="385"/>
    </row>
    <row r="38" spans="1:29" ht="15.7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4"/>
      <c r="M38" s="2487"/>
      <c r="N38" s="2487"/>
      <c r="O38" s="2487"/>
      <c r="P38" s="3408" t="str">
        <f>A38</f>
        <v>比较价值（元/平方米）</v>
      </c>
      <c r="Q38" s="3408"/>
      <c r="R38" s="3403" t="e">
        <f>IF(F1="售价",ROUND(PRODUCT(R37,AA7:AA36),0),ROUND(PRODUCT(R37,AA7:AA36),1))</f>
        <v>#DIV/0!</v>
      </c>
      <c r="S38" s="3403"/>
      <c r="T38" s="3403" t="e">
        <f>IF(F1="售价",ROUND(PRODUCT(T37,AB7:AB36),0),ROUND(PRODUCT(T37,AB7:AB36),1))</f>
        <v>#DIV/0!</v>
      </c>
      <c r="U38" s="3403"/>
      <c r="V38" s="3403" t="e">
        <f>IF(F1="售价",ROUND(PRODUCT(V37,AC7:AC36),0),ROUND(PRODUCT(V37,AC7:AC36),1))</f>
        <v>#DIV/0!</v>
      </c>
      <c r="W38" s="3403"/>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405" t="str">
        <f>A39</f>
        <v>估价对象XX用房的比较价值（楼面单价，元/平方米）</v>
      </c>
      <c r="Q39" s="3406"/>
      <c r="R39" s="3434" t="e">
        <f>IF(F1="售价",ROUND(IF(D38="简单平均",AVERAGE(R38:W38),R38*F38+T38*H38+V38*J38),0),ROUND(IF(D38="简单平均",AVERAGE(R38:V38),R38*F38+T38*H38+V38*J38),1))</f>
        <v>#DIV/0!</v>
      </c>
      <c r="S39" s="3434"/>
      <c r="T39" s="3434"/>
      <c r="U39" s="3434"/>
      <c r="V39" s="3434"/>
      <c r="W39" s="3434"/>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18">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估价对象为北京市房地产，为所有。根据《国有土地使用证》[]，估价对象（分摊）出让国有建设用地使用权面积为0平方米，建筑面积为63.97平方米。</v>
      </c>
    </row>
    <row r="8" spans="1:1" ht="57.75">
      <c r="A8" s="1385" t="s">
        <v>901</v>
      </c>
    </row>
    <row r="9" spans="1:1" ht="18.75">
      <c r="A9" s="1384" t="s">
        <v>902</v>
      </c>
    </row>
    <row r="10" spans="1:1" ht="18">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估价对象为北京市房地产,属开发建设的，该项目尚在开发建设中。根据《国有土地使用证》[]，估价对象（分摊）出让国有建设用地使用权面积为0平方米，规划建筑面积为63.97平方米。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2025年6月4日（评估专业人员实地查勘之日）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54">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本次评估采用的主估价方法为收益法和比较法。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91" t="s">
        <v>1770</v>
      </c>
      <c r="D4" s="3392"/>
      <c r="E4" s="3393" t="s">
        <v>1771</v>
      </c>
      <c r="F4" s="3394"/>
      <c r="G4" s="3391" t="s">
        <v>1772</v>
      </c>
      <c r="H4" s="3392"/>
      <c r="I4" s="3391" t="s">
        <v>1773</v>
      </c>
      <c r="J4" s="3392"/>
      <c r="K4" s="537" t="s">
        <v>1774</v>
      </c>
      <c r="L4" s="2486"/>
      <c r="M4" s="2487"/>
      <c r="N4" s="2487"/>
      <c r="O4" s="2487"/>
      <c r="P4" s="3395" t="s">
        <v>1775</v>
      </c>
      <c r="Q4" s="3396"/>
      <c r="R4" s="3378" t="s">
        <v>1771</v>
      </c>
      <c r="S4" s="3379"/>
      <c r="T4" s="3378" t="s">
        <v>1772</v>
      </c>
      <c r="U4" s="3379"/>
      <c r="V4" s="3403" t="s">
        <v>1773</v>
      </c>
      <c r="W4" s="3403"/>
      <c r="X4" s="1265"/>
      <c r="Y4" s="3378" t="s">
        <v>1775</v>
      </c>
      <c r="Z4" s="3379"/>
      <c r="AA4" s="3373" t="s">
        <v>1771</v>
      </c>
      <c r="AB4" s="3374" t="s">
        <v>1772</v>
      </c>
      <c r="AC4" s="3373" t="s">
        <v>1773</v>
      </c>
    </row>
    <row r="5" spans="1:29" ht="15">
      <c r="A5" s="348"/>
      <c r="B5" s="349"/>
      <c r="C5" s="3384" t="s">
        <v>1673</v>
      </c>
      <c r="D5" s="3385"/>
      <c r="E5" s="3382" t="s">
        <v>1674</v>
      </c>
      <c r="F5" s="3383"/>
      <c r="G5" s="3384" t="s">
        <v>1675</v>
      </c>
      <c r="H5" s="3385"/>
      <c r="I5" s="3384" t="s">
        <v>1676</v>
      </c>
      <c r="J5" s="3385"/>
      <c r="K5" s="537"/>
      <c r="L5" s="2486"/>
      <c r="M5" s="2487"/>
      <c r="N5" s="2487"/>
      <c r="O5" s="2487"/>
      <c r="P5" s="3397"/>
      <c r="Q5" s="3398"/>
      <c r="R5" s="3380"/>
      <c r="S5" s="3381"/>
      <c r="T5" s="3380"/>
      <c r="U5" s="3381"/>
      <c r="V5" s="3403"/>
      <c r="W5" s="3403"/>
      <c r="X5" s="1265"/>
      <c r="Y5" s="3380"/>
      <c r="Z5" s="3381"/>
      <c r="AA5" s="3374"/>
      <c r="AB5" s="3374"/>
      <c r="AC5" s="3374"/>
    </row>
    <row r="6" spans="1:29" ht="15.75" thickBot="1">
      <c r="A6" s="350"/>
      <c r="B6" s="351"/>
      <c r="C6" s="3386" t="s">
        <v>1677</v>
      </c>
      <c r="D6" s="3387"/>
      <c r="E6" s="3388" t="s">
        <v>1677</v>
      </c>
      <c r="F6" s="3389"/>
      <c r="G6" s="3386" t="s">
        <v>1677</v>
      </c>
      <c r="H6" s="3387"/>
      <c r="I6" s="3386" t="s">
        <v>1677</v>
      </c>
      <c r="J6" s="3387"/>
      <c r="K6" s="537" t="s">
        <v>1678</v>
      </c>
      <c r="L6" s="2486"/>
      <c r="M6" s="2487"/>
      <c r="N6" s="2487"/>
      <c r="O6" s="2487"/>
      <c r="P6" s="3399"/>
      <c r="Q6" s="3400"/>
      <c r="R6" s="3380"/>
      <c r="S6" s="3381"/>
      <c r="T6" s="3401"/>
      <c r="U6" s="3402"/>
      <c r="V6" s="3403"/>
      <c r="W6" s="3403"/>
      <c r="X6" s="1265"/>
      <c r="Y6" s="3401"/>
      <c r="Z6" s="3402"/>
      <c r="AA6" s="3375"/>
      <c r="AB6" s="3375"/>
      <c r="AC6" s="3375"/>
    </row>
    <row r="7" spans="1:29" s="102" customFormat="1" ht="15.75" thickBot="1">
      <c r="A7" s="352" t="s">
        <v>1679</v>
      </c>
      <c r="B7" s="353"/>
      <c r="C7" s="354">
        <f>'数据-取费表'!B2</f>
        <v>45812</v>
      </c>
      <c r="D7" s="355">
        <v>100</v>
      </c>
      <c r="E7" s="356"/>
      <c r="F7" s="357">
        <f>SUMIF(46:46,YEAR(E7)&amp;"-"&amp;MONTH(E7),47:47)</f>
        <v>0</v>
      </c>
      <c r="G7" s="1821"/>
      <c r="H7" s="355">
        <f>SUMIF(46:46,YEAR(G7)&amp;"-"&amp;MONTH(G7),47:47)</f>
        <v>0</v>
      </c>
      <c r="I7" s="356"/>
      <c r="J7" s="355">
        <f>SUMIF(46:46,YEAR(I7)&amp;"-"&amp;MONTH(I7),47:47)</f>
        <v>0</v>
      </c>
      <c r="K7" s="38"/>
      <c r="L7" s="2488"/>
      <c r="M7" s="2439"/>
      <c r="N7" s="2439"/>
      <c r="O7" s="2439"/>
      <c r="P7" s="3376" t="s">
        <v>1680</v>
      </c>
      <c r="Q7" s="3404"/>
      <c r="R7" s="664" t="s">
        <v>14</v>
      </c>
      <c r="S7" s="665">
        <f t="shared" ref="S7:S14" si="0">F7</f>
        <v>0</v>
      </c>
      <c r="T7" s="664" t="s">
        <v>14</v>
      </c>
      <c r="U7" s="665">
        <f t="shared" ref="U7:U14" si="1">H7</f>
        <v>0</v>
      </c>
      <c r="V7" s="664" t="s">
        <v>14</v>
      </c>
      <c r="W7" s="665">
        <f t="shared" ref="W7:W14" si="2">J7</f>
        <v>0</v>
      </c>
      <c r="X7" s="666"/>
      <c r="Y7" s="3376" t="s">
        <v>1680</v>
      </c>
      <c r="Z7" s="3377"/>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76" t="s">
        <v>1683</v>
      </c>
      <c r="Q8" s="3377"/>
      <c r="R8" s="664" t="s">
        <v>14</v>
      </c>
      <c r="S8" s="665">
        <f t="shared" si="0"/>
        <v>100</v>
      </c>
      <c r="T8" s="664" t="s">
        <v>14</v>
      </c>
      <c r="U8" s="665">
        <f t="shared" si="1"/>
        <v>100</v>
      </c>
      <c r="V8" s="664" t="s">
        <v>14</v>
      </c>
      <c r="W8" s="665">
        <f t="shared" si="2"/>
        <v>100</v>
      </c>
      <c r="X8" s="666"/>
      <c r="Y8" s="3376" t="s">
        <v>1683</v>
      </c>
      <c r="Z8" s="337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08" t="s">
        <v>1686</v>
      </c>
      <c r="Q9" s="530" t="str">
        <f t="shared" ref="Q9:Q14" si="6">B9</f>
        <v>用途</v>
      </c>
      <c r="R9" s="664" t="s">
        <v>14</v>
      </c>
      <c r="S9" s="665">
        <f t="shared" si="0"/>
        <v>100</v>
      </c>
      <c r="T9" s="664" t="s">
        <v>14</v>
      </c>
      <c r="U9" s="665">
        <f t="shared" si="1"/>
        <v>100</v>
      </c>
      <c r="V9" s="664" t="s">
        <v>14</v>
      </c>
      <c r="W9" s="665">
        <f t="shared" si="2"/>
        <v>100</v>
      </c>
      <c r="X9" s="666"/>
      <c r="Y9" s="3320"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08"/>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08"/>
      <c r="Q11" s="530">
        <f t="shared" si="6"/>
        <v>111</v>
      </c>
      <c r="R11" s="664" t="s">
        <v>14</v>
      </c>
      <c r="S11" s="665">
        <f t="shared" si="0"/>
        <v>100</v>
      </c>
      <c r="T11" s="664" t="s">
        <v>14</v>
      </c>
      <c r="U11" s="665">
        <f t="shared" si="1"/>
        <v>100</v>
      </c>
      <c r="V11" s="664" t="s">
        <v>14</v>
      </c>
      <c r="W11" s="665">
        <f t="shared" si="2"/>
        <v>100</v>
      </c>
      <c r="X11" s="666"/>
      <c r="Y11" s="332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08"/>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408"/>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09" t="s">
        <v>1691</v>
      </c>
      <c r="Q14" s="1263" t="str">
        <f t="shared" si="6"/>
        <v>交通便捷度</v>
      </c>
      <c r="R14" s="667" t="s">
        <v>14</v>
      </c>
      <c r="S14" s="668">
        <f t="shared" si="0"/>
        <v>100</v>
      </c>
      <c r="T14" s="667" t="s">
        <v>14</v>
      </c>
      <c r="U14" s="668">
        <f t="shared" si="1"/>
        <v>100</v>
      </c>
      <c r="V14" s="667" t="s">
        <v>14</v>
      </c>
      <c r="W14" s="668">
        <f t="shared" si="2"/>
        <v>100</v>
      </c>
      <c r="X14" s="1265"/>
      <c r="Y14" s="340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410"/>
      <c r="Q15" s="1263"/>
      <c r="R15" s="667"/>
      <c r="S15" s="668"/>
      <c r="T15" s="667"/>
      <c r="U15" s="668"/>
      <c r="V15" s="667"/>
      <c r="W15" s="668"/>
      <c r="X15" s="1265"/>
      <c r="Y15" s="3410"/>
      <c r="Z15" s="1264"/>
      <c r="AA15" s="1264">
        <v>1</v>
      </c>
      <c r="AB15" s="1264">
        <v>1</v>
      </c>
      <c r="AC15" s="1264">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10"/>
      <c r="Q16" s="1263" t="str">
        <f>B16</f>
        <v>公共配套设施</v>
      </c>
      <c r="R16" s="667" t="s">
        <v>14</v>
      </c>
      <c r="S16" s="668">
        <f>F16</f>
        <v>100</v>
      </c>
      <c r="T16" s="667" t="s">
        <v>14</v>
      </c>
      <c r="U16" s="668">
        <f>H16</f>
        <v>100</v>
      </c>
      <c r="V16" s="667" t="s">
        <v>14</v>
      </c>
      <c r="W16" s="668">
        <f>J16</f>
        <v>100</v>
      </c>
      <c r="X16" s="1265"/>
      <c r="Y16" s="3410"/>
      <c r="Z16" s="1264" t="str">
        <f>Q16</f>
        <v>公共配套设施</v>
      </c>
      <c r="AA16" s="1264">
        <f t="shared" si="3"/>
        <v>1</v>
      </c>
      <c r="AB16" s="1264">
        <f t="shared" si="4"/>
        <v>1</v>
      </c>
      <c r="AC16" s="1264">
        <f t="shared" si="5"/>
        <v>1</v>
      </c>
    </row>
    <row r="17" spans="1:29" ht="15">
      <c r="A17" s="367"/>
      <c r="B17" s="395"/>
      <c r="C17" s="1754"/>
      <c r="D17" s="387"/>
      <c r="E17" s="386"/>
      <c r="F17" s="388"/>
      <c r="G17" s="386"/>
      <c r="H17" s="387"/>
      <c r="I17" s="386"/>
      <c r="J17" s="387"/>
      <c r="K17" s="541"/>
      <c r="L17" s="2492"/>
      <c r="M17" s="2487"/>
      <c r="N17" s="2487"/>
      <c r="O17" s="2542"/>
      <c r="P17" s="3410"/>
      <c r="Q17" s="1263"/>
      <c r="R17" s="667"/>
      <c r="S17" s="668"/>
      <c r="T17" s="667"/>
      <c r="U17" s="668"/>
      <c r="V17" s="667"/>
      <c r="W17" s="668"/>
      <c r="X17" s="1265"/>
      <c r="Y17" s="3410"/>
      <c r="Z17" s="1264"/>
      <c r="AA17" s="1264">
        <v>1</v>
      </c>
      <c r="AB17" s="1264">
        <v>1</v>
      </c>
      <c r="AC17" s="1264">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10"/>
      <c r="Q18" s="1263" t="str">
        <f>B18</f>
        <v>基础设施水平</v>
      </c>
      <c r="R18" s="667" t="s">
        <v>14</v>
      </c>
      <c r="S18" s="668">
        <f>F18</f>
        <v>100</v>
      </c>
      <c r="T18" s="667" t="s">
        <v>14</v>
      </c>
      <c r="U18" s="668">
        <f>H18</f>
        <v>100</v>
      </c>
      <c r="V18" s="667" t="s">
        <v>14</v>
      </c>
      <c r="W18" s="668">
        <f>J18</f>
        <v>100</v>
      </c>
      <c r="X18" s="1265"/>
      <c r="Y18" s="3410"/>
      <c r="Z18" s="1264" t="str">
        <f>Q18</f>
        <v>基础设施水平</v>
      </c>
      <c r="AA18" s="1264">
        <f t="shared" ref="AA18" si="8">D18/F18</f>
        <v>1</v>
      </c>
      <c r="AB18" s="1264">
        <f t="shared" ref="AB18" si="9">D18/H18</f>
        <v>1</v>
      </c>
      <c r="AC18" s="1264">
        <f t="shared" ref="AC18" si="10">D18/J18</f>
        <v>1</v>
      </c>
    </row>
    <row r="19" spans="1:29" ht="15">
      <c r="A19" s="367"/>
      <c r="B19" s="586"/>
      <c r="C19" s="1754"/>
      <c r="D19" s="389"/>
      <c r="E19" s="1754"/>
      <c r="F19" s="392"/>
      <c r="G19" s="1754"/>
      <c r="H19" s="387"/>
      <c r="I19" s="386"/>
      <c r="J19" s="387"/>
      <c r="K19" s="1064"/>
      <c r="L19" s="2492"/>
      <c r="M19" s="2487"/>
      <c r="N19" s="2487"/>
      <c r="O19" s="2542"/>
      <c r="P19" s="3410"/>
      <c r="Q19" s="1263"/>
      <c r="R19" s="667"/>
      <c r="S19" s="668"/>
      <c r="T19" s="667"/>
      <c r="U19" s="668"/>
      <c r="V19" s="667"/>
      <c r="W19" s="668"/>
      <c r="X19" s="1265"/>
      <c r="Y19" s="3410"/>
      <c r="Z19" s="1264"/>
      <c r="AA19" s="1264">
        <v>1</v>
      </c>
      <c r="AB19" s="1264">
        <v>1</v>
      </c>
      <c r="AC19" s="1264">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10"/>
      <c r="Q20" s="1263" t="str">
        <f>B20</f>
        <v>自然及人文环境</v>
      </c>
      <c r="R20" s="667" t="s">
        <v>14</v>
      </c>
      <c r="S20" s="668">
        <f>F20</f>
        <v>100</v>
      </c>
      <c r="T20" s="667" t="s">
        <v>14</v>
      </c>
      <c r="U20" s="668">
        <f>H20</f>
        <v>100</v>
      </c>
      <c r="V20" s="667" t="s">
        <v>14</v>
      </c>
      <c r="W20" s="668">
        <f>J20</f>
        <v>100</v>
      </c>
      <c r="X20" s="1265"/>
      <c r="Y20" s="341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410"/>
      <c r="Q21" s="1263"/>
      <c r="R21" s="667"/>
      <c r="S21" s="668"/>
      <c r="T21" s="667"/>
      <c r="U21" s="668"/>
      <c r="V21" s="667"/>
      <c r="W21" s="668"/>
      <c r="X21" s="1265"/>
      <c r="Y21" s="341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10"/>
      <c r="Q22" s="1263" t="str">
        <f>B22</f>
        <v>楼层</v>
      </c>
      <c r="R22" s="667" t="s">
        <v>14</v>
      </c>
      <c r="S22" s="668">
        <f>F22</f>
        <v>100</v>
      </c>
      <c r="T22" s="667" t="s">
        <v>14</v>
      </c>
      <c r="U22" s="668">
        <f>H22</f>
        <v>100</v>
      </c>
      <c r="V22" s="667" t="s">
        <v>14</v>
      </c>
      <c r="W22" s="668">
        <f>J22</f>
        <v>100</v>
      </c>
      <c r="X22" s="1265"/>
      <c r="Y22" s="341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10"/>
      <c r="Q23" s="1263">
        <f>B23</f>
        <v>111</v>
      </c>
      <c r="R23" s="667" t="s">
        <v>14</v>
      </c>
      <c r="S23" s="668">
        <f>F23</f>
        <v>100</v>
      </c>
      <c r="T23" s="667" t="s">
        <v>14</v>
      </c>
      <c r="U23" s="668">
        <f>H23</f>
        <v>100</v>
      </c>
      <c r="V23" s="667" t="s">
        <v>14</v>
      </c>
      <c r="W23" s="668">
        <f>J23</f>
        <v>100</v>
      </c>
      <c r="X23" s="1265"/>
      <c r="Y23" s="341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10"/>
      <c r="Q24" s="1263">
        <f t="shared" ref="Q24:Q34" si="11">B24</f>
        <v>111</v>
      </c>
      <c r="R24" s="667" t="s">
        <v>14</v>
      </c>
      <c r="S24" s="668">
        <f>F24</f>
        <v>100</v>
      </c>
      <c r="T24" s="667" t="s">
        <v>14</v>
      </c>
      <c r="U24" s="668">
        <f>H24</f>
        <v>100</v>
      </c>
      <c r="V24" s="667" t="s">
        <v>14</v>
      </c>
      <c r="W24" s="668">
        <f>J24</f>
        <v>100</v>
      </c>
      <c r="X24" s="1265"/>
      <c r="Y24" s="3410"/>
      <c r="Z24" s="1264">
        <f>Q24</f>
        <v>111</v>
      </c>
      <c r="AA24" s="1264">
        <f t="shared" si="3"/>
        <v>1</v>
      </c>
      <c r="AB24" s="1264">
        <f t="shared" si="4"/>
        <v>1</v>
      </c>
      <c r="AC24" s="1264">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410"/>
      <c r="Q25" s="530">
        <f t="shared" si="11"/>
        <v>111</v>
      </c>
      <c r="R25" s="664" t="s">
        <v>14</v>
      </c>
      <c r="S25" s="665">
        <f>F25</f>
        <v>100</v>
      </c>
      <c r="T25" s="664" t="s">
        <v>14</v>
      </c>
      <c r="U25" s="665">
        <f>H25</f>
        <v>100</v>
      </c>
      <c r="V25" s="664" t="s">
        <v>14</v>
      </c>
      <c r="W25" s="665">
        <f>J25</f>
        <v>100</v>
      </c>
      <c r="X25" s="666"/>
      <c r="Y25" s="3410"/>
      <c r="Z25" s="50">
        <f>Q25</f>
        <v>111</v>
      </c>
      <c r="AA25" s="1264">
        <f>D25/F25</f>
        <v>1</v>
      </c>
      <c r="AB25" s="1264">
        <f>D25/H25</f>
        <v>1</v>
      </c>
      <c r="AC25" s="1264">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43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14"/>
      <c r="Q27" s="531" t="str">
        <f t="shared" si="11"/>
        <v>成新率</v>
      </c>
      <c r="R27" s="669" t="s">
        <v>14</v>
      </c>
      <c r="S27" s="670" t="e">
        <f t="shared" si="12"/>
        <v>#N/A</v>
      </c>
      <c r="T27" s="669" t="s">
        <v>14</v>
      </c>
      <c r="U27" s="670" t="e">
        <f t="shared" si="13"/>
        <v>#N/A</v>
      </c>
      <c r="V27" s="669" t="s">
        <v>14</v>
      </c>
      <c r="W27" s="670" t="e">
        <f t="shared" si="14"/>
        <v>#N/A</v>
      </c>
      <c r="X27" s="671"/>
      <c r="Y27" s="341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14"/>
      <c r="Q28" s="1263" t="str">
        <f t="shared" si="11"/>
        <v>物业等级</v>
      </c>
      <c r="R28" s="667" t="s">
        <v>14</v>
      </c>
      <c r="S28" s="668">
        <f t="shared" si="12"/>
        <v>100</v>
      </c>
      <c r="T28" s="667" t="s">
        <v>14</v>
      </c>
      <c r="U28" s="668">
        <f t="shared" si="13"/>
        <v>100</v>
      </c>
      <c r="V28" s="667" t="s">
        <v>14</v>
      </c>
      <c r="W28" s="668">
        <f t="shared" si="14"/>
        <v>100</v>
      </c>
      <c r="X28" s="1265"/>
      <c r="Y28" s="341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14"/>
      <c r="Q29" s="1263" t="str">
        <f t="shared" si="11"/>
        <v>有无电梯</v>
      </c>
      <c r="R29" s="667" t="s">
        <v>14</v>
      </c>
      <c r="S29" s="668">
        <f t="shared" si="12"/>
        <v>100</v>
      </c>
      <c r="T29" s="667" t="s">
        <v>14</v>
      </c>
      <c r="U29" s="668">
        <f t="shared" si="13"/>
        <v>100</v>
      </c>
      <c r="V29" s="667" t="s">
        <v>14</v>
      </c>
      <c r="W29" s="668">
        <f t="shared" si="14"/>
        <v>100</v>
      </c>
      <c r="X29" s="1265"/>
      <c r="Y29" s="341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14"/>
      <c r="Q30" s="1263" t="str">
        <f t="shared" si="11"/>
        <v>建筑面积</v>
      </c>
      <c r="R30" s="667" t="s">
        <v>14</v>
      </c>
      <c r="S30" s="668" t="e">
        <f t="shared" si="12"/>
        <v>#N/A</v>
      </c>
      <c r="T30" s="667" t="s">
        <v>14</v>
      </c>
      <c r="U30" s="668" t="e">
        <f t="shared" si="13"/>
        <v>#N/A</v>
      </c>
      <c r="V30" s="667" t="s">
        <v>14</v>
      </c>
      <c r="W30" s="668" t="e">
        <f t="shared" si="14"/>
        <v>#N/A</v>
      </c>
      <c r="X30" s="1265"/>
      <c r="Y30" s="341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414"/>
      <c r="Q31" s="530" t="str">
        <f t="shared" si="11"/>
        <v>是否封闭</v>
      </c>
      <c r="R31" s="664" t="s">
        <v>14</v>
      </c>
      <c r="S31" s="665">
        <f t="shared" si="12"/>
        <v>100</v>
      </c>
      <c r="T31" s="664" t="s">
        <v>14</v>
      </c>
      <c r="U31" s="665">
        <f t="shared" si="13"/>
        <v>100</v>
      </c>
      <c r="V31" s="664" t="s">
        <v>14</v>
      </c>
      <c r="W31" s="665">
        <f t="shared" si="14"/>
        <v>100</v>
      </c>
      <c r="X31" s="666"/>
      <c r="Y31" s="341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14" t="s">
        <v>1696</v>
      </c>
      <c r="Q32" s="1263">
        <f t="shared" si="11"/>
        <v>111</v>
      </c>
      <c r="R32" s="667" t="s">
        <v>14</v>
      </c>
      <c r="S32" s="668">
        <f t="shared" si="12"/>
        <v>100</v>
      </c>
      <c r="T32" s="667" t="s">
        <v>14</v>
      </c>
      <c r="U32" s="668">
        <f t="shared" si="13"/>
        <v>100</v>
      </c>
      <c r="V32" s="667" t="s">
        <v>14</v>
      </c>
      <c r="W32" s="668">
        <f t="shared" si="14"/>
        <v>100</v>
      </c>
      <c r="X32" s="1265"/>
      <c r="Y32" s="341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14"/>
      <c r="Q33" s="1263">
        <f t="shared" si="11"/>
        <v>111</v>
      </c>
      <c r="R33" s="667" t="s">
        <v>14</v>
      </c>
      <c r="S33" s="668">
        <f t="shared" si="12"/>
        <v>100</v>
      </c>
      <c r="T33" s="667" t="s">
        <v>14</v>
      </c>
      <c r="U33" s="668">
        <f t="shared" si="13"/>
        <v>100</v>
      </c>
      <c r="V33" s="667" t="s">
        <v>14</v>
      </c>
      <c r="W33" s="668">
        <f t="shared" si="14"/>
        <v>100</v>
      </c>
      <c r="X33" s="1265"/>
      <c r="Y33" s="3414"/>
      <c r="Z33" s="1264">
        <f t="shared" si="15"/>
        <v>111</v>
      </c>
      <c r="AA33" s="1264">
        <f t="shared" si="3"/>
        <v>1</v>
      </c>
      <c r="AB33" s="1264">
        <f t="shared" si="4"/>
        <v>1</v>
      </c>
      <c r="AC33" s="1264">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414"/>
      <c r="Q34" s="1263">
        <f t="shared" si="11"/>
        <v>111</v>
      </c>
      <c r="R34" s="667" t="s">
        <v>14</v>
      </c>
      <c r="S34" s="668">
        <f t="shared" si="12"/>
        <v>100</v>
      </c>
      <c r="T34" s="667" t="s">
        <v>14</v>
      </c>
      <c r="U34" s="668">
        <f t="shared" si="13"/>
        <v>100</v>
      </c>
      <c r="V34" s="667" t="s">
        <v>14</v>
      </c>
      <c r="W34" s="668">
        <f t="shared" si="14"/>
        <v>100</v>
      </c>
      <c r="X34" s="1265"/>
      <c r="Y34" s="3414"/>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408" t="str">
        <f>A35</f>
        <v>成交单价（元/平方米）</v>
      </c>
      <c r="Q35" s="3408"/>
      <c r="R35" s="3403">
        <f>E35</f>
        <v>0</v>
      </c>
      <c r="S35" s="3403"/>
      <c r="T35" s="3403">
        <f>G35</f>
        <v>0</v>
      </c>
      <c r="U35" s="3403"/>
      <c r="V35" s="3403">
        <f>I35</f>
        <v>0</v>
      </c>
      <c r="W35" s="3403"/>
      <c r="X35" s="385"/>
      <c r="Y35" s="673"/>
      <c r="Z35" s="385"/>
      <c r="AA35" s="385"/>
      <c r="AB35" s="385"/>
      <c r="AC35" s="385"/>
    </row>
    <row r="36" spans="1:30" ht="15.75" thickBot="1">
      <c r="A36" s="423" t="s">
        <v>1793</v>
      </c>
      <c r="B36" s="424"/>
      <c r="C36" s="1082" t="e">
        <f>R37</f>
        <v>#DIV/0!</v>
      </c>
      <c r="D36" s="2140" t="s">
        <v>2138</v>
      </c>
      <c r="E36" s="1083" t="e">
        <f>R36</f>
        <v>#DIV/0!</v>
      </c>
      <c r="F36" s="2141"/>
      <c r="G36" s="1082" t="e">
        <f>T36</f>
        <v>#DIV/0!</v>
      </c>
      <c r="H36" s="2141"/>
      <c r="I36" s="1083" t="e">
        <f>V36</f>
        <v>#DIV/0!</v>
      </c>
      <c r="J36" s="2141"/>
      <c r="K36" s="2143">
        <f>F36+H36+J36</f>
        <v>0</v>
      </c>
      <c r="L36" s="2494"/>
      <c r="M36" s="2487"/>
      <c r="N36" s="2487"/>
      <c r="O36" s="2487"/>
      <c r="P36" s="3408" t="str">
        <f>A36</f>
        <v>比较价值（元/平方米）</v>
      </c>
      <c r="Q36" s="3408"/>
      <c r="R36" s="3403" t="e">
        <f>IF(F1="售价",ROUND(PRODUCT(R35,AA7:AA34),0),ROUND(PRODUCT(R35,AA7:AA34),1))</f>
        <v>#DIV/0!</v>
      </c>
      <c r="S36" s="3403"/>
      <c r="T36" s="3403" t="e">
        <f>IF(F1="售价",ROUND(PRODUCT(T35,AB7:AB34),0),ROUND(PRODUCT(T35,AB7:AB34),1))</f>
        <v>#DIV/0!</v>
      </c>
      <c r="U36" s="3403"/>
      <c r="V36" s="3403" t="e">
        <f>IF(F1="售价",ROUND(PRODUCT(V35,AC7:AC34),0),ROUND(PRODUCT(V35,AC7:AC34),1))</f>
        <v>#DIV/0!</v>
      </c>
      <c r="W36" s="3403"/>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405" t="str">
        <f>A37</f>
        <v>估价对象XX用房的比较价值（楼面单价，元/平方米）</v>
      </c>
      <c r="Q37" s="3406"/>
      <c r="R37" s="3434" t="e">
        <f>IF(F1="售价",ROUND(IF(D36="简单平均",AVERAGE(R36:W36),R36*F36+T36*H36+V36*J36),0),ROUND(IF(D36="简单平均",AVERAGE(R36:V36),R36*F36+T36*H36+V36*J36),1))</f>
        <v>#DIV/0!</v>
      </c>
      <c r="S37" s="3434"/>
      <c r="T37" s="3434"/>
      <c r="U37" s="3434"/>
      <c r="V37" s="3434"/>
      <c r="W37" s="3434"/>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91" t="s">
        <v>1770</v>
      </c>
      <c r="D4" s="3392"/>
      <c r="E4" s="3393" t="s">
        <v>1771</v>
      </c>
      <c r="F4" s="3394"/>
      <c r="G4" s="3391" t="s">
        <v>1772</v>
      </c>
      <c r="H4" s="3392"/>
      <c r="I4" s="3391" t="s">
        <v>1773</v>
      </c>
      <c r="J4" s="3392"/>
      <c r="K4" s="537" t="s">
        <v>1774</v>
      </c>
      <c r="L4" s="2486"/>
      <c r="M4" s="2487"/>
      <c r="N4" s="2487"/>
      <c r="O4" s="2487"/>
      <c r="P4" s="3395" t="s">
        <v>1775</v>
      </c>
      <c r="Q4" s="3396"/>
      <c r="R4" s="3378" t="s">
        <v>1771</v>
      </c>
      <c r="S4" s="3379"/>
      <c r="T4" s="3378" t="s">
        <v>1772</v>
      </c>
      <c r="U4" s="3379"/>
      <c r="V4" s="3403" t="s">
        <v>1773</v>
      </c>
      <c r="W4" s="3403"/>
      <c r="X4" s="1265"/>
      <c r="Y4" s="3378" t="s">
        <v>1775</v>
      </c>
      <c r="Z4" s="3379"/>
      <c r="AA4" s="3373" t="s">
        <v>1771</v>
      </c>
      <c r="AB4" s="3374" t="s">
        <v>1772</v>
      </c>
      <c r="AC4" s="3373" t="s">
        <v>1773</v>
      </c>
    </row>
    <row r="5" spans="1:29" ht="15">
      <c r="A5" s="348"/>
      <c r="B5" s="349"/>
      <c r="C5" s="3384" t="s">
        <v>1673</v>
      </c>
      <c r="D5" s="3385"/>
      <c r="E5" s="3382" t="s">
        <v>1674</v>
      </c>
      <c r="F5" s="3383"/>
      <c r="G5" s="3384" t="s">
        <v>1675</v>
      </c>
      <c r="H5" s="3385"/>
      <c r="I5" s="3384" t="s">
        <v>1676</v>
      </c>
      <c r="J5" s="3385"/>
      <c r="K5" s="537"/>
      <c r="L5" s="2486"/>
      <c r="M5" s="2487"/>
      <c r="N5" s="2487"/>
      <c r="O5" s="2487"/>
      <c r="P5" s="3397"/>
      <c r="Q5" s="3398"/>
      <c r="R5" s="3380"/>
      <c r="S5" s="3381"/>
      <c r="T5" s="3380"/>
      <c r="U5" s="3381"/>
      <c r="V5" s="3403"/>
      <c r="W5" s="3403"/>
      <c r="X5" s="1265"/>
      <c r="Y5" s="3380"/>
      <c r="Z5" s="3381"/>
      <c r="AA5" s="3374"/>
      <c r="AB5" s="3374"/>
      <c r="AC5" s="3374"/>
    </row>
    <row r="6" spans="1:29" ht="15.75" thickBot="1">
      <c r="A6" s="350"/>
      <c r="B6" s="351"/>
      <c r="C6" s="3386" t="s">
        <v>1677</v>
      </c>
      <c r="D6" s="3387"/>
      <c r="E6" s="3388" t="s">
        <v>1677</v>
      </c>
      <c r="F6" s="3389"/>
      <c r="G6" s="3386" t="s">
        <v>1677</v>
      </c>
      <c r="H6" s="3387"/>
      <c r="I6" s="3386" t="s">
        <v>1677</v>
      </c>
      <c r="J6" s="3387"/>
      <c r="K6" s="537" t="s">
        <v>1678</v>
      </c>
      <c r="L6" s="2486"/>
      <c r="M6" s="2487"/>
      <c r="N6" s="2487"/>
      <c r="O6" s="2487"/>
      <c r="P6" s="3399"/>
      <c r="Q6" s="3400"/>
      <c r="R6" s="3380"/>
      <c r="S6" s="3381"/>
      <c r="T6" s="3401"/>
      <c r="U6" s="3402"/>
      <c r="V6" s="3403"/>
      <c r="W6" s="3403"/>
      <c r="X6" s="1265"/>
      <c r="Y6" s="3401"/>
      <c r="Z6" s="3402"/>
      <c r="AA6" s="3375"/>
      <c r="AB6" s="3375"/>
      <c r="AC6" s="3375"/>
    </row>
    <row r="7" spans="1:29" s="102" customFormat="1" ht="15.75" thickBot="1">
      <c r="A7" s="352" t="s">
        <v>1679</v>
      </c>
      <c r="B7" s="353"/>
      <c r="C7" s="354">
        <f>'数据-取费表'!B2</f>
        <v>45812</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376" t="s">
        <v>1680</v>
      </c>
      <c r="Q7" s="3404"/>
      <c r="R7" s="664" t="s">
        <v>14</v>
      </c>
      <c r="S7" s="665">
        <f t="shared" ref="S7:S15" si="0">F7</f>
        <v>0</v>
      </c>
      <c r="T7" s="664" t="s">
        <v>14</v>
      </c>
      <c r="U7" s="665">
        <f t="shared" ref="U7:U15" si="1">H7</f>
        <v>0</v>
      </c>
      <c r="V7" s="664" t="s">
        <v>14</v>
      </c>
      <c r="W7" s="665">
        <f t="shared" ref="W7:W15" si="2">J7</f>
        <v>0</v>
      </c>
      <c r="X7" s="666"/>
      <c r="Y7" s="3376" t="s">
        <v>1680</v>
      </c>
      <c r="Z7" s="3377"/>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76" t="s">
        <v>1683</v>
      </c>
      <c r="Q8" s="3377"/>
      <c r="R8" s="664" t="s">
        <v>14</v>
      </c>
      <c r="S8" s="665">
        <f t="shared" si="0"/>
        <v>0</v>
      </c>
      <c r="T8" s="664" t="s">
        <v>14</v>
      </c>
      <c r="U8" s="665">
        <f t="shared" si="1"/>
        <v>0</v>
      </c>
      <c r="V8" s="664" t="s">
        <v>14</v>
      </c>
      <c r="W8" s="665">
        <f t="shared" si="2"/>
        <v>0</v>
      </c>
      <c r="X8" s="666"/>
      <c r="Y8" s="3376" t="s">
        <v>1683</v>
      </c>
      <c r="Z8" s="3377"/>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408"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101</v>
      </c>
      <c r="G10" s="402"/>
      <c r="H10" s="119">
        <f>ROUND(100/'数据-取费表'!G16,0)</f>
        <v>101</v>
      </c>
      <c r="I10" s="402"/>
      <c r="J10" s="119">
        <f>ROUND(100/'数据-取费表'!G16,0)</f>
        <v>101</v>
      </c>
      <c r="K10" s="592"/>
      <c r="L10" s="2489"/>
      <c r="M10" s="2490"/>
      <c r="N10" s="2490"/>
      <c r="O10" s="2541"/>
      <c r="P10" s="3408"/>
      <c r="Q10" s="530" t="str">
        <f t="shared" si="6"/>
        <v>土地使用年限（年）</v>
      </c>
      <c r="R10" s="664" t="s">
        <v>14</v>
      </c>
      <c r="S10" s="665">
        <f t="shared" si="0"/>
        <v>101</v>
      </c>
      <c r="T10" s="664" t="s">
        <v>14</v>
      </c>
      <c r="U10" s="665">
        <f t="shared" si="1"/>
        <v>101</v>
      </c>
      <c r="V10" s="664" t="s">
        <v>14</v>
      </c>
      <c r="W10" s="665">
        <f t="shared" si="2"/>
        <v>101</v>
      </c>
      <c r="X10" s="666"/>
      <c r="Y10" s="3320"/>
      <c r="Z10" s="50" t="str">
        <f t="shared" si="7"/>
        <v>土地使用年限（年）</v>
      </c>
      <c r="AA10" s="50">
        <f t="shared" si="3"/>
        <v>0.99009900990099009</v>
      </c>
      <c r="AB10" s="50">
        <f t="shared" si="4"/>
        <v>0.99009900990099009</v>
      </c>
      <c r="AC10" s="50">
        <f t="shared" si="5"/>
        <v>0.99009900990099009</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08"/>
      <c r="Q11" s="530" t="str">
        <f t="shared" si="6"/>
        <v>容积率</v>
      </c>
      <c r="R11" s="664" t="s">
        <v>14</v>
      </c>
      <c r="S11" s="665" t="e">
        <f t="shared" si="0"/>
        <v>#N/A</v>
      </c>
      <c r="T11" s="664" t="s">
        <v>14</v>
      </c>
      <c r="U11" s="665" t="e">
        <f t="shared" si="1"/>
        <v>#N/A</v>
      </c>
      <c r="V11" s="664" t="s">
        <v>14</v>
      </c>
      <c r="W11" s="665" t="e">
        <f t="shared" si="2"/>
        <v>#N/A</v>
      </c>
      <c r="X11" s="666"/>
      <c r="Y11" s="332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408"/>
      <c r="Q12" s="530" t="str">
        <f t="shared" si="6"/>
        <v>配建</v>
      </c>
      <c r="R12" s="664" t="s">
        <v>14</v>
      </c>
      <c r="S12" s="665">
        <f t="shared" si="0"/>
        <v>100</v>
      </c>
      <c r="T12" s="664" t="s">
        <v>14</v>
      </c>
      <c r="U12" s="665">
        <f t="shared" si="1"/>
        <v>100</v>
      </c>
      <c r="V12" s="664" t="s">
        <v>14</v>
      </c>
      <c r="W12" s="665">
        <f t="shared" si="2"/>
        <v>100</v>
      </c>
      <c r="X12" s="666"/>
      <c r="Y12" s="332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08"/>
      <c r="Q13" s="530">
        <f t="shared" si="6"/>
        <v>111</v>
      </c>
      <c r="R13" s="664" t="s">
        <v>14</v>
      </c>
      <c r="S13" s="665">
        <f t="shared" si="0"/>
        <v>100</v>
      </c>
      <c r="T13" s="664" t="s">
        <v>14</v>
      </c>
      <c r="U13" s="665">
        <f t="shared" si="1"/>
        <v>100</v>
      </c>
      <c r="V13" s="664" t="s">
        <v>14</v>
      </c>
      <c r="W13" s="665">
        <f t="shared" si="2"/>
        <v>100</v>
      </c>
      <c r="X13" s="666"/>
      <c r="Y13" s="3320"/>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08"/>
      <c r="Q14" s="530">
        <f t="shared" si="6"/>
        <v>111</v>
      </c>
      <c r="R14" s="664" t="s">
        <v>14</v>
      </c>
      <c r="S14" s="665">
        <f t="shared" si="0"/>
        <v>100</v>
      </c>
      <c r="T14" s="664" t="s">
        <v>14</v>
      </c>
      <c r="U14" s="665">
        <f t="shared" si="1"/>
        <v>100</v>
      </c>
      <c r="V14" s="664" t="s">
        <v>14</v>
      </c>
      <c r="W14" s="665">
        <f t="shared" si="2"/>
        <v>100</v>
      </c>
      <c r="X14" s="666"/>
      <c r="Y14" s="3320"/>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09" t="s">
        <v>1691</v>
      </c>
      <c r="Q15" s="1263" t="str">
        <f t="shared" si="6"/>
        <v>居住社区成熟度</v>
      </c>
      <c r="R15" s="667" t="s">
        <v>14</v>
      </c>
      <c r="S15" s="668">
        <f t="shared" si="0"/>
        <v>100</v>
      </c>
      <c r="T15" s="667" t="s">
        <v>14</v>
      </c>
      <c r="U15" s="668">
        <f t="shared" si="1"/>
        <v>100</v>
      </c>
      <c r="V15" s="667" t="s">
        <v>14</v>
      </c>
      <c r="W15" s="668">
        <f t="shared" si="2"/>
        <v>100</v>
      </c>
      <c r="X15" s="1265"/>
      <c r="Y15" s="3409"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1"/>
      <c r="H16" s="389"/>
      <c r="I16" s="1750"/>
      <c r="J16" s="387"/>
      <c r="K16" s="592"/>
      <c r="L16" s="2492"/>
      <c r="M16" s="2487"/>
      <c r="N16" s="2487"/>
      <c r="O16" s="2542"/>
      <c r="P16" s="3410"/>
      <c r="Q16" s="1263"/>
      <c r="R16" s="667"/>
      <c r="S16" s="668"/>
      <c r="T16" s="667"/>
      <c r="U16" s="668"/>
      <c r="V16" s="667"/>
      <c r="W16" s="668"/>
      <c r="X16" s="1265"/>
      <c r="Y16" s="3410"/>
      <c r="Z16" s="1264"/>
      <c r="AA16" s="1264">
        <v>1</v>
      </c>
      <c r="AB16" s="1264">
        <v>1</v>
      </c>
      <c r="AC16" s="1264">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10"/>
      <c r="Q17" s="1263" t="str">
        <f>B17</f>
        <v>商业繁华度</v>
      </c>
      <c r="R17" s="667" t="s">
        <v>14</v>
      </c>
      <c r="S17" s="668">
        <f>F17</f>
        <v>100</v>
      </c>
      <c r="T17" s="667" t="s">
        <v>14</v>
      </c>
      <c r="U17" s="668">
        <f>H17</f>
        <v>100</v>
      </c>
      <c r="V17" s="667" t="s">
        <v>14</v>
      </c>
      <c r="W17" s="668">
        <f>J17</f>
        <v>100</v>
      </c>
      <c r="X17" s="1265"/>
      <c r="Y17" s="3410"/>
      <c r="Z17" s="1264" t="str">
        <f>Q17</f>
        <v>商业繁华度</v>
      </c>
      <c r="AA17" s="1264">
        <f t="shared" si="3"/>
        <v>1</v>
      </c>
      <c r="AB17" s="1264">
        <f t="shared" si="4"/>
        <v>1</v>
      </c>
      <c r="AC17" s="1264">
        <f t="shared" si="5"/>
        <v>1</v>
      </c>
    </row>
    <row r="18" spans="1:29" ht="15">
      <c r="A18" s="367"/>
      <c r="B18" s="395"/>
      <c r="C18" s="1754"/>
      <c r="D18" s="389"/>
      <c r="E18" s="1756"/>
      <c r="F18" s="389"/>
      <c r="G18" s="1756"/>
      <c r="H18" s="387"/>
      <c r="I18" s="1755"/>
      <c r="J18" s="387"/>
      <c r="K18" s="592"/>
      <c r="L18" s="2492"/>
      <c r="M18" s="2487"/>
      <c r="N18" s="2487"/>
      <c r="O18" s="2542"/>
      <c r="P18" s="3410"/>
      <c r="Q18" s="1263"/>
      <c r="R18" s="667"/>
      <c r="S18" s="668"/>
      <c r="T18" s="667"/>
      <c r="U18" s="668"/>
      <c r="V18" s="667"/>
      <c r="W18" s="668"/>
      <c r="X18" s="1265"/>
      <c r="Y18" s="3410"/>
      <c r="Z18" s="1264"/>
      <c r="AA18" s="1264">
        <v>1</v>
      </c>
      <c r="AB18" s="1264">
        <v>1</v>
      </c>
      <c r="AC18" s="1264">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10"/>
      <c r="Q19" s="1263" t="str">
        <f>B19</f>
        <v>办公集聚程度</v>
      </c>
      <c r="R19" s="667" t="s">
        <v>14</v>
      </c>
      <c r="S19" s="668">
        <f>F19</f>
        <v>100</v>
      </c>
      <c r="T19" s="667" t="s">
        <v>14</v>
      </c>
      <c r="U19" s="668">
        <f>H19</f>
        <v>100</v>
      </c>
      <c r="V19" s="667" t="s">
        <v>14</v>
      </c>
      <c r="W19" s="668">
        <f>J19</f>
        <v>100</v>
      </c>
      <c r="X19" s="1265"/>
      <c r="Y19" s="3410"/>
      <c r="Z19" s="1264" t="str">
        <f>Q19</f>
        <v>办公集聚程度</v>
      </c>
      <c r="AA19" s="1264">
        <f t="shared" si="3"/>
        <v>1</v>
      </c>
      <c r="AB19" s="1264">
        <f t="shared" si="4"/>
        <v>1</v>
      </c>
      <c r="AC19" s="1264">
        <f t="shared" si="5"/>
        <v>1</v>
      </c>
    </row>
    <row r="20" spans="1:29" ht="15">
      <c r="A20" s="367"/>
      <c r="B20" s="395"/>
      <c r="C20" s="386"/>
      <c r="D20" s="387"/>
      <c r="E20" s="1751"/>
      <c r="F20" s="387"/>
      <c r="G20" s="1751"/>
      <c r="H20" s="387"/>
      <c r="I20" s="1750"/>
      <c r="J20" s="387"/>
      <c r="K20" s="592"/>
      <c r="L20" s="2492"/>
      <c r="M20" s="2487"/>
      <c r="N20" s="2487"/>
      <c r="O20" s="2542"/>
      <c r="P20" s="3410"/>
      <c r="Q20" s="1263"/>
      <c r="R20" s="667"/>
      <c r="S20" s="668"/>
      <c r="T20" s="667"/>
      <c r="U20" s="668"/>
      <c r="V20" s="667"/>
      <c r="W20" s="668"/>
      <c r="X20" s="1265"/>
      <c r="Y20" s="3410"/>
      <c r="Z20" s="1264"/>
      <c r="AA20" s="1264">
        <v>1</v>
      </c>
      <c r="AB20" s="1264">
        <v>1</v>
      </c>
      <c r="AC20" s="1264">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10"/>
      <c r="Q21" s="1263" t="str">
        <f>B21</f>
        <v>交通便捷度</v>
      </c>
      <c r="R21" s="667" t="s">
        <v>14</v>
      </c>
      <c r="S21" s="668">
        <f>F21</f>
        <v>100</v>
      </c>
      <c r="T21" s="667" t="s">
        <v>14</v>
      </c>
      <c r="U21" s="668">
        <f>H21</f>
        <v>100</v>
      </c>
      <c r="V21" s="667" t="s">
        <v>14</v>
      </c>
      <c r="W21" s="668">
        <f>J21</f>
        <v>100</v>
      </c>
      <c r="X21" s="1265"/>
      <c r="Y21" s="3410"/>
      <c r="Z21" s="1264" t="str">
        <f>Q21</f>
        <v>交通便捷度</v>
      </c>
      <c r="AA21" s="1264">
        <f t="shared" si="3"/>
        <v>1</v>
      </c>
      <c r="AB21" s="1264">
        <f t="shared" si="4"/>
        <v>1</v>
      </c>
      <c r="AC21" s="1264">
        <f t="shared" si="5"/>
        <v>1</v>
      </c>
    </row>
    <row r="22" spans="1:29" ht="15">
      <c r="A22" s="367"/>
      <c r="B22" s="586"/>
      <c r="C22" s="386"/>
      <c r="D22" s="389"/>
      <c r="E22" s="1751"/>
      <c r="F22" s="387"/>
      <c r="G22" s="1751"/>
      <c r="H22" s="387"/>
      <c r="I22" s="1750"/>
      <c r="J22" s="387"/>
      <c r="K22" s="592"/>
      <c r="L22" s="2492"/>
      <c r="M22" s="2487"/>
      <c r="N22" s="2487"/>
      <c r="O22" s="2542"/>
      <c r="P22" s="3410"/>
      <c r="Q22" s="1263"/>
      <c r="R22" s="667"/>
      <c r="S22" s="668"/>
      <c r="T22" s="667"/>
      <c r="U22" s="668"/>
      <c r="V22" s="667"/>
      <c r="W22" s="668"/>
      <c r="X22" s="1265"/>
      <c r="Y22" s="3410"/>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10"/>
      <c r="Q23" s="1263" t="str">
        <f t="shared" ref="Q23:Q37" si="8">B23</f>
        <v>区域土地利用方向</v>
      </c>
      <c r="R23" s="667" t="s">
        <v>14</v>
      </c>
      <c r="S23" s="668">
        <f>F23</f>
        <v>100</v>
      </c>
      <c r="T23" s="667" t="s">
        <v>14</v>
      </c>
      <c r="U23" s="668">
        <f>H23</f>
        <v>100</v>
      </c>
      <c r="V23" s="667" t="s">
        <v>14</v>
      </c>
      <c r="W23" s="668">
        <f>J23</f>
        <v>100</v>
      </c>
      <c r="X23" s="1265"/>
      <c r="Y23" s="3410"/>
      <c r="Z23" s="1264" t="str">
        <f>Q23</f>
        <v>区域土地利用方向</v>
      </c>
      <c r="AA23" s="1264">
        <f t="shared" si="3"/>
        <v>1</v>
      </c>
      <c r="AB23" s="1264">
        <f t="shared" si="4"/>
        <v>1</v>
      </c>
      <c r="AC23" s="1264">
        <f t="shared" si="5"/>
        <v>1</v>
      </c>
    </row>
    <row r="24" spans="1:29" ht="15">
      <c r="A24" s="348"/>
      <c r="B24" s="395"/>
      <c r="C24" s="542"/>
      <c r="D24" s="387"/>
      <c r="E24" s="1751"/>
      <c r="F24" s="387"/>
      <c r="G24" s="1750"/>
      <c r="H24" s="387"/>
      <c r="I24" s="1750"/>
      <c r="J24" s="387"/>
      <c r="K24" s="698"/>
      <c r="L24" s="2492"/>
      <c r="M24" s="2487"/>
      <c r="N24" s="2487"/>
      <c r="O24" s="2542"/>
      <c r="P24" s="3410"/>
      <c r="Q24" s="1263"/>
      <c r="R24" s="667"/>
      <c r="S24" s="668"/>
      <c r="T24" s="667"/>
      <c r="U24" s="668"/>
      <c r="V24" s="667"/>
      <c r="W24" s="668"/>
      <c r="X24" s="1265"/>
      <c r="Y24" s="3410"/>
      <c r="Z24" s="1264"/>
      <c r="AA24" s="1264"/>
      <c r="AB24" s="1264"/>
      <c r="AC24" s="1264"/>
    </row>
    <row r="25" spans="1:29" ht="57">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10"/>
      <c r="Q25" s="1263" t="str">
        <f t="shared" si="8"/>
        <v>自然及人文环境状况</v>
      </c>
      <c r="R25" s="667" t="s">
        <v>14</v>
      </c>
      <c r="S25" s="668">
        <f>F25</f>
        <v>100</v>
      </c>
      <c r="T25" s="667" t="s">
        <v>14</v>
      </c>
      <c r="U25" s="668">
        <f>H25</f>
        <v>100</v>
      </c>
      <c r="V25" s="667" t="s">
        <v>14</v>
      </c>
      <c r="W25" s="668">
        <f>J25</f>
        <v>100</v>
      </c>
      <c r="X25" s="1265"/>
      <c r="Y25" s="3410"/>
      <c r="Z25" s="1264" t="str">
        <f>Q25</f>
        <v>自然及人文环境状况</v>
      </c>
      <c r="AA25" s="1264">
        <f t="shared" si="3"/>
        <v>1</v>
      </c>
      <c r="AB25" s="1264">
        <f t="shared" si="4"/>
        <v>1</v>
      </c>
      <c r="AC25" s="1264">
        <f t="shared" si="5"/>
        <v>1</v>
      </c>
    </row>
    <row r="26" spans="1:29" ht="15">
      <c r="A26" s="348"/>
      <c r="B26" s="395"/>
      <c r="C26" s="386"/>
      <c r="D26" s="387"/>
      <c r="E26" s="1757"/>
      <c r="F26" s="387"/>
      <c r="G26" s="1757"/>
      <c r="H26" s="387"/>
      <c r="I26" s="386"/>
      <c r="J26" s="387"/>
      <c r="K26" s="592"/>
      <c r="L26" s="2492"/>
      <c r="M26" s="2487"/>
      <c r="N26" s="2487"/>
      <c r="O26" s="2542"/>
      <c r="P26" s="3410"/>
      <c r="Q26" s="1263"/>
      <c r="R26" s="667"/>
      <c r="S26" s="668"/>
      <c r="T26" s="667"/>
      <c r="U26" s="668"/>
      <c r="V26" s="667"/>
      <c r="W26" s="668"/>
      <c r="X26" s="1265"/>
      <c r="Y26" s="3410"/>
      <c r="Z26" s="1264"/>
      <c r="AA26" s="1264">
        <v>1</v>
      </c>
      <c r="AB26" s="1264">
        <v>1</v>
      </c>
      <c r="AC26" s="1264">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410"/>
      <c r="Q27" s="530" t="str">
        <f t="shared" si="8"/>
        <v>公共配套设施</v>
      </c>
      <c r="R27" s="664" t="s">
        <v>14</v>
      </c>
      <c r="S27" s="665">
        <f>F27</f>
        <v>100</v>
      </c>
      <c r="T27" s="664" t="s">
        <v>14</v>
      </c>
      <c r="U27" s="665">
        <f>H27</f>
        <v>100</v>
      </c>
      <c r="V27" s="664" t="s">
        <v>14</v>
      </c>
      <c r="W27" s="665">
        <f>J27</f>
        <v>100</v>
      </c>
      <c r="X27" s="666"/>
      <c r="Y27" s="3410"/>
      <c r="Z27" s="50" t="str">
        <f>Q27</f>
        <v>公共配套设施</v>
      </c>
      <c r="AA27" s="1264">
        <f>D27/F27</f>
        <v>1</v>
      </c>
      <c r="AB27" s="1264">
        <f>D27/H27</f>
        <v>1</v>
      </c>
      <c r="AC27" s="1264">
        <f>D27/J27</f>
        <v>1</v>
      </c>
    </row>
    <row r="28" spans="1:29" s="102" customFormat="1" ht="15">
      <c r="A28" s="443"/>
      <c r="B28" s="395"/>
      <c r="C28" s="1825"/>
      <c r="D28" s="387"/>
      <c r="E28" s="1757"/>
      <c r="F28" s="387"/>
      <c r="G28" s="1757"/>
      <c r="H28" s="387"/>
      <c r="I28" s="386"/>
      <c r="J28" s="387"/>
      <c r="K28" s="592"/>
      <c r="L28" s="2488"/>
      <c r="M28" s="2439"/>
      <c r="N28" s="2439"/>
      <c r="O28" s="2540"/>
      <c r="P28" s="3410"/>
      <c r="Q28" s="530"/>
      <c r="R28" s="664"/>
      <c r="S28" s="665"/>
      <c r="T28" s="664"/>
      <c r="U28" s="665"/>
      <c r="V28" s="664"/>
      <c r="W28" s="665"/>
      <c r="X28" s="666"/>
      <c r="Y28" s="3410"/>
      <c r="Z28" s="50"/>
      <c r="AA28" s="1264">
        <v>1</v>
      </c>
      <c r="AB28" s="1264">
        <v>1</v>
      </c>
      <c r="AC28" s="1264">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410"/>
      <c r="Q29" s="530" t="str">
        <f t="shared" ref="Q29" si="9">B29</f>
        <v>基础设施水平</v>
      </c>
      <c r="R29" s="664" t="s">
        <v>14</v>
      </c>
      <c r="S29" s="665">
        <f>F29</f>
        <v>100</v>
      </c>
      <c r="T29" s="664" t="s">
        <v>14</v>
      </c>
      <c r="U29" s="665">
        <f>H29</f>
        <v>100</v>
      </c>
      <c r="V29" s="664" t="s">
        <v>14</v>
      </c>
      <c r="W29" s="665">
        <f>J29</f>
        <v>100</v>
      </c>
      <c r="X29" s="666"/>
      <c r="Y29" s="3410"/>
      <c r="Z29" s="50" t="str">
        <f>Q29</f>
        <v>基础设施水平</v>
      </c>
      <c r="AA29" s="1264">
        <f>D29/F29</f>
        <v>1</v>
      </c>
      <c r="AB29" s="1264">
        <f>D29/H29</f>
        <v>1</v>
      </c>
      <c r="AC29" s="1264">
        <f>D29/J29</f>
        <v>1</v>
      </c>
    </row>
    <row r="30" spans="1:29" s="102" customFormat="1" ht="15">
      <c r="A30" s="443"/>
      <c r="B30" s="395"/>
      <c r="C30" s="1825"/>
      <c r="D30" s="387"/>
      <c r="E30" s="1826"/>
      <c r="F30" s="387"/>
      <c r="G30" s="1826"/>
      <c r="H30" s="387"/>
      <c r="I30" s="1826"/>
      <c r="J30" s="387"/>
      <c r="K30" s="592"/>
      <c r="L30" s="2488"/>
      <c r="M30" s="2439"/>
      <c r="N30" s="2439"/>
      <c r="O30" s="2540"/>
      <c r="P30" s="3410"/>
      <c r="Q30" s="530"/>
      <c r="R30" s="664"/>
      <c r="S30" s="665"/>
      <c r="T30" s="664"/>
      <c r="U30" s="665"/>
      <c r="V30" s="664"/>
      <c r="W30" s="665"/>
      <c r="X30" s="666"/>
      <c r="Y30" s="341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1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0"/>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10"/>
      <c r="Q32" s="1263" t="str">
        <f t="shared" si="8"/>
        <v>毗邻道路的类型与等级</v>
      </c>
      <c r="R32" s="667" t="s">
        <v>14</v>
      </c>
      <c r="S32" s="668">
        <f t="shared" si="10"/>
        <v>100</v>
      </c>
      <c r="T32" s="667" t="s">
        <v>14</v>
      </c>
      <c r="U32" s="668">
        <f t="shared" si="11"/>
        <v>100</v>
      </c>
      <c r="V32" s="667" t="s">
        <v>14</v>
      </c>
      <c r="W32" s="668">
        <f t="shared" si="12"/>
        <v>100</v>
      </c>
      <c r="X32" s="1265"/>
      <c r="Y32" s="3410"/>
      <c r="Z32" s="1264" t="str">
        <f t="shared" si="13"/>
        <v>毗邻道路的类型与等级</v>
      </c>
      <c r="AA32" s="1264">
        <f t="shared" si="3"/>
        <v>1</v>
      </c>
      <c r="AB32" s="1264">
        <f t="shared" si="4"/>
        <v>1</v>
      </c>
      <c r="AC32" s="1264">
        <f t="shared" si="5"/>
        <v>1</v>
      </c>
    </row>
    <row r="33" spans="1:29" ht="15">
      <c r="A33" s="367"/>
      <c r="B33" s="395"/>
      <c r="C33" s="386"/>
      <c r="D33" s="387"/>
      <c r="E33" s="1757"/>
      <c r="F33" s="387"/>
      <c r="G33" s="1757"/>
      <c r="H33" s="387"/>
      <c r="I33" s="386"/>
      <c r="J33" s="387"/>
      <c r="K33" s="539"/>
      <c r="L33" s="2492"/>
      <c r="M33" s="2487"/>
      <c r="N33" s="2487"/>
      <c r="O33" s="2542"/>
      <c r="P33" s="3410"/>
      <c r="Q33" s="1263"/>
      <c r="R33" s="667"/>
      <c r="S33" s="668"/>
      <c r="T33" s="667"/>
      <c r="U33" s="668"/>
      <c r="V33" s="667"/>
      <c r="W33" s="668"/>
      <c r="X33" s="1265"/>
      <c r="Y33" s="341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10"/>
      <c r="Q34" s="1263" t="str">
        <f t="shared" si="8"/>
        <v>土地级别</v>
      </c>
      <c r="R34" s="667" t="s">
        <v>14</v>
      </c>
      <c r="S34" s="668">
        <f t="shared" si="10"/>
        <v>100</v>
      </c>
      <c r="T34" s="667" t="s">
        <v>14</v>
      </c>
      <c r="U34" s="668">
        <f t="shared" si="11"/>
        <v>100</v>
      </c>
      <c r="V34" s="667" t="s">
        <v>14</v>
      </c>
      <c r="W34" s="668">
        <f t="shared" si="12"/>
        <v>100</v>
      </c>
      <c r="X34" s="1265"/>
      <c r="Y34" s="341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10"/>
      <c r="Q35" s="1263">
        <f t="shared" si="8"/>
        <v>111</v>
      </c>
      <c r="R35" s="667" t="s">
        <v>14</v>
      </c>
      <c r="S35" s="668">
        <f t="shared" si="10"/>
        <v>100</v>
      </c>
      <c r="T35" s="667" t="s">
        <v>14</v>
      </c>
      <c r="U35" s="668">
        <f t="shared" si="11"/>
        <v>100</v>
      </c>
      <c r="V35" s="667" t="s">
        <v>14</v>
      </c>
      <c r="W35" s="668">
        <f t="shared" si="12"/>
        <v>100</v>
      </c>
      <c r="X35" s="1265"/>
      <c r="Y35" s="341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33" t="s">
        <v>1696</v>
      </c>
      <c r="Q36" s="1263">
        <f t="shared" si="8"/>
        <v>111</v>
      </c>
      <c r="R36" s="667" t="s">
        <v>14</v>
      </c>
      <c r="S36" s="668">
        <f t="shared" si="10"/>
        <v>100</v>
      </c>
      <c r="T36" s="667" t="s">
        <v>14</v>
      </c>
      <c r="U36" s="668">
        <f t="shared" si="11"/>
        <v>100</v>
      </c>
      <c r="V36" s="667" t="s">
        <v>14</v>
      </c>
      <c r="W36" s="668">
        <f t="shared" si="12"/>
        <v>100</v>
      </c>
      <c r="X36" s="1265"/>
      <c r="Y36" s="3414"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14"/>
      <c r="Q37" s="1263">
        <f t="shared" si="8"/>
        <v>111</v>
      </c>
      <c r="R37" s="669" t="s">
        <v>14</v>
      </c>
      <c r="S37" s="670">
        <f t="shared" si="10"/>
        <v>100</v>
      </c>
      <c r="T37" s="669" t="s">
        <v>14</v>
      </c>
      <c r="U37" s="670">
        <f t="shared" si="11"/>
        <v>100</v>
      </c>
      <c r="V37" s="669" t="s">
        <v>14</v>
      </c>
      <c r="W37" s="670">
        <f t="shared" si="12"/>
        <v>100</v>
      </c>
      <c r="X37" s="671"/>
      <c r="Y37" s="3414"/>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14"/>
      <c r="Q38" s="1263" t="str">
        <f>B38</f>
        <v>宗地面积</v>
      </c>
      <c r="R38" s="667" t="s">
        <v>14</v>
      </c>
      <c r="S38" s="668" t="e">
        <f t="shared" si="10"/>
        <v>#N/A</v>
      </c>
      <c r="T38" s="667" t="s">
        <v>14</v>
      </c>
      <c r="U38" s="668" t="e">
        <f t="shared" si="11"/>
        <v>#N/A</v>
      </c>
      <c r="V38" s="667" t="s">
        <v>14</v>
      </c>
      <c r="W38" s="668" t="e">
        <f t="shared" si="12"/>
        <v>#N/A</v>
      </c>
      <c r="X38" s="1265"/>
      <c r="Y38" s="3414"/>
      <c r="Z38" s="1264" t="str">
        <f t="shared" si="13"/>
        <v>宗地面积</v>
      </c>
      <c r="AA38" s="1264" t="e">
        <f t="shared" si="3"/>
        <v>#N/A</v>
      </c>
      <c r="AB38" s="1264" t="e">
        <f t="shared" si="4"/>
        <v>#N/A</v>
      </c>
      <c r="AC38" s="1264"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414"/>
      <c r="Q39" s="1263" t="str">
        <f t="shared" ref="Q39:Q45" si="14">B39</f>
        <v>宗地形状</v>
      </c>
      <c r="R39" s="667" t="s">
        <v>14</v>
      </c>
      <c r="S39" s="668">
        <f t="shared" si="10"/>
        <v>100</v>
      </c>
      <c r="T39" s="667" t="s">
        <v>14</v>
      </c>
      <c r="U39" s="668">
        <f t="shared" si="11"/>
        <v>100</v>
      </c>
      <c r="V39" s="667" t="s">
        <v>14</v>
      </c>
      <c r="W39" s="668">
        <f t="shared" si="12"/>
        <v>100</v>
      </c>
      <c r="X39" s="1265"/>
      <c r="Y39" s="3414"/>
      <c r="Z39" s="1264" t="str">
        <f t="shared" si="13"/>
        <v>宗地形状</v>
      </c>
      <c r="AA39" s="1264">
        <f t="shared" si="3"/>
        <v>1</v>
      </c>
      <c r="AB39" s="1264">
        <f t="shared" si="4"/>
        <v>1</v>
      </c>
      <c r="AC39" s="1264">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414"/>
      <c r="Q40" s="1263" t="str">
        <f t="shared" si="14"/>
        <v>临街宽度及深度</v>
      </c>
      <c r="R40" s="667" t="s">
        <v>14</v>
      </c>
      <c r="S40" s="668">
        <f t="shared" si="10"/>
        <v>100</v>
      </c>
      <c r="T40" s="667" t="s">
        <v>14</v>
      </c>
      <c r="U40" s="668">
        <f t="shared" si="11"/>
        <v>100</v>
      </c>
      <c r="V40" s="667" t="s">
        <v>14</v>
      </c>
      <c r="W40" s="668">
        <f t="shared" si="12"/>
        <v>100</v>
      </c>
      <c r="X40" s="1265"/>
      <c r="Y40" s="3414"/>
      <c r="Z40" s="1264" t="str">
        <f t="shared" si="13"/>
        <v>临街宽度及深度</v>
      </c>
      <c r="AA40" s="1264">
        <f t="shared" si="3"/>
        <v>1</v>
      </c>
      <c r="AB40" s="1264">
        <f t="shared" si="4"/>
        <v>1</v>
      </c>
      <c r="AC40" s="1264">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414"/>
      <c r="Q41" s="1263" t="str">
        <f t="shared" si="14"/>
        <v>宗地开发程度</v>
      </c>
      <c r="R41" s="664" t="s">
        <v>14</v>
      </c>
      <c r="S41" s="665">
        <f t="shared" si="10"/>
        <v>100</v>
      </c>
      <c r="T41" s="664" t="s">
        <v>14</v>
      </c>
      <c r="U41" s="665">
        <f t="shared" si="11"/>
        <v>100</v>
      </c>
      <c r="V41" s="664" t="s">
        <v>14</v>
      </c>
      <c r="W41" s="665">
        <f t="shared" si="12"/>
        <v>100</v>
      </c>
      <c r="X41" s="666"/>
      <c r="Y41" s="3414"/>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414" t="s">
        <v>1696</v>
      </c>
      <c r="Q42" s="1263" t="str">
        <f t="shared" si="14"/>
        <v>工程地质条件</v>
      </c>
      <c r="R42" s="667" t="s">
        <v>14</v>
      </c>
      <c r="S42" s="668">
        <f t="shared" si="10"/>
        <v>100</v>
      </c>
      <c r="T42" s="667" t="s">
        <v>14</v>
      </c>
      <c r="U42" s="668">
        <f t="shared" si="11"/>
        <v>100</v>
      </c>
      <c r="V42" s="667" t="s">
        <v>14</v>
      </c>
      <c r="W42" s="668">
        <f t="shared" si="12"/>
        <v>100</v>
      </c>
      <c r="X42" s="1265"/>
      <c r="Y42" s="341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14"/>
      <c r="Q43" s="1263">
        <f t="shared" si="14"/>
        <v>111</v>
      </c>
      <c r="R43" s="667" t="s">
        <v>14</v>
      </c>
      <c r="S43" s="668">
        <f t="shared" si="10"/>
        <v>100</v>
      </c>
      <c r="T43" s="667" t="s">
        <v>14</v>
      </c>
      <c r="U43" s="668">
        <f t="shared" si="11"/>
        <v>100</v>
      </c>
      <c r="V43" s="667" t="s">
        <v>14</v>
      </c>
      <c r="W43" s="668">
        <f t="shared" si="12"/>
        <v>100</v>
      </c>
      <c r="X43" s="1265"/>
      <c r="Y43" s="341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14"/>
      <c r="Q44" s="1263">
        <f t="shared" si="14"/>
        <v>111</v>
      </c>
      <c r="R44" s="667" t="s">
        <v>14</v>
      </c>
      <c r="S44" s="668">
        <f t="shared" si="10"/>
        <v>100</v>
      </c>
      <c r="T44" s="667" t="s">
        <v>14</v>
      </c>
      <c r="U44" s="668">
        <f t="shared" si="11"/>
        <v>100</v>
      </c>
      <c r="V44" s="667" t="s">
        <v>14</v>
      </c>
      <c r="W44" s="668">
        <f t="shared" si="12"/>
        <v>100</v>
      </c>
      <c r="X44" s="1265"/>
      <c r="Y44" s="3414"/>
      <c r="Z44" s="1264">
        <f t="shared" si="13"/>
        <v>111</v>
      </c>
      <c r="AA44" s="1264">
        <f t="shared" si="3"/>
        <v>1</v>
      </c>
      <c r="AB44" s="1264">
        <f t="shared" si="4"/>
        <v>1</v>
      </c>
      <c r="AC44" s="1264">
        <f t="shared" si="5"/>
        <v>1</v>
      </c>
    </row>
    <row r="45" spans="1:29" s="408" customFormat="1" ht="15.75"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14"/>
      <c r="Q45" s="1263">
        <f t="shared" si="14"/>
        <v>111</v>
      </c>
      <c r="R45" s="669" t="s">
        <v>14</v>
      </c>
      <c r="S45" s="670">
        <f t="shared" si="10"/>
        <v>100</v>
      </c>
      <c r="T45" s="669" t="s">
        <v>14</v>
      </c>
      <c r="U45" s="670">
        <f t="shared" si="11"/>
        <v>100</v>
      </c>
      <c r="V45" s="669" t="s">
        <v>14</v>
      </c>
      <c r="W45" s="670">
        <f t="shared" si="12"/>
        <v>100</v>
      </c>
      <c r="X45" s="671"/>
      <c r="Y45" s="3414"/>
      <c r="Z45" s="672">
        <f t="shared" si="13"/>
        <v>111</v>
      </c>
      <c r="AA45" s="1264">
        <f t="shared" si="3"/>
        <v>1</v>
      </c>
      <c r="AB45" s="1264">
        <f t="shared" si="4"/>
        <v>1</v>
      </c>
      <c r="AC45" s="1264">
        <f t="shared" si="5"/>
        <v>1</v>
      </c>
    </row>
    <row r="46" spans="1:29" ht="15">
      <c r="A46" s="416" t="s">
        <v>1844</v>
      </c>
      <c r="B46" s="1829" t="s">
        <v>1879</v>
      </c>
      <c r="C46" s="602" t="s">
        <v>0</v>
      </c>
      <c r="D46" s="418"/>
      <c r="E46" s="419"/>
      <c r="F46" s="420"/>
      <c r="G46" s="421"/>
      <c r="H46" s="422"/>
      <c r="I46" s="419"/>
      <c r="J46" s="422"/>
      <c r="K46" s="674"/>
      <c r="L46" s="2494"/>
      <c r="M46" s="2487"/>
      <c r="N46" s="2487"/>
      <c r="O46" s="2487"/>
      <c r="P46" s="3408" t="str">
        <f>A46</f>
        <v>成交单价</v>
      </c>
      <c r="Q46" s="3408"/>
      <c r="R46" s="3403">
        <f>E46</f>
        <v>0</v>
      </c>
      <c r="S46" s="3403"/>
      <c r="T46" s="3403">
        <f>G46</f>
        <v>0</v>
      </c>
      <c r="U46" s="3403"/>
      <c r="V46" s="3403">
        <f>I46</f>
        <v>0</v>
      </c>
      <c r="W46" s="3403"/>
      <c r="X46" s="385"/>
      <c r="Y46" s="673"/>
      <c r="Z46" s="385"/>
      <c r="AA46" s="385"/>
      <c r="AB46" s="385"/>
      <c r="AC46" s="385"/>
    </row>
    <row r="47" spans="1:29" ht="15.75" thickBot="1">
      <c r="A47" s="423" t="s">
        <v>1793</v>
      </c>
      <c r="B47" s="603"/>
      <c r="C47" s="426" t="e">
        <f>R48</f>
        <v>#DIV/0!</v>
      </c>
      <c r="D47" s="2140" t="s">
        <v>2138</v>
      </c>
      <c r="E47" s="426" t="e">
        <f>R47</f>
        <v>#DIV/0!</v>
      </c>
      <c r="F47" s="2141"/>
      <c r="G47" s="425" t="e">
        <f>T47</f>
        <v>#DIV/0!</v>
      </c>
      <c r="H47" s="2141"/>
      <c r="I47" s="426" t="e">
        <f>V47</f>
        <v>#DIV/0!</v>
      </c>
      <c r="J47" s="2141"/>
      <c r="K47" s="2143">
        <f>F47+H47+J47</f>
        <v>0</v>
      </c>
      <c r="L47" s="2494"/>
      <c r="M47" s="2487"/>
      <c r="N47" s="2487"/>
      <c r="O47" s="2487"/>
      <c r="P47" s="3408" t="str">
        <f>A47</f>
        <v>比较价值（元/平方米）</v>
      </c>
      <c r="Q47" s="3408"/>
      <c r="R47" s="3435" t="e">
        <f>ROUND(PRODUCT(R46,AA7:AA45),0)</f>
        <v>#DIV/0!</v>
      </c>
      <c r="S47" s="3435"/>
      <c r="T47" s="3435" t="e">
        <f>ROUND(PRODUCT(T46,AB7:AB45),0)</f>
        <v>#DIV/0!</v>
      </c>
      <c r="U47" s="3435"/>
      <c r="V47" s="3435" t="e">
        <f>ROUND(PRODUCT(V46,AC7:AC45),0)</f>
        <v>#DIV/0!</v>
      </c>
      <c r="W47" s="3435"/>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405" t="str">
        <f>A48</f>
        <v>估价对象XX用房的比较价值（楼面单价，元/平方米）</v>
      </c>
      <c r="Q48" s="3406"/>
      <c r="R48" s="3436" t="e">
        <f>ROUND(IF(D47="简单平均",AVERAGE(R47:W47),R47*F47+T47*H47+V47*J47),0)</f>
        <v>#DIV/0!</v>
      </c>
      <c r="S48" s="3436"/>
      <c r="T48" s="3436"/>
      <c r="U48" s="3436"/>
      <c r="V48" s="3436"/>
      <c r="W48" s="3436"/>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7" t="s">
        <v>1886</v>
      </c>
      <c r="G55" s="3391" t="s">
        <v>1887</v>
      </c>
      <c r="H55" s="3437"/>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63.97</v>
      </c>
      <c r="F56" s="833" t="e">
        <f t="shared" ref="F56:F64" si="15">ROUND(B56*E56/10000,0)</f>
        <v>#DIV/0!</v>
      </c>
      <c r="G56" s="3390"/>
      <c r="H56" s="3408"/>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三级</v>
      </c>
      <c r="I62" s="838">
        <f>SUMIF(修正!A57:A68,H62,修正!G57:G68)</f>
        <v>0.15</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63.97</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91" t="s">
        <v>1770</v>
      </c>
      <c r="D4" s="3392"/>
      <c r="E4" s="3393" t="s">
        <v>1771</v>
      </c>
      <c r="F4" s="3394"/>
      <c r="G4" s="3391" t="s">
        <v>1772</v>
      </c>
      <c r="H4" s="3392"/>
      <c r="I4" s="3391" t="s">
        <v>1773</v>
      </c>
      <c r="J4" s="3392"/>
      <c r="K4" s="537" t="s">
        <v>1774</v>
      </c>
      <c r="L4" s="2486"/>
      <c r="M4" s="2487"/>
      <c r="N4" s="2487"/>
      <c r="O4" s="2487"/>
      <c r="P4" s="3395" t="s">
        <v>1775</v>
      </c>
      <c r="Q4" s="3396"/>
      <c r="R4" s="3378" t="s">
        <v>1771</v>
      </c>
      <c r="S4" s="3379"/>
      <c r="T4" s="3378" t="s">
        <v>1772</v>
      </c>
      <c r="U4" s="3379"/>
      <c r="V4" s="3403" t="s">
        <v>1773</v>
      </c>
      <c r="W4" s="3403"/>
      <c r="X4" s="1265"/>
      <c r="Y4" s="3378" t="s">
        <v>1775</v>
      </c>
      <c r="Z4" s="3379"/>
      <c r="AA4" s="3373" t="s">
        <v>1771</v>
      </c>
      <c r="AB4" s="3374" t="s">
        <v>1772</v>
      </c>
      <c r="AC4" s="3373" t="s">
        <v>1773</v>
      </c>
    </row>
    <row r="5" spans="1:29" ht="15">
      <c r="A5" s="348"/>
      <c r="B5" s="349"/>
      <c r="C5" s="3384" t="s">
        <v>1673</v>
      </c>
      <c r="D5" s="3385"/>
      <c r="E5" s="3382" t="s">
        <v>1674</v>
      </c>
      <c r="F5" s="3383"/>
      <c r="G5" s="3384" t="s">
        <v>1675</v>
      </c>
      <c r="H5" s="3385"/>
      <c r="I5" s="3384" t="s">
        <v>1676</v>
      </c>
      <c r="J5" s="3385"/>
      <c r="K5" s="537"/>
      <c r="L5" s="2486"/>
      <c r="M5" s="2487"/>
      <c r="N5" s="2487"/>
      <c r="O5" s="2487"/>
      <c r="P5" s="3397"/>
      <c r="Q5" s="3398"/>
      <c r="R5" s="3380"/>
      <c r="S5" s="3381"/>
      <c r="T5" s="3380"/>
      <c r="U5" s="3381"/>
      <c r="V5" s="3403"/>
      <c r="W5" s="3403"/>
      <c r="X5" s="1265"/>
      <c r="Y5" s="3380"/>
      <c r="Z5" s="3381"/>
      <c r="AA5" s="3374"/>
      <c r="AB5" s="3374"/>
      <c r="AC5" s="3374"/>
    </row>
    <row r="6" spans="1:29" ht="15.75" thickBot="1">
      <c r="A6" s="350"/>
      <c r="B6" s="351"/>
      <c r="C6" s="3438" t="s">
        <v>1919</v>
      </c>
      <c r="D6" s="3439"/>
      <c r="E6" s="3440" t="s">
        <v>1919</v>
      </c>
      <c r="F6" s="3441"/>
      <c r="G6" s="3438" t="s">
        <v>1919</v>
      </c>
      <c r="H6" s="3439"/>
      <c r="I6" s="3438" t="s">
        <v>1919</v>
      </c>
      <c r="J6" s="3439"/>
      <c r="K6" s="537" t="s">
        <v>1678</v>
      </c>
      <c r="L6" s="2486"/>
      <c r="M6" s="2487"/>
      <c r="N6" s="2487"/>
      <c r="O6" s="2487"/>
      <c r="P6" s="3399"/>
      <c r="Q6" s="3400"/>
      <c r="R6" s="3380"/>
      <c r="S6" s="3381"/>
      <c r="T6" s="3401"/>
      <c r="U6" s="3402"/>
      <c r="V6" s="3403"/>
      <c r="W6" s="3403"/>
      <c r="X6" s="1265"/>
      <c r="Y6" s="3401"/>
      <c r="Z6" s="3402"/>
      <c r="AA6" s="3375"/>
      <c r="AB6" s="3375"/>
      <c r="AC6" s="3375"/>
    </row>
    <row r="7" spans="1:29" s="102" customFormat="1" ht="15.75" thickBot="1">
      <c r="A7" s="352" t="s">
        <v>1679</v>
      </c>
      <c r="B7" s="353"/>
      <c r="C7" s="354">
        <f>'数据-取费表'!B2</f>
        <v>45812</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376" t="s">
        <v>1680</v>
      </c>
      <c r="Q7" s="3404"/>
      <c r="R7" s="664" t="s">
        <v>14</v>
      </c>
      <c r="S7" s="665">
        <f t="shared" ref="S7:S15" si="0">F7</f>
        <v>0</v>
      </c>
      <c r="T7" s="664" t="s">
        <v>14</v>
      </c>
      <c r="U7" s="665">
        <f t="shared" ref="U7:U15" si="1">H7</f>
        <v>0</v>
      </c>
      <c r="V7" s="664" t="s">
        <v>14</v>
      </c>
      <c r="W7" s="665">
        <f t="shared" ref="W7:W15" si="2">J7</f>
        <v>0</v>
      </c>
      <c r="X7" s="666"/>
      <c r="Y7" s="3376" t="s">
        <v>1680</v>
      </c>
      <c r="Z7" s="3377"/>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76" t="s">
        <v>1683</v>
      </c>
      <c r="Q8" s="3377"/>
      <c r="R8" s="664" t="s">
        <v>14</v>
      </c>
      <c r="S8" s="665">
        <f t="shared" si="0"/>
        <v>0</v>
      </c>
      <c r="T8" s="664" t="s">
        <v>14</v>
      </c>
      <c r="U8" s="665">
        <f t="shared" si="1"/>
        <v>0</v>
      </c>
      <c r="V8" s="664" t="s">
        <v>14</v>
      </c>
      <c r="W8" s="665">
        <f t="shared" si="2"/>
        <v>0</v>
      </c>
      <c r="X8" s="666"/>
      <c r="Y8" s="3376" t="s">
        <v>1683</v>
      </c>
      <c r="Z8" s="3377"/>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408"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101</v>
      </c>
      <c r="G10" s="371"/>
      <c r="H10" s="119">
        <f>ROUND(100/'数据-取费表'!G16,0)</f>
        <v>101</v>
      </c>
      <c r="I10" s="371"/>
      <c r="J10" s="119">
        <f>ROUND(100/'数据-取费表'!G16,0)</f>
        <v>101</v>
      </c>
      <c r="K10" s="592"/>
      <c r="L10" s="2489"/>
      <c r="M10" s="2490"/>
      <c r="N10" s="2490"/>
      <c r="O10" s="2541"/>
      <c r="P10" s="3408"/>
      <c r="Q10" s="530" t="str">
        <f t="shared" si="6"/>
        <v>土地使用年限（年）</v>
      </c>
      <c r="R10" s="664" t="s">
        <v>14</v>
      </c>
      <c r="S10" s="665">
        <f t="shared" si="0"/>
        <v>101</v>
      </c>
      <c r="T10" s="664" t="s">
        <v>14</v>
      </c>
      <c r="U10" s="665">
        <f t="shared" si="1"/>
        <v>101</v>
      </c>
      <c r="V10" s="664" t="s">
        <v>14</v>
      </c>
      <c r="W10" s="665">
        <f t="shared" si="2"/>
        <v>101</v>
      </c>
      <c r="X10" s="666"/>
      <c r="Y10" s="3320"/>
      <c r="Z10" s="50" t="str">
        <f t="shared" si="7"/>
        <v>土地使用年限（年）</v>
      </c>
      <c r="AA10" s="50">
        <f t="shared" si="3"/>
        <v>0.99009900990099009</v>
      </c>
      <c r="AB10" s="50">
        <f t="shared" si="4"/>
        <v>0.99009900990099009</v>
      </c>
      <c r="AC10" s="50">
        <f t="shared" si="5"/>
        <v>0.99009900990099009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08"/>
      <c r="Q11" s="530" t="str">
        <f t="shared" si="6"/>
        <v>容积率</v>
      </c>
      <c r="R11" s="664" t="s">
        <v>14</v>
      </c>
      <c r="S11" s="665" t="e">
        <f t="shared" si="0"/>
        <v>#N/A</v>
      </c>
      <c r="T11" s="664" t="s">
        <v>14</v>
      </c>
      <c r="U11" s="665" t="e">
        <f t="shared" si="1"/>
        <v>#N/A</v>
      </c>
      <c r="V11" s="664" t="s">
        <v>14</v>
      </c>
      <c r="W11" s="665" t="e">
        <f t="shared" si="2"/>
        <v>#N/A</v>
      </c>
      <c r="X11" s="666"/>
      <c r="Y11" s="332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408"/>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08"/>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08"/>
      <c r="Q14" s="530">
        <f t="shared" si="6"/>
        <v>111</v>
      </c>
      <c r="R14" s="664" t="s">
        <v>14</v>
      </c>
      <c r="S14" s="665">
        <f t="shared" si="0"/>
        <v>100</v>
      </c>
      <c r="T14" s="664" t="s">
        <v>14</v>
      </c>
      <c r="U14" s="665">
        <f t="shared" si="1"/>
        <v>100</v>
      </c>
      <c r="V14" s="664" t="s">
        <v>14</v>
      </c>
      <c r="W14" s="665">
        <f t="shared" si="2"/>
        <v>100</v>
      </c>
      <c r="X14" s="666"/>
      <c r="Y14" s="3320"/>
      <c r="Z14" s="50">
        <f t="shared" si="7"/>
        <v>111</v>
      </c>
      <c r="AA14" s="50">
        <f t="shared" si="3"/>
        <v>1</v>
      </c>
      <c r="AB14" s="50">
        <f t="shared" si="4"/>
        <v>1</v>
      </c>
      <c r="AC14" s="50">
        <f t="shared" si="5"/>
        <v>1</v>
      </c>
    </row>
    <row r="15" spans="1:29" ht="57">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09" t="s">
        <v>1691</v>
      </c>
      <c r="Q15" s="1263" t="str">
        <f t="shared" si="6"/>
        <v>产业集聚程度</v>
      </c>
      <c r="R15" s="667" t="s">
        <v>14</v>
      </c>
      <c r="S15" s="668">
        <f t="shared" si="0"/>
        <v>100</v>
      </c>
      <c r="T15" s="667" t="s">
        <v>14</v>
      </c>
      <c r="U15" s="668">
        <f t="shared" si="1"/>
        <v>100</v>
      </c>
      <c r="V15" s="667" t="s">
        <v>14</v>
      </c>
      <c r="W15" s="668">
        <f t="shared" si="2"/>
        <v>100</v>
      </c>
      <c r="X15" s="1265"/>
      <c r="Y15" s="3409" t="s">
        <v>1691</v>
      </c>
      <c r="Z15" s="1264" t="str">
        <f t="shared" si="7"/>
        <v>产业集聚程度</v>
      </c>
      <c r="AA15" s="1264">
        <f t="shared" si="3"/>
        <v>1</v>
      </c>
      <c r="AB15" s="1264">
        <f t="shared" si="4"/>
        <v>1</v>
      </c>
      <c r="AC15" s="1264">
        <f t="shared" si="5"/>
        <v>1</v>
      </c>
    </row>
    <row r="16" spans="1:29" ht="15">
      <c r="A16" s="367"/>
      <c r="B16" s="555"/>
      <c r="C16" s="386"/>
      <c r="D16" s="387"/>
      <c r="E16" s="1757"/>
      <c r="F16" s="387"/>
      <c r="G16" s="1757"/>
      <c r="H16" s="389"/>
      <c r="I16" s="1757"/>
      <c r="J16" s="387"/>
      <c r="K16" s="592"/>
      <c r="L16" s="2492"/>
      <c r="M16" s="2487"/>
      <c r="N16" s="2487"/>
      <c r="O16" s="2542"/>
      <c r="P16" s="3410"/>
      <c r="Q16" s="1263"/>
      <c r="R16" s="667"/>
      <c r="S16" s="668"/>
      <c r="T16" s="667"/>
      <c r="U16" s="668"/>
      <c r="V16" s="667"/>
      <c r="W16" s="668"/>
      <c r="X16" s="1265"/>
      <c r="Y16" s="3410"/>
      <c r="Z16" s="1264"/>
      <c r="AA16" s="1264">
        <v>1</v>
      </c>
      <c r="AB16" s="1264">
        <v>1</v>
      </c>
      <c r="AC16" s="1264">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10"/>
      <c r="Q17" s="1263" t="str">
        <f>B17</f>
        <v>交通便捷度</v>
      </c>
      <c r="R17" s="667" t="s">
        <v>14</v>
      </c>
      <c r="S17" s="668">
        <f>F17</f>
        <v>100</v>
      </c>
      <c r="T17" s="667" t="s">
        <v>14</v>
      </c>
      <c r="U17" s="668">
        <f>H17</f>
        <v>100</v>
      </c>
      <c r="V17" s="667" t="s">
        <v>14</v>
      </c>
      <c r="W17" s="668">
        <f>J17</f>
        <v>100</v>
      </c>
      <c r="X17" s="1265"/>
      <c r="Y17" s="3410"/>
      <c r="Z17" s="1264" t="str">
        <f>Q17</f>
        <v>交通便捷度</v>
      </c>
      <c r="AA17" s="1264">
        <f t="shared" si="3"/>
        <v>1</v>
      </c>
      <c r="AB17" s="1264">
        <f t="shared" si="4"/>
        <v>1</v>
      </c>
      <c r="AC17" s="1264">
        <f t="shared" si="5"/>
        <v>1</v>
      </c>
    </row>
    <row r="18" spans="1:29" ht="15">
      <c r="A18" s="367"/>
      <c r="B18" s="401"/>
      <c r="C18" s="386"/>
      <c r="D18" s="387"/>
      <c r="E18" s="1751"/>
      <c r="F18" s="387"/>
      <c r="G18" s="1751"/>
      <c r="H18" s="387"/>
      <c r="I18" s="1750"/>
      <c r="J18" s="387"/>
      <c r="K18" s="592"/>
      <c r="L18" s="2492"/>
      <c r="M18" s="2487"/>
      <c r="N18" s="2487"/>
      <c r="O18" s="2542"/>
      <c r="P18" s="3410"/>
      <c r="Q18" s="1263"/>
      <c r="R18" s="667"/>
      <c r="S18" s="668"/>
      <c r="T18" s="667"/>
      <c r="U18" s="668"/>
      <c r="V18" s="667"/>
      <c r="W18" s="668"/>
      <c r="X18" s="1265"/>
      <c r="Y18" s="3410"/>
      <c r="Z18" s="1264"/>
      <c r="AA18" s="1264">
        <v>1</v>
      </c>
      <c r="AB18" s="1264">
        <v>1</v>
      </c>
      <c r="AC18" s="1264">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10"/>
      <c r="Q19" s="1263" t="str">
        <f t="shared" ref="Q19:Q33" si="8">B19</f>
        <v>区域土地利用方向</v>
      </c>
      <c r="R19" s="667" t="s">
        <v>14</v>
      </c>
      <c r="S19" s="668">
        <f>F19</f>
        <v>100</v>
      </c>
      <c r="T19" s="667" t="s">
        <v>14</v>
      </c>
      <c r="U19" s="668">
        <f>H19</f>
        <v>100</v>
      </c>
      <c r="V19" s="667" t="s">
        <v>14</v>
      </c>
      <c r="W19" s="668">
        <f>J19</f>
        <v>100</v>
      </c>
      <c r="X19" s="1265"/>
      <c r="Y19" s="3410"/>
      <c r="Z19" s="1264" t="str">
        <f>Q19</f>
        <v>区域土地利用方向</v>
      </c>
      <c r="AA19" s="1264">
        <f t="shared" si="3"/>
        <v>1</v>
      </c>
      <c r="AB19" s="1264">
        <f t="shared" si="4"/>
        <v>1</v>
      </c>
      <c r="AC19" s="1264">
        <f t="shared" si="5"/>
        <v>1</v>
      </c>
    </row>
    <row r="20" spans="1:29" ht="15">
      <c r="A20" s="348"/>
      <c r="B20" s="401"/>
      <c r="C20" s="386"/>
      <c r="D20" s="387"/>
      <c r="E20" s="1751"/>
      <c r="F20" s="387"/>
      <c r="G20" s="1751"/>
      <c r="H20" s="387"/>
      <c r="I20" s="1751"/>
      <c r="J20" s="387"/>
      <c r="K20" s="698"/>
      <c r="L20" s="2492"/>
      <c r="M20" s="2487"/>
      <c r="N20" s="2487"/>
      <c r="O20" s="2542"/>
      <c r="P20" s="3410"/>
      <c r="Q20" s="1263"/>
      <c r="R20" s="667"/>
      <c r="S20" s="668"/>
      <c r="T20" s="667"/>
      <c r="U20" s="668"/>
      <c r="V20" s="667"/>
      <c r="W20" s="668"/>
      <c r="X20" s="1265"/>
      <c r="Y20" s="3410"/>
      <c r="Z20" s="1264"/>
      <c r="AA20" s="1264"/>
      <c r="AB20" s="1264"/>
      <c r="AC20" s="1264"/>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10"/>
      <c r="Q21" s="1263" t="str">
        <f t="shared" si="8"/>
        <v>环境状况</v>
      </c>
      <c r="R21" s="667" t="s">
        <v>14</v>
      </c>
      <c r="S21" s="668">
        <f>F21</f>
        <v>100</v>
      </c>
      <c r="T21" s="667" t="s">
        <v>14</v>
      </c>
      <c r="U21" s="668">
        <f>H21</f>
        <v>100</v>
      </c>
      <c r="V21" s="667" t="s">
        <v>14</v>
      </c>
      <c r="W21" s="668">
        <f>J21</f>
        <v>100</v>
      </c>
      <c r="X21" s="1265"/>
      <c r="Y21" s="3410"/>
      <c r="Z21" s="1264" t="str">
        <f>Q21</f>
        <v>环境状况</v>
      </c>
      <c r="AA21" s="1264">
        <f t="shared" si="3"/>
        <v>1</v>
      </c>
      <c r="AB21" s="1264">
        <f t="shared" si="4"/>
        <v>1</v>
      </c>
      <c r="AC21" s="1264">
        <f t="shared" si="5"/>
        <v>1</v>
      </c>
    </row>
    <row r="22" spans="1:29" ht="15">
      <c r="A22" s="348"/>
      <c r="B22" s="401"/>
      <c r="C22" s="386"/>
      <c r="D22" s="387"/>
      <c r="E22" s="1757"/>
      <c r="F22" s="387"/>
      <c r="G22" s="1757"/>
      <c r="H22" s="387"/>
      <c r="I22" s="386"/>
      <c r="J22" s="387"/>
      <c r="K22" s="592"/>
      <c r="L22" s="2492"/>
      <c r="M22" s="2487"/>
      <c r="N22" s="2487"/>
      <c r="O22" s="2542"/>
      <c r="P22" s="3410"/>
      <c r="Q22" s="1263"/>
      <c r="R22" s="667"/>
      <c r="S22" s="668"/>
      <c r="T22" s="667"/>
      <c r="U22" s="668"/>
      <c r="V22" s="667"/>
      <c r="W22" s="668"/>
      <c r="X22" s="1265"/>
      <c r="Y22" s="3410"/>
      <c r="Z22" s="1264"/>
      <c r="AA22" s="1264">
        <v>1</v>
      </c>
      <c r="AB22" s="1264">
        <v>1</v>
      </c>
      <c r="AC22" s="1264">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410"/>
      <c r="Q23" s="530" t="str">
        <f t="shared" si="8"/>
        <v>公共配套设施</v>
      </c>
      <c r="R23" s="664" t="s">
        <v>14</v>
      </c>
      <c r="S23" s="665">
        <f>F23</f>
        <v>100</v>
      </c>
      <c r="T23" s="664" t="s">
        <v>14</v>
      </c>
      <c r="U23" s="665">
        <f>H23</f>
        <v>100</v>
      </c>
      <c r="V23" s="664" t="s">
        <v>14</v>
      </c>
      <c r="W23" s="665">
        <f>J23</f>
        <v>100</v>
      </c>
      <c r="X23" s="666"/>
      <c r="Y23" s="3410"/>
      <c r="Z23" s="50" t="str">
        <f>Q23</f>
        <v>公共配套设施</v>
      </c>
      <c r="AA23" s="1264">
        <f>D23/F23</f>
        <v>1</v>
      </c>
      <c r="AB23" s="1264">
        <f>D23/H23</f>
        <v>1</v>
      </c>
      <c r="AC23" s="1264">
        <f>D23/J23</f>
        <v>1</v>
      </c>
    </row>
    <row r="24" spans="1:29" s="102" customFormat="1" ht="15">
      <c r="A24" s="443"/>
      <c r="B24" s="401"/>
      <c r="C24" s="1825"/>
      <c r="D24" s="387"/>
      <c r="E24" s="1757"/>
      <c r="F24" s="387"/>
      <c r="G24" s="1757"/>
      <c r="H24" s="387"/>
      <c r="I24" s="386"/>
      <c r="J24" s="387"/>
      <c r="K24" s="592"/>
      <c r="L24" s="2488"/>
      <c r="M24" s="2439"/>
      <c r="N24" s="2439"/>
      <c r="O24" s="2540"/>
      <c r="P24" s="3410"/>
      <c r="Q24" s="530"/>
      <c r="R24" s="664"/>
      <c r="S24" s="665"/>
      <c r="T24" s="664"/>
      <c r="U24" s="665"/>
      <c r="V24" s="664"/>
      <c r="W24" s="665"/>
      <c r="X24" s="666"/>
      <c r="Y24" s="3410"/>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410"/>
      <c r="Q25" s="530" t="str">
        <f t="shared" ref="Q25" si="9">B25</f>
        <v>基础设施水平</v>
      </c>
      <c r="R25" s="664" t="s">
        <v>14</v>
      </c>
      <c r="S25" s="665">
        <f>F25</f>
        <v>100</v>
      </c>
      <c r="T25" s="664" t="s">
        <v>14</v>
      </c>
      <c r="U25" s="665">
        <f>H25</f>
        <v>100</v>
      </c>
      <c r="V25" s="664" t="s">
        <v>14</v>
      </c>
      <c r="W25" s="665">
        <f>J25</f>
        <v>100</v>
      </c>
      <c r="X25" s="666"/>
      <c r="Y25" s="3410"/>
      <c r="Z25" s="50" t="str">
        <f>Q25</f>
        <v>基础设施水平</v>
      </c>
      <c r="AA25" s="1264">
        <f>D25/F25</f>
        <v>1</v>
      </c>
      <c r="AB25" s="1264">
        <f>D25/H25</f>
        <v>1</v>
      </c>
      <c r="AC25" s="1264">
        <f>D25/J25</f>
        <v>1</v>
      </c>
    </row>
    <row r="26" spans="1:29" s="102" customFormat="1" ht="15">
      <c r="A26" s="443"/>
      <c r="B26" s="401"/>
      <c r="C26" s="1825"/>
      <c r="D26" s="387"/>
      <c r="E26" s="1826"/>
      <c r="F26" s="387"/>
      <c r="G26" s="1826"/>
      <c r="H26" s="387"/>
      <c r="I26" s="1826"/>
      <c r="J26" s="387"/>
      <c r="K26" s="592"/>
      <c r="L26" s="2488"/>
      <c r="M26" s="2439"/>
      <c r="N26" s="2439"/>
      <c r="O26" s="2540"/>
      <c r="P26" s="3410"/>
      <c r="Q26" s="530"/>
      <c r="R26" s="664"/>
      <c r="S26" s="665"/>
      <c r="T26" s="664"/>
      <c r="U26" s="665"/>
      <c r="V26" s="664"/>
      <c r="W26" s="665"/>
      <c r="X26" s="666"/>
      <c r="Y26" s="341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1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0"/>
      <c r="Z27" s="1264" t="str">
        <f t="shared" ref="Z27:Z40" si="13">Q27</f>
        <v>临街状况</v>
      </c>
      <c r="AA27" s="1264">
        <f t="shared" si="3"/>
        <v>1</v>
      </c>
      <c r="AB27" s="1264">
        <f t="shared" si="4"/>
        <v>1</v>
      </c>
      <c r="AC27" s="1264">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10"/>
      <c r="Q28" s="1263" t="str">
        <f t="shared" si="8"/>
        <v>毗邻道路的类型与等级</v>
      </c>
      <c r="R28" s="667" t="s">
        <v>14</v>
      </c>
      <c r="S28" s="668">
        <f t="shared" si="10"/>
        <v>100</v>
      </c>
      <c r="T28" s="667" t="s">
        <v>14</v>
      </c>
      <c r="U28" s="668">
        <f t="shared" si="11"/>
        <v>100</v>
      </c>
      <c r="V28" s="667" t="s">
        <v>14</v>
      </c>
      <c r="W28" s="668">
        <f t="shared" si="12"/>
        <v>100</v>
      </c>
      <c r="X28" s="1265"/>
      <c r="Y28" s="3410"/>
      <c r="Z28" s="1264" t="str">
        <f t="shared" si="13"/>
        <v>毗邻道路的类型与等级</v>
      </c>
      <c r="AA28" s="1264">
        <f t="shared" si="3"/>
        <v>1</v>
      </c>
      <c r="AB28" s="1264">
        <f t="shared" si="4"/>
        <v>1</v>
      </c>
      <c r="AC28" s="1264">
        <f t="shared" si="5"/>
        <v>1</v>
      </c>
    </row>
    <row r="29" spans="1:29" ht="15">
      <c r="A29" s="367"/>
      <c r="B29" s="401"/>
      <c r="C29" s="386"/>
      <c r="D29" s="387"/>
      <c r="E29" s="1757"/>
      <c r="F29" s="387"/>
      <c r="G29" s="1757"/>
      <c r="H29" s="387"/>
      <c r="I29" s="1757"/>
      <c r="J29" s="387"/>
      <c r="K29" s="539"/>
      <c r="L29" s="2492"/>
      <c r="M29" s="2487"/>
      <c r="N29" s="2487"/>
      <c r="O29" s="2542"/>
      <c r="P29" s="3410"/>
      <c r="Q29" s="1263"/>
      <c r="R29" s="667"/>
      <c r="S29" s="668"/>
      <c r="T29" s="667"/>
      <c r="U29" s="668"/>
      <c r="V29" s="667"/>
      <c r="W29" s="668"/>
      <c r="X29" s="1265"/>
      <c r="Y29" s="341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10"/>
      <c r="Q30" s="1263" t="str">
        <f t="shared" si="8"/>
        <v>土地级别</v>
      </c>
      <c r="R30" s="667" t="s">
        <v>14</v>
      </c>
      <c r="S30" s="668">
        <f t="shared" si="10"/>
        <v>100</v>
      </c>
      <c r="T30" s="667" t="s">
        <v>14</v>
      </c>
      <c r="U30" s="668">
        <f t="shared" si="11"/>
        <v>100</v>
      </c>
      <c r="V30" s="667" t="s">
        <v>14</v>
      </c>
      <c r="W30" s="668">
        <f t="shared" si="12"/>
        <v>100</v>
      </c>
      <c r="X30" s="1265"/>
      <c r="Y30" s="341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10"/>
      <c r="Q31" s="1263">
        <f t="shared" si="8"/>
        <v>111</v>
      </c>
      <c r="R31" s="667" t="s">
        <v>14</v>
      </c>
      <c r="S31" s="668">
        <f t="shared" si="10"/>
        <v>100</v>
      </c>
      <c r="T31" s="667" t="s">
        <v>14</v>
      </c>
      <c r="U31" s="668">
        <f t="shared" si="11"/>
        <v>100</v>
      </c>
      <c r="V31" s="667" t="s">
        <v>14</v>
      </c>
      <c r="W31" s="668">
        <f t="shared" si="12"/>
        <v>100</v>
      </c>
      <c r="X31" s="1265"/>
      <c r="Y31" s="3410"/>
      <c r="Z31" s="1264">
        <f t="shared" si="13"/>
        <v>111</v>
      </c>
      <c r="AA31" s="1264">
        <f t="shared" si="3"/>
        <v>1</v>
      </c>
      <c r="AB31" s="1264">
        <f t="shared" si="4"/>
        <v>1</v>
      </c>
      <c r="AC31" s="1264">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33" t="s">
        <v>1696</v>
      </c>
      <c r="Q32" s="1263">
        <f t="shared" si="8"/>
        <v>111</v>
      </c>
      <c r="R32" s="667" t="s">
        <v>14</v>
      </c>
      <c r="S32" s="668">
        <f t="shared" si="10"/>
        <v>100</v>
      </c>
      <c r="T32" s="667" t="s">
        <v>14</v>
      </c>
      <c r="U32" s="668">
        <f t="shared" si="11"/>
        <v>100</v>
      </c>
      <c r="V32" s="667" t="s">
        <v>14</v>
      </c>
      <c r="W32" s="668">
        <f t="shared" si="12"/>
        <v>100</v>
      </c>
      <c r="X32" s="1265"/>
      <c r="Y32" s="3414" t="s">
        <v>1696</v>
      </c>
      <c r="Z32" s="1264">
        <f t="shared" si="13"/>
        <v>111</v>
      </c>
      <c r="AA32" s="1264">
        <f t="shared" si="3"/>
        <v>1</v>
      </c>
      <c r="AB32" s="1264">
        <f t="shared" si="4"/>
        <v>1</v>
      </c>
      <c r="AC32" s="1264">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14"/>
      <c r="Q33" s="1263">
        <f t="shared" si="8"/>
        <v>111</v>
      </c>
      <c r="R33" s="669" t="s">
        <v>14</v>
      </c>
      <c r="S33" s="670">
        <f t="shared" si="10"/>
        <v>100</v>
      </c>
      <c r="T33" s="669" t="s">
        <v>14</v>
      </c>
      <c r="U33" s="670">
        <f t="shared" si="11"/>
        <v>100</v>
      </c>
      <c r="V33" s="669" t="s">
        <v>14</v>
      </c>
      <c r="W33" s="670">
        <f t="shared" si="12"/>
        <v>100</v>
      </c>
      <c r="X33" s="671"/>
      <c r="Y33" s="341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14"/>
      <c r="Q34" s="1263" t="str">
        <f>B34</f>
        <v>宗地面积</v>
      </c>
      <c r="R34" s="667" t="s">
        <v>14</v>
      </c>
      <c r="S34" s="668" t="e">
        <f t="shared" si="10"/>
        <v>#N/A</v>
      </c>
      <c r="T34" s="667" t="s">
        <v>14</v>
      </c>
      <c r="U34" s="668" t="e">
        <f t="shared" si="11"/>
        <v>#N/A</v>
      </c>
      <c r="V34" s="667" t="s">
        <v>14</v>
      </c>
      <c r="W34" s="668" t="e">
        <f t="shared" si="12"/>
        <v>#N/A</v>
      </c>
      <c r="X34" s="1265"/>
      <c r="Y34" s="3414"/>
      <c r="Z34" s="1264" t="str">
        <f t="shared" si="13"/>
        <v>宗地面积</v>
      </c>
      <c r="AA34" s="1264" t="e">
        <f t="shared" si="3"/>
        <v>#N/A</v>
      </c>
      <c r="AB34" s="1264" t="e">
        <f t="shared" si="4"/>
        <v>#N/A</v>
      </c>
      <c r="AC34" s="1264"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414"/>
      <c r="Q35" s="1263" t="str">
        <f t="shared" ref="Q35:Q40" si="14">B35</f>
        <v>宗地形状</v>
      </c>
      <c r="R35" s="667" t="s">
        <v>14</v>
      </c>
      <c r="S35" s="668">
        <f t="shared" si="10"/>
        <v>100</v>
      </c>
      <c r="T35" s="667" t="s">
        <v>14</v>
      </c>
      <c r="U35" s="668">
        <f t="shared" si="11"/>
        <v>100</v>
      </c>
      <c r="V35" s="667" t="s">
        <v>14</v>
      </c>
      <c r="W35" s="668">
        <f t="shared" si="12"/>
        <v>100</v>
      </c>
      <c r="X35" s="1265"/>
      <c r="Y35" s="3414"/>
      <c r="Z35" s="1264" t="str">
        <f t="shared" si="13"/>
        <v>宗地形状</v>
      </c>
      <c r="AA35" s="1264">
        <f t="shared" si="3"/>
        <v>1</v>
      </c>
      <c r="AB35" s="1264">
        <f t="shared" si="4"/>
        <v>1</v>
      </c>
      <c r="AC35" s="1264">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414"/>
      <c r="Q36" s="1263" t="str">
        <f t="shared" si="14"/>
        <v>宗地开发程度</v>
      </c>
      <c r="R36" s="664" t="s">
        <v>14</v>
      </c>
      <c r="S36" s="665">
        <f t="shared" si="10"/>
        <v>100</v>
      </c>
      <c r="T36" s="664" t="s">
        <v>14</v>
      </c>
      <c r="U36" s="665">
        <f t="shared" si="11"/>
        <v>100</v>
      </c>
      <c r="V36" s="664" t="s">
        <v>14</v>
      </c>
      <c r="W36" s="665">
        <f t="shared" si="12"/>
        <v>100</v>
      </c>
      <c r="X36" s="666"/>
      <c r="Y36" s="3414"/>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414" t="s">
        <v>1696</v>
      </c>
      <c r="Q37" s="1263" t="str">
        <f t="shared" si="14"/>
        <v>工程地质条件</v>
      </c>
      <c r="R37" s="667" t="s">
        <v>14</v>
      </c>
      <c r="S37" s="668">
        <f t="shared" si="10"/>
        <v>100</v>
      </c>
      <c r="T37" s="667" t="s">
        <v>14</v>
      </c>
      <c r="U37" s="668">
        <f t="shared" si="11"/>
        <v>100</v>
      </c>
      <c r="V37" s="667" t="s">
        <v>14</v>
      </c>
      <c r="W37" s="668">
        <f t="shared" si="12"/>
        <v>100</v>
      </c>
      <c r="X37" s="1265"/>
      <c r="Y37" s="341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14"/>
      <c r="Q38" s="1263">
        <f t="shared" si="14"/>
        <v>111</v>
      </c>
      <c r="R38" s="667" t="s">
        <v>14</v>
      </c>
      <c r="S38" s="668">
        <f t="shared" si="10"/>
        <v>100</v>
      </c>
      <c r="T38" s="667" t="s">
        <v>14</v>
      </c>
      <c r="U38" s="668">
        <f t="shared" si="11"/>
        <v>100</v>
      </c>
      <c r="V38" s="667" t="s">
        <v>14</v>
      </c>
      <c r="W38" s="668">
        <f t="shared" si="12"/>
        <v>100</v>
      </c>
      <c r="X38" s="1265"/>
      <c r="Y38" s="341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14"/>
      <c r="Q39" s="1263">
        <f t="shared" si="14"/>
        <v>111</v>
      </c>
      <c r="R39" s="667" t="s">
        <v>14</v>
      </c>
      <c r="S39" s="668">
        <f t="shared" si="10"/>
        <v>100</v>
      </c>
      <c r="T39" s="667" t="s">
        <v>14</v>
      </c>
      <c r="U39" s="668">
        <f t="shared" si="11"/>
        <v>100</v>
      </c>
      <c r="V39" s="667" t="s">
        <v>14</v>
      </c>
      <c r="W39" s="668">
        <f t="shared" si="12"/>
        <v>100</v>
      </c>
      <c r="X39" s="1265"/>
      <c r="Y39" s="3414"/>
      <c r="Z39" s="1264">
        <f t="shared" si="13"/>
        <v>111</v>
      </c>
      <c r="AA39" s="1264">
        <f t="shared" si="3"/>
        <v>1</v>
      </c>
      <c r="AB39" s="1264">
        <f t="shared" si="4"/>
        <v>1</v>
      </c>
      <c r="AC39" s="1264">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14"/>
      <c r="Q40" s="1263">
        <f t="shared" si="14"/>
        <v>111</v>
      </c>
      <c r="R40" s="669" t="s">
        <v>14</v>
      </c>
      <c r="S40" s="670">
        <f t="shared" si="10"/>
        <v>100</v>
      </c>
      <c r="T40" s="669" t="s">
        <v>14</v>
      </c>
      <c r="U40" s="670">
        <f t="shared" si="11"/>
        <v>100</v>
      </c>
      <c r="V40" s="669" t="s">
        <v>14</v>
      </c>
      <c r="W40" s="670">
        <f t="shared" si="12"/>
        <v>100</v>
      </c>
      <c r="X40" s="671"/>
      <c r="Y40" s="3414"/>
      <c r="Z40" s="672">
        <f t="shared" si="13"/>
        <v>111</v>
      </c>
      <c r="AA40" s="1264">
        <f t="shared" si="3"/>
        <v>1</v>
      </c>
      <c r="AB40" s="1264">
        <f t="shared" si="4"/>
        <v>1</v>
      </c>
      <c r="AC40" s="1264">
        <f t="shared" si="5"/>
        <v>1</v>
      </c>
    </row>
    <row r="41" spans="1:31" ht="15">
      <c r="A41" s="416" t="s">
        <v>1844</v>
      </c>
      <c r="B41" s="1829" t="s">
        <v>1922</v>
      </c>
      <c r="C41" s="602" t="s">
        <v>0</v>
      </c>
      <c r="D41" s="418"/>
      <c r="E41" s="419"/>
      <c r="F41" s="420"/>
      <c r="G41" s="421"/>
      <c r="H41" s="422"/>
      <c r="I41" s="419"/>
      <c r="J41" s="422"/>
      <c r="K41" s="674"/>
      <c r="L41" s="2494"/>
      <c r="M41" s="2487"/>
      <c r="N41" s="2487"/>
      <c r="O41" s="2487"/>
      <c r="P41" s="3408" t="str">
        <f>A41</f>
        <v>成交单价</v>
      </c>
      <c r="Q41" s="3408"/>
      <c r="R41" s="3403">
        <f>E41</f>
        <v>0</v>
      </c>
      <c r="S41" s="3403"/>
      <c r="T41" s="3403">
        <f>G41</f>
        <v>0</v>
      </c>
      <c r="U41" s="3403"/>
      <c r="V41" s="3403">
        <f>I41</f>
        <v>0</v>
      </c>
      <c r="W41" s="3403"/>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4"/>
      <c r="M42" s="2487"/>
      <c r="N42" s="2487"/>
      <c r="O42" s="2487"/>
      <c r="P42" s="3408" t="str">
        <f>A42</f>
        <v>比较价值（元/平方米）</v>
      </c>
      <c r="Q42" s="3408"/>
      <c r="R42" s="3435" t="e">
        <f>ROUND(PRODUCT(R41,AA7:AA40),0)</f>
        <v>#DIV/0!</v>
      </c>
      <c r="S42" s="3435"/>
      <c r="T42" s="3435" t="e">
        <f>ROUND(PRODUCT(T41,AB7:AB40),0)</f>
        <v>#DIV/0!</v>
      </c>
      <c r="U42" s="3435"/>
      <c r="V42" s="3435" t="e">
        <f>ROUND(PRODUCT(V41,AC7:AC40),0)</f>
        <v>#DIV/0!</v>
      </c>
      <c r="W42" s="3435"/>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405" t="str">
        <f>A43</f>
        <v>估价对象XX用房的比较价值（楼面单价，元/平方米）</v>
      </c>
      <c r="Q43" s="3406"/>
      <c r="R43" s="3436" t="e">
        <f>ROUND(IF(D42="简单平均",AVERAGE(R42:W42),R42*F42+T42*H42+V42*J42),0)</f>
        <v>#DIV/0!</v>
      </c>
      <c r="S43" s="3436"/>
      <c r="T43" s="3436"/>
      <c r="U43" s="3436"/>
      <c r="V43" s="3436"/>
      <c r="W43" s="3436"/>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0" t="s">
        <v>1883</v>
      </c>
      <c r="D50" s="1831" t="s">
        <v>1884</v>
      </c>
      <c r="E50" s="606" t="s">
        <v>1885</v>
      </c>
      <c r="F50" s="607" t="s">
        <v>1886</v>
      </c>
      <c r="G50" s="3391" t="s">
        <v>1887</v>
      </c>
      <c r="H50" s="3437"/>
      <c r="I50" s="1264" t="s">
        <v>1923</v>
      </c>
      <c r="J50" s="1264">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63.97</v>
      </c>
      <c r="F51" s="611" t="e">
        <f t="shared" ref="F51:F60" si="15">ROUND(B51*E51/10000,0)</f>
        <v>#DIV/0!</v>
      </c>
      <c r="G51" s="3390"/>
      <c r="H51" s="3408"/>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三级</v>
      </c>
      <c r="I58" s="727">
        <f>SUMIF(修正!A57:A68,H58,修正!G57:G68)</f>
        <v>0.15</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5" t="s">
        <v>2084</v>
      </c>
      <c r="D1" s="3446"/>
      <c r="E1" s="3446"/>
      <c r="F1" s="3446"/>
      <c r="G1" s="3446"/>
      <c r="H1" s="3446"/>
      <c r="I1" s="3446"/>
      <c r="J1" s="3446"/>
      <c r="K1" s="3446"/>
      <c r="L1" s="3446"/>
      <c r="M1" s="3446"/>
      <c r="N1" s="3446"/>
      <c r="O1" s="3446"/>
      <c r="P1" s="3446"/>
      <c r="Q1" s="3446"/>
      <c r="R1" s="3446"/>
      <c r="S1" s="344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8"/>
      <c r="E20" s="1254"/>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2" t="s">
        <v>27</v>
      </c>
      <c r="D22" s="3443"/>
      <c r="E22" s="3443"/>
      <c r="F22" s="3443"/>
      <c r="G22" s="3443"/>
      <c r="H22" s="3443"/>
      <c r="I22" s="3443"/>
      <c r="J22" s="3443"/>
      <c r="K22" s="3443"/>
      <c r="L22" s="3443"/>
      <c r="M22" s="3443"/>
      <c r="N22" s="3443"/>
      <c r="O22" s="3443"/>
      <c r="P22" s="3443"/>
      <c r="Q22" s="344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3" t="s">
        <v>2073</v>
      </c>
      <c r="B2" s="2387">
        <f ca="1">SUMIF(B6:B13,"&lt;&gt;#ref!",B6:B13)</f>
        <v>249</v>
      </c>
      <c r="C2" s="1983" t="s">
        <v>2074</v>
      </c>
      <c r="D2" s="1983" t="s">
        <v>2075</v>
      </c>
      <c r="E2" s="2397">
        <f ca="1">SUMIF(E6:E13,"&lt;&gt;#ref!",E6:E13)</f>
        <v>63.97</v>
      </c>
      <c r="F2" s="2544"/>
      <c r="G2" s="2544"/>
      <c r="H2" s="2544"/>
      <c r="I2" s="2544"/>
      <c r="J2" s="2544"/>
      <c r="K2" s="2544"/>
      <c r="L2" s="2544"/>
      <c r="M2" s="2544"/>
      <c r="N2" s="2544"/>
      <c r="O2" s="2544"/>
      <c r="P2" s="2544"/>
    </row>
    <row r="3" spans="1:16" ht="15.75">
      <c r="A3" s="1983" t="s">
        <v>2076</v>
      </c>
      <c r="B3" s="2387">
        <f ca="1">ROUND(B2*10000/E2,0)</f>
        <v>38924</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249</v>
      </c>
      <c r="C6" s="1983" t="s">
        <v>2074</v>
      </c>
      <c r="D6" s="2544"/>
      <c r="E6" s="2397">
        <f ca="1">SUMIF(INDIRECT("'"&amp;A6&amp;"'"&amp;"!C:C"),"建筑面积",INDIRECT("'"&amp;A6&amp;"'"&amp;"!D:D"))</f>
        <v>63.97</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130" zoomScaleNormal="70" zoomScaleSheetLayoutView="130" workbookViewId="0">
      <selection activeCell="B3" sqref="B3"/>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3406</v>
      </c>
      <c r="C1" s="1717" t="s">
        <v>1563</v>
      </c>
      <c r="D1" s="190"/>
      <c r="E1" s="190"/>
      <c r="F1" s="190"/>
      <c r="G1" s="1062">
        <f>MATCH(B1,'数据-取费表'!A6:A16,0)+5</f>
        <v>6</v>
      </c>
      <c r="H1" s="998" t="str">
        <f>IF(ISERROR(FIND("住宅",B1)),"非住宅","住宅")</f>
        <v>住宅</v>
      </c>
    </row>
    <row r="2" spans="1:8" s="192" customFormat="1" ht="18" customHeight="1">
      <c r="A2" s="193" t="s">
        <v>1462</v>
      </c>
      <c r="B2" s="3122">
        <f ca="1">ROUND(IF(D2="——",C52/10000,C52/10000-E2),4)</f>
        <v>373.59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58401</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2580036.5099999998</v>
      </c>
      <c r="D5" s="203" t="s">
        <v>1469</v>
      </c>
      <c r="E5" s="204" t="s">
        <v>1470</v>
      </c>
      <c r="F5" s="204" t="s">
        <v>1471</v>
      </c>
      <c r="G5" s="205"/>
    </row>
    <row r="6" spans="1:8" s="206" customFormat="1" ht="13.5" customHeight="1">
      <c r="A6" s="732" t="s">
        <v>1472</v>
      </c>
      <c r="B6" s="207" t="s">
        <v>1473</v>
      </c>
      <c r="C6" s="208">
        <f>基准地价修正!C33*基准地价修正!D33</f>
        <v>2493742.5099999998</v>
      </c>
      <c r="D6" s="209"/>
      <c r="E6" s="210"/>
      <c r="F6" s="210"/>
      <c r="G6" s="211"/>
    </row>
    <row r="7" spans="1:8" s="206" customFormat="1" ht="13.5" customHeight="1">
      <c r="A7" s="732" t="s">
        <v>1474</v>
      </c>
      <c r="B7" s="207" t="s">
        <v>1475</v>
      </c>
      <c r="C7" s="212">
        <f>ROUND(C6*F7,0)</f>
        <v>76059</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10235</v>
      </c>
      <c r="D8" s="214"/>
      <c r="E8" s="212"/>
      <c r="F8" s="213"/>
      <c r="G8" s="1714" t="s">
        <v>3526</v>
      </c>
    </row>
    <row r="9" spans="1:8" s="206" customFormat="1" ht="13.5" customHeight="1">
      <c r="A9" s="733" t="s">
        <v>355</v>
      </c>
      <c r="B9" s="216" t="s">
        <v>1478</v>
      </c>
      <c r="C9" s="217">
        <f ca="1">ROUND(D9*E9,0)</f>
        <v>10235</v>
      </c>
      <c r="D9" s="795">
        <f ca="1">IF(B1="",'数据-汇总表'!E5,IF(INDIRECT("'数据-取费表'!c"&amp;$G$1)="住宅",INDIRECT("'数据-取费表'!k"&amp;$G$1),0))</f>
        <v>63.97</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63.97</v>
      </c>
      <c r="E19" s="203">
        <f>'数据-取费表'!B31</f>
        <v>200</v>
      </c>
      <c r="F19" s="223"/>
      <c r="G19" s="1714" t="s">
        <v>3527</v>
      </c>
    </row>
    <row r="20" spans="1:7" s="206" customFormat="1" ht="13.5" customHeight="1">
      <c r="A20" s="247" t="s">
        <v>1574</v>
      </c>
      <c r="B20" s="202" t="s">
        <v>1575</v>
      </c>
      <c r="C20" s="224">
        <f ca="1">ROUND((C5+C19)*F20,0)</f>
        <v>25800</v>
      </c>
      <c r="D20" s="224"/>
      <c r="E20" s="224"/>
      <c r="F20" s="225">
        <f>'数据-取费表'!B37</f>
        <v>0.01</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77788</v>
      </c>
      <c r="D22" s="227">
        <f ca="1">C26</f>
        <v>5.0000000000000001E-4</v>
      </c>
      <c r="E22" s="228" t="s">
        <v>1579</v>
      </c>
      <c r="F22" s="229">
        <f ca="1">'数据-取费表'!B40</f>
        <v>0.03</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77401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387</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4.75">
      <c r="A27" s="247" t="s">
        <v>1512</v>
      </c>
      <c r="B27" s="236" t="s">
        <v>1513</v>
      </c>
      <c r="C27" s="237">
        <f ca="1">C28</f>
        <v>521167</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521167</v>
      </c>
      <c r="D28" s="227"/>
      <c r="E28" s="228"/>
      <c r="F28" s="238"/>
      <c r="G28" s="239"/>
    </row>
    <row r="29" spans="1:7" s="206" customFormat="1" ht="13.5" customHeight="1">
      <c r="A29" s="734" t="s">
        <v>347</v>
      </c>
      <c r="B29" s="240" t="s">
        <v>1517</v>
      </c>
      <c r="C29" s="230">
        <f ca="1">ROUND(C21*F27,4)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3520975</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227734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191910</v>
      </c>
      <c r="D34" s="209"/>
      <c r="E34" s="212"/>
      <c r="F34" s="249"/>
      <c r="G34" s="211"/>
    </row>
    <row r="35" spans="1:7" ht="13.5" customHeight="1">
      <c r="A35" s="734" t="s">
        <v>351</v>
      </c>
      <c r="B35" s="207" t="s">
        <v>1527</v>
      </c>
      <c r="C35" s="212">
        <f ca="1">ROUND(C34*F35,0)</f>
        <v>9596</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9596</v>
      </c>
      <c r="D36" s="212"/>
      <c r="E36" s="212"/>
      <c r="F36" s="251">
        <f>'数据-取费表'!B34</f>
        <v>0.05</v>
      </c>
      <c r="G36" s="252" t="s">
        <v>1530</v>
      </c>
    </row>
    <row r="37" spans="1:7" s="250" customFormat="1" ht="13.5" customHeight="1">
      <c r="A37" s="734" t="s">
        <v>353</v>
      </c>
      <c r="B37" s="207" t="s">
        <v>1531</v>
      </c>
      <c r="C37" s="241">
        <f ca="1">ROUND(E37*D37,0)</f>
        <v>12794</v>
      </c>
      <c r="D37" s="209">
        <f ca="1">D19</f>
        <v>63.97</v>
      </c>
      <c r="E37" s="241">
        <f>'数据-取费表'!B35</f>
        <v>200</v>
      </c>
      <c r="F37" s="251"/>
      <c r="G37" s="253"/>
    </row>
    <row r="38" spans="1:7" ht="13.5" customHeight="1">
      <c r="A38" s="734" t="s">
        <v>354</v>
      </c>
      <c r="B38" s="207" t="s">
        <v>1533</v>
      </c>
      <c r="C38" s="212">
        <f ca="1">ROUND(C34*F38,0)</f>
        <v>3838</v>
      </c>
      <c r="D38" s="212"/>
      <c r="E38" s="212"/>
      <c r="F38" s="251">
        <f>'数据-取费表'!B36</f>
        <v>0.02</v>
      </c>
      <c r="G38" s="211" t="s">
        <v>1528</v>
      </c>
    </row>
    <row r="39" spans="1:7" s="206" customFormat="1" ht="13.5" customHeight="1">
      <c r="A39" s="247" t="s">
        <v>1534</v>
      </c>
      <c r="B39" s="202" t="s">
        <v>1535</v>
      </c>
      <c r="C39" s="224">
        <f ca="1">ROUND(C33*F20,0)</f>
        <v>2277</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3450</v>
      </c>
      <c r="D41" s="227">
        <f ca="1">C44</f>
        <v>5.0000000000000001E-4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3416</v>
      </c>
      <c r="D42" s="230"/>
      <c r="E42" s="230"/>
      <c r="F42" s="231"/>
      <c r="G42" s="3344" t="s">
        <v>1591</v>
      </c>
    </row>
    <row r="43" spans="1:7" ht="13.5" customHeight="1">
      <c r="A43" s="734" t="s">
        <v>347</v>
      </c>
      <c r="B43" s="207" t="s">
        <v>1545</v>
      </c>
      <c r="C43" s="230">
        <f ca="1">ROUND(IF('数据-取费表'!B22&lt;=1,C39*F22*'数据-取费表'!B20/2,C39*(POWER((1+F22),'数据-取费表'!B20/2)-1)),0)</f>
        <v>34</v>
      </c>
      <c r="D43" s="230"/>
      <c r="E43" s="230"/>
      <c r="F43" s="231"/>
      <c r="G43" s="3345"/>
    </row>
    <row r="44" spans="1:7" ht="13.5" customHeight="1">
      <c r="A44" s="734" t="s">
        <v>348</v>
      </c>
      <c r="B44" s="207" t="s">
        <v>1546</v>
      </c>
      <c r="C44" s="230">
        <f ca="1">ROUND(IF('数据-取费表'!B22&lt;=1,C40*F22*'数据-取费表'!B20/2,C40*(POWER((1+F22),'数据-取费表'!B20/2)-1)),4)</f>
        <v>5.0000000000000001E-4</v>
      </c>
      <c r="D44" s="230"/>
      <c r="E44" s="230"/>
      <c r="F44" s="231"/>
      <c r="G44" s="3346"/>
    </row>
    <row r="45" spans="1:7" s="206" customFormat="1" ht="13.5" customHeight="1">
      <c r="A45" s="247" t="s">
        <v>1547</v>
      </c>
      <c r="B45" s="236" t="s">
        <v>1513</v>
      </c>
      <c r="C45" s="237">
        <f ca="1">C46</f>
        <v>46002</v>
      </c>
      <c r="D45" s="227">
        <f ca="1">C47</f>
        <v>6.0000000000000001E-3</v>
      </c>
      <c r="E45" s="228" t="s">
        <v>1539</v>
      </c>
      <c r="F45" s="238">
        <f ca="1">F27</f>
        <v>0.2</v>
      </c>
      <c r="G45" s="239" t="s">
        <v>1548</v>
      </c>
    </row>
    <row r="46" spans="1:7" s="206" customFormat="1" ht="13.5" customHeight="1">
      <c r="A46" s="734" t="s">
        <v>346</v>
      </c>
      <c r="B46" s="240" t="s">
        <v>1549</v>
      </c>
      <c r="C46" s="241">
        <f ca="1">ROUND((C33+C39)*F27,0)</f>
        <v>46002</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307035</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214925</v>
      </c>
      <c r="D51" s="224"/>
      <c r="E51" s="224"/>
      <c r="F51" s="256"/>
      <c r="G51" s="226" t="s">
        <v>1560</v>
      </c>
    </row>
    <row r="52" spans="1:7" s="200" customFormat="1" ht="16.5" thickBot="1">
      <c r="A52" s="257" t="s">
        <v>1561</v>
      </c>
      <c r="B52" s="258"/>
      <c r="C52" s="259">
        <f ca="1">C31+C51</f>
        <v>3735900</v>
      </c>
      <c r="D52" s="258"/>
      <c r="E52" s="258"/>
      <c r="F52" s="258"/>
      <c r="G52" s="260"/>
    </row>
    <row r="55" spans="1:7" ht="15">
      <c r="B55" s="262" t="s">
        <v>1562</v>
      </c>
      <c r="C55" s="263"/>
    </row>
    <row r="56" spans="1:7">
      <c r="B56" s="265" t="s">
        <v>802</v>
      </c>
      <c r="C56" s="267">
        <f ca="1">1-C57</f>
        <v>0.94199999999999995</v>
      </c>
    </row>
    <row r="57" spans="1:7">
      <c r="B57" s="265" t="s">
        <v>803</v>
      </c>
      <c r="C57" s="266">
        <f ca="1">ROUND(C51/C52,3)</f>
        <v>5.8000000000000003E-2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I24" sqref="I24"/>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1926</v>
      </c>
      <c r="B1" s="189"/>
      <c r="C1" s="193" t="s">
        <v>1927</v>
      </c>
      <c r="D1" s="333">
        <f>SUM(D33:D34,D37:D42)</f>
        <v>63.97</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249</v>
      </c>
      <c r="C2" s="1845" t="s">
        <v>1935</v>
      </c>
      <c r="D2" s="162" t="s">
        <v>1936</v>
      </c>
      <c r="E2" s="3120" t="s">
        <v>3406</v>
      </c>
      <c r="F2" s="162" t="s">
        <v>1937</v>
      </c>
      <c r="G2" s="163" t="str">
        <f>IF(E2="商业",项目基本情况!B37,IF(E2="办公",项目基本情况!C37,IF(E2="住宅",项目基本情况!D37,IF(E2="工业",项目基本情况!E37,项目基本情况!F37))))</f>
        <v>三级</v>
      </c>
      <c r="H2" s="162" t="s">
        <v>1938</v>
      </c>
      <c r="I2" s="163" t="str">
        <f>IF(E2="商业",项目基本情况!B38,IF(E2="办公",项目基本情况!C38,IF(E2="住宅",项目基本情况!D38,IF(E2="工业",项目基本情况!E38,项目基本情况!F38))))</f>
        <v>Ⅲ—16</v>
      </c>
      <c r="J2" s="1841"/>
      <c r="K2" s="1056"/>
      <c r="L2" s="1846"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1.5019</v>
      </c>
      <c r="T2" s="3063">
        <f t="shared" ref="T2:T16" si="0">ROUND($C$5*$C$22*$C$23*$C$24*S2*$C$28,0)</f>
        <v>56865</v>
      </c>
      <c r="U2" s="1130"/>
      <c r="V2" s="3063">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38924</v>
      </c>
      <c r="C3" s="1845" t="s">
        <v>1941</v>
      </c>
      <c r="D3" s="162" t="s">
        <v>1942</v>
      </c>
      <c r="E3" s="3118" t="s">
        <v>3520</v>
      </c>
      <c r="F3" s="1847"/>
      <c r="G3" s="708">
        <f>IF(F3="宗地容积率",'数据-汇总表'!I4,IF(F3="估价对象容积率",'数据-汇总表'!I6,'数据-汇总表'!I7))</f>
        <v>2.2000000000000002</v>
      </c>
      <c r="H3" s="162" t="s">
        <v>1943</v>
      </c>
      <c r="I3" s="729"/>
      <c r="J3" s="1841" t="s">
        <v>1944</v>
      </c>
      <c r="K3" s="1056"/>
      <c r="L3" s="1846" t="s">
        <v>1945</v>
      </c>
      <c r="M3" s="811">
        <f>SUMPRODUCT((区片价!B30:B54=I2)*(区片价!C3:G3=E2)*(区片价!C30:G54))</f>
        <v>28000</v>
      </c>
      <c r="N3" s="813">
        <f>SUMPRODUCT((因素修正幅度!B30:B54=I2)*(因素修正幅度!C3:G3=E2)*(因素修正幅度!C30:G54))</f>
        <v>9.5000000000000001E-2</v>
      </c>
      <c r="O3" s="1056"/>
      <c r="P3" s="1056"/>
      <c r="Q3" s="1056"/>
      <c r="R3" s="1129">
        <v>2</v>
      </c>
      <c r="S3" s="3063">
        <f>ROUND(SUMPRODUCT((B106:B110=R3)*(C105:N105=G2)*(C106:N110)),4)</f>
        <v>1.1838</v>
      </c>
      <c r="T3" s="3063">
        <f t="shared" si="0"/>
        <v>44821</v>
      </c>
      <c r="U3" s="1130"/>
      <c r="V3" s="3063">
        <f t="shared" ref="V3:V16" si="1">ROUND(T3*U3/10000,0)</f>
        <v>0</v>
      </c>
      <c r="W3" s="1133"/>
      <c r="X3" s="1133"/>
      <c r="Y3" s="1133"/>
      <c r="Z3" s="1133"/>
      <c r="AA3" s="1133"/>
      <c r="AB3" s="1133"/>
      <c r="AC3" s="1134"/>
      <c r="AD3" s="1135"/>
      <c r="AE3" s="1135"/>
      <c r="AF3" s="1135"/>
      <c r="AG3" s="1135"/>
      <c r="AH3" s="1135"/>
      <c r="AI3" s="1135"/>
      <c r="AJ3" s="1136"/>
    </row>
    <row r="4" spans="1:36" ht="15.75">
      <c r="A4" s="3455"/>
      <c r="B4" s="3456"/>
      <c r="C4" s="3456"/>
      <c r="D4" s="3457"/>
      <c r="E4" s="3457"/>
      <c r="F4" s="3457"/>
      <c r="G4" s="3457"/>
      <c r="H4" s="3457"/>
      <c r="I4" s="3457"/>
      <c r="J4" s="3458"/>
      <c r="K4" s="1056"/>
      <c r="L4" s="1846"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1.0004999999999999</v>
      </c>
      <c r="T4" s="3063">
        <f t="shared" si="0"/>
        <v>37881</v>
      </c>
      <c r="U4" s="1130"/>
      <c r="V4" s="3063">
        <f t="shared" si="1"/>
        <v>0</v>
      </c>
      <c r="W4" s="1133"/>
      <c r="X4" s="1133"/>
      <c r="Y4" s="1133"/>
      <c r="Z4" s="1133"/>
      <c r="AA4" s="1133"/>
      <c r="AB4" s="1133"/>
      <c r="AC4" s="1134"/>
      <c r="AD4" s="1135"/>
      <c r="AE4" s="1135"/>
      <c r="AF4" s="1135"/>
      <c r="AG4" s="1135"/>
      <c r="AH4" s="1135"/>
      <c r="AI4" s="1135"/>
      <c r="AJ4" s="1136"/>
    </row>
    <row r="5" spans="1:36" s="1857" customFormat="1" ht="15.75" thickBot="1">
      <c r="A5" s="1848" t="s">
        <v>362</v>
      </c>
      <c r="B5" s="1849" t="s">
        <v>1947</v>
      </c>
      <c r="C5" s="709">
        <f>ROUND(IF(E2="商业",C6*C7*C17+C20,(IF(E2="住宅",C6*C13*C17+C20,IF(E2="办公",C6*C12*C17+C20,C6+C20)))),0)</f>
        <v>33958</v>
      </c>
      <c r="D5" s="1252">
        <f>ROUND(C6*C17+C20,0)</f>
        <v>28000</v>
      </c>
      <c r="E5" s="1252"/>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0.88239999999999996</v>
      </c>
      <c r="T5" s="3063">
        <f t="shared" si="0"/>
        <v>33409</v>
      </c>
      <c r="U5" s="1130"/>
      <c r="V5" s="3063">
        <f t="shared" si="1"/>
        <v>0</v>
      </c>
      <c r="W5" s="1133"/>
      <c r="X5" s="1133"/>
      <c r="Y5" s="1133"/>
      <c r="Z5" s="1133"/>
      <c r="AA5" s="1133"/>
      <c r="AB5" s="1133"/>
      <c r="AC5" s="1854"/>
      <c r="AD5" s="1855"/>
      <c r="AE5" s="1855"/>
      <c r="AF5" s="1855"/>
      <c r="AG5" s="1855"/>
      <c r="AH5" s="1855"/>
      <c r="AI5" s="1855"/>
      <c r="AJ5" s="1856"/>
    </row>
    <row r="6" spans="1:36" ht="15.75" thickBot="1">
      <c r="A6" s="1858" t="s">
        <v>1949</v>
      </c>
      <c r="B6" s="1859" t="s">
        <v>1950</v>
      </c>
      <c r="C6" s="710">
        <f>SUMIF(L1:L12,G2,M1:M12)</f>
        <v>28000</v>
      </c>
      <c r="D6" s="1860"/>
      <c r="E6" s="1861"/>
      <c r="F6" s="1861"/>
      <c r="G6" s="1862"/>
      <c r="H6" s="1862"/>
      <c r="I6" s="1862"/>
      <c r="J6" s="1863"/>
      <c r="K6" s="1292"/>
      <c r="L6" s="1846"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0.84799999999999998</v>
      </c>
      <c r="T6" s="3063">
        <f t="shared" si="0"/>
        <v>32107</v>
      </c>
      <c r="U6" s="1130"/>
      <c r="V6" s="3063">
        <f t="shared" si="1"/>
        <v>0</v>
      </c>
      <c r="W6" s="1133"/>
      <c r="X6" s="1133"/>
      <c r="Y6" s="1133"/>
      <c r="Z6" s="1133"/>
      <c r="AA6" s="1133"/>
      <c r="AB6" s="1133"/>
      <c r="AC6" s="1854"/>
      <c r="AD6" s="1855"/>
      <c r="AE6" s="1855"/>
      <c r="AF6" s="1855"/>
      <c r="AG6" s="1855"/>
      <c r="AH6" s="1855"/>
      <c r="AI6" s="1855"/>
      <c r="AJ6" s="1856"/>
    </row>
    <row r="7" spans="1:36" ht="24.75" thickBot="1">
      <c r="A7" s="3012" t="s">
        <v>3237</v>
      </c>
      <c r="B7" s="1864" t="s">
        <v>1952</v>
      </c>
      <c r="C7" s="711" t="e">
        <f>IF(C8="不临65条商业街",1,ROUND(1+(1.6*E8+1.2*E9+0.8*E10+0.4*E11)*C9,4))</f>
        <v>#DIV/0!</v>
      </c>
      <c r="D7" s="1865" t="s">
        <v>1953</v>
      </c>
      <c r="E7" s="730"/>
      <c r="F7" s="1866"/>
      <c r="G7" s="1867"/>
      <c r="H7" s="1867"/>
      <c r="I7" s="1867"/>
      <c r="J7" s="1868"/>
      <c r="K7" s="1292"/>
      <c r="L7" s="1846"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三级</v>
      </c>
      <c r="Y7" s="1131" t="s">
        <v>1956</v>
      </c>
      <c r="Z7" s="1132">
        <f>G3</f>
        <v>2.2000000000000002</v>
      </c>
      <c r="AA7" s="1133"/>
      <c r="AB7" s="1133"/>
      <c r="AC7" s="1134"/>
      <c r="AD7" s="1135"/>
      <c r="AE7" s="1135"/>
      <c r="AF7" s="1135"/>
      <c r="AG7" s="1135"/>
      <c r="AH7" s="1135"/>
      <c r="AI7" s="1135"/>
      <c r="AJ7" s="1136"/>
    </row>
    <row r="8" spans="1:36" ht="15">
      <c r="A8" s="3009"/>
      <c r="B8" s="162" t="s">
        <v>1957</v>
      </c>
      <c r="C8" s="1869"/>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452" t="s">
        <v>1960</v>
      </c>
      <c r="X8" s="345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454"/>
      <c r="X9" s="3064" t="s">
        <v>3268</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454"/>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3238</v>
      </c>
      <c r="B12" s="3013" t="s">
        <v>3239</v>
      </c>
      <c r="C12" s="3014"/>
      <c r="D12" s="3015" t="s">
        <v>3240</v>
      </c>
      <c r="E12" s="3016" t="s">
        <v>3241</v>
      </c>
      <c r="F12" s="3017"/>
      <c r="G12" s="3018"/>
      <c r="H12" s="3018"/>
      <c r="I12" s="3018"/>
      <c r="J12" s="3019"/>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3242</v>
      </c>
      <c r="B13" s="1877" t="s">
        <v>1982</v>
      </c>
      <c r="C13" s="711">
        <f>ROUND(C16*D16*E16*F16*G16*H16*I16*J16,4)</f>
        <v>1.2128000000000001</v>
      </c>
      <c r="D13" s="1878" t="s">
        <v>1983</v>
      </c>
      <c r="E13" s="1879"/>
      <c r="F13" s="1879"/>
      <c r="G13" s="1880"/>
      <c r="H13" s="1880"/>
      <c r="I13" s="1880"/>
      <c r="J13" s="1881"/>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2" t="s">
        <v>1985</v>
      </c>
      <c r="C14" s="1883"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4"/>
      <c r="C15" s="1885" t="s">
        <v>3521</v>
      </c>
      <c r="D15" s="1886" t="s">
        <v>3521</v>
      </c>
      <c r="E15" s="1887" t="s">
        <v>3522</v>
      </c>
      <c r="F15" s="1470" t="s">
        <v>3244</v>
      </c>
      <c r="G15" s="1927"/>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v>1.1000000000000001</v>
      </c>
      <c r="D16" s="3024">
        <v>1.05</v>
      </c>
      <c r="E16" s="3024">
        <v>1.05</v>
      </c>
      <c r="F16" s="3024">
        <v>1</v>
      </c>
      <c r="G16" s="3024">
        <v>1</v>
      </c>
      <c r="H16" s="3024">
        <v>1</v>
      </c>
      <c r="I16" s="3024">
        <v>1</v>
      </c>
      <c r="J16" s="3025">
        <v>1</v>
      </c>
      <c r="K16" s="1056"/>
      <c r="L16" s="1843"/>
      <c r="M16" s="1843"/>
      <c r="N16" s="1843"/>
      <c r="O16" s="1843"/>
      <c r="P16" s="1843"/>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3245</v>
      </c>
      <c r="B17" s="3027" t="s">
        <v>3246</v>
      </c>
      <c r="C17" s="3036">
        <f>ROUND(IF(OR(E2="工业",E2="公共服务"),1,IF(AND(E18=0,E19=0),1,IF(AND(E18=J24,E19=G19),0.8,IF(E19=0,1+E17*(-0.2),1+E17*G17*(-0.2))))),4)</f>
        <v>1</v>
      </c>
      <c r="D17" s="3028" t="s">
        <v>3247</v>
      </c>
      <c r="E17" s="3036">
        <f>ROUND(G18/I18,2)</f>
        <v>0</v>
      </c>
      <c r="F17" s="3028" t="s">
        <v>3250</v>
      </c>
      <c r="G17" s="3036" t="e">
        <f>ROUND(E19/G19,2)</f>
        <v>#DIV/0!</v>
      </c>
      <c r="H17" s="3036"/>
      <c r="I17" s="3036"/>
      <c r="J17" s="3037"/>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8"/>
      <c r="B18" s="2309"/>
      <c r="C18" s="3034"/>
      <c r="D18" s="3029" t="s">
        <v>3248</v>
      </c>
      <c r="E18" s="2356"/>
      <c r="F18" s="3030" t="s">
        <v>3251</v>
      </c>
      <c r="G18" s="3034">
        <f>ROUND(1-(1/(POWER(1+G24,E18))),4)</f>
        <v>0</v>
      </c>
      <c r="H18" s="3030" t="s">
        <v>3253</v>
      </c>
      <c r="I18" s="3034">
        <f>ROUND(1-(1/(POWER(1+G24,J24))),4)</f>
        <v>0.96709999999999996</v>
      </c>
      <c r="J18" s="3039"/>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2"/>
    </row>
    <row r="19" spans="1:37" s="1857" customFormat="1" ht="15" thickBot="1">
      <c r="A19" s="3040"/>
      <c r="B19" s="3041"/>
      <c r="C19" s="3042"/>
      <c r="D19" s="3042" t="s">
        <v>3249</v>
      </c>
      <c r="E19" s="3043"/>
      <c r="F19" s="3044" t="s">
        <v>3252</v>
      </c>
      <c r="G19" s="3043"/>
      <c r="H19" s="3042"/>
      <c r="I19" s="3042"/>
      <c r="J19" s="3045"/>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5"/>
      <c r="AH19" s="1979"/>
      <c r="AI19" s="561"/>
      <c r="AJ19" s="561"/>
      <c r="AK19" s="1898"/>
    </row>
    <row r="20" spans="1:37" s="1857" customFormat="1" ht="14.25">
      <c r="A20" s="3459" t="s">
        <v>3254</v>
      </c>
      <c r="B20" s="159" t="s">
        <v>1994</v>
      </c>
      <c r="C20" s="3031">
        <f>ROUND(IF(F21="与级别开发程度一致",0,(G21-E21)/C21),0)</f>
        <v>0</v>
      </c>
      <c r="D20" s="3046" t="s">
        <v>1998</v>
      </c>
      <c r="E20" s="3047"/>
      <c r="F20" s="3465" t="s">
        <v>1995</v>
      </c>
      <c r="G20" s="3466"/>
      <c r="H20" s="3032"/>
      <c r="I20" s="3032"/>
      <c r="J20" s="3033"/>
      <c r="K20" s="1888"/>
      <c r="L20" s="1888"/>
      <c r="M20" s="1888"/>
      <c r="N20" s="1888"/>
      <c r="O20" s="1889"/>
      <c r="P20" s="1843"/>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7" customFormat="1" ht="26.25" thickBot="1">
      <c r="A21" s="3460"/>
      <c r="B21" s="2001" t="s">
        <v>1997</v>
      </c>
      <c r="C21" s="2002">
        <f>IF(E3="M4科研用地",SUMPRODUCT((修正!A2:A7=E3)*(修正!B1:M1=G2)*(修正!B2:M7)),SUMPRODUCT((修正!A2:A7=E2)*(修正!B1:M1=G2)*(修正!B2:M7)))</f>
        <v>2.5</v>
      </c>
      <c r="D21" s="179" t="str">
        <f>IF(OR(G2="八级",G2="九级",G2="十级",G2="十一级",G2="十二级"),"五通一平","七通一平")</f>
        <v>七通一平</v>
      </c>
      <c r="E21" s="1992">
        <f>SUMPRODUCT((修正!B1:M1=G2)*(修正!B17:M17))</f>
        <v>315</v>
      </c>
      <c r="F21" s="1993" t="s">
        <v>3523</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7" customFormat="1" ht="15.75" thickBot="1">
      <c r="A22" s="1995" t="s">
        <v>363</v>
      </c>
      <c r="B22" s="1996" t="s">
        <v>2000</v>
      </c>
      <c r="C22" s="1997">
        <f>SUMIF(修正!C20:C51,E3,修正!E20:E51)</f>
        <v>1</v>
      </c>
      <c r="D22" s="1998"/>
      <c r="E22" s="1999"/>
      <c r="F22" s="1999"/>
      <c r="G22" s="1999"/>
      <c r="H22" s="1999"/>
      <c r="I22" s="1999"/>
      <c r="J22" s="2000"/>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1" t="s">
        <v>364</v>
      </c>
      <c r="B23" s="1892"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1.0679000000000001</v>
      </c>
      <c r="D23" s="1895" t="s">
        <v>2002</v>
      </c>
      <c r="E23" s="717">
        <v>44197</v>
      </c>
      <c r="F23" s="1895" t="s">
        <v>2003</v>
      </c>
      <c r="G23" s="718">
        <f>'数据-取费表'!B2</f>
        <v>45812</v>
      </c>
      <c r="H23" s="3048" t="s">
        <v>3256</v>
      </c>
      <c r="I23" s="3049" t="str">
        <f>IF(H23="季度增幅（自定义）",SUMIF(N25:N28,E2,O25:O28),"")</f>
        <v/>
      </c>
      <c r="J23" s="3141" t="s">
        <v>3255</v>
      </c>
      <c r="K23" s="1061"/>
      <c r="L23" s="1896" t="s">
        <v>2004</v>
      </c>
      <c r="M23" s="1241">
        <f>ROUND(SUMIF(地价!B2:G2,E2,地价!B16:G16),0)</f>
        <v>687</v>
      </c>
      <c r="N23" s="1897" t="s">
        <v>2005</v>
      </c>
      <c r="O23" s="719">
        <f>ROUNDDOWN(DATEDIF(E23,G23,"M")/3,0)</f>
        <v>17</v>
      </c>
      <c r="P23" s="1057"/>
      <c r="Q23" s="2552"/>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2006</v>
      </c>
      <c r="C24" s="720">
        <f>ROUND(POWER(1+G24,J24-I24)*(POWER(1+G24,I24)-1)/(POWER(1+G24,J24)-1),4)</f>
        <v>0.99529999999999996</v>
      </c>
      <c r="D24" s="1901" t="s">
        <v>2007</v>
      </c>
      <c r="E24" s="1248">
        <f>存贷款利率!E28/100</f>
        <v>4.3499999999999997E-2</v>
      </c>
      <c r="F24" s="1901" t="s">
        <v>1999</v>
      </c>
      <c r="G24" s="724">
        <f>SUMIF(M30:Q30,E2,M33:Q33)</f>
        <v>0.05</v>
      </c>
      <c r="H24" s="1901" t="s">
        <v>2008</v>
      </c>
      <c r="I24" s="725">
        <f>SUMIF('数据-取费表'!C6:C15,E2,'数据-取费表'!F6:F15)/COUNTIF('数据-取费表'!C6:C15,E2)</f>
        <v>67.34</v>
      </c>
      <c r="J24" s="726">
        <f>IF(E2="住宅",70,IF(E2="商业",40,50))</f>
        <v>70</v>
      </c>
      <c r="K24" s="1061"/>
      <c r="L24" s="1902" t="s">
        <v>2009</v>
      </c>
      <c r="M24" s="1242">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6" t="s">
        <v>366</v>
      </c>
      <c r="B25" s="1907" t="s">
        <v>3335</v>
      </c>
      <c r="C25" s="461">
        <f>IF(B25="容积率修正",IF(G3&lt;10,D26,J26),C27)</f>
        <v>1.0296000000000001</v>
      </c>
      <c r="D25" s="1908"/>
      <c r="E25" s="1908"/>
      <c r="F25" s="1908"/>
      <c r="G25" s="1908"/>
      <c r="H25" s="1908"/>
      <c r="I25" s="1908"/>
      <c r="J25" s="1909"/>
      <c r="K25" s="1061"/>
      <c r="L25" s="2552"/>
      <c r="M25" s="2552"/>
      <c r="N25" s="1910"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2014</v>
      </c>
      <c r="B26" s="1911" t="s">
        <v>2015</v>
      </c>
      <c r="C26" s="1911" t="s">
        <v>3257</v>
      </c>
      <c r="D26" s="1263">
        <f>IF(E26=G26,F26,IF(G3&lt;10,ROUND(F26+(H26-F26)*(G3-E26)/(G26-E26),4),"——"))</f>
        <v>1.0296000000000001</v>
      </c>
      <c r="E26" s="708">
        <f>ROUNDDOWN(G3,1)</f>
        <v>2.2000000000000002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1.0296000000000001</v>
      </c>
      <c r="G26" s="708">
        <f>ROUNDUP(G3,1)</f>
        <v>2.2000000000000002</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1.0296000000000001</v>
      </c>
      <c r="I26" s="1911" t="s">
        <v>3258</v>
      </c>
      <c r="J26" s="374" t="str">
        <f>IF(G3&gt;=10,D115,"——")</f>
        <v>——</v>
      </c>
      <c r="K26" s="1061"/>
      <c r="L26" s="2552"/>
      <c r="M26" s="2552"/>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2020</v>
      </c>
      <c r="C28" s="716">
        <f>SUMIF(A47:A101,E2,B47:B101)</f>
        <v>1.0489999999999999</v>
      </c>
      <c r="D28" s="1893"/>
      <c r="E28" s="1918"/>
      <c r="F28" s="1918"/>
      <c r="G28" s="1918"/>
      <c r="H28" s="1918"/>
      <c r="I28" s="1918"/>
      <c r="J28" s="1919"/>
      <c r="K28" s="1061"/>
      <c r="L28" s="2552"/>
      <c r="M28" s="2552"/>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2022</v>
      </c>
      <c r="C29" s="721"/>
      <c r="D29" s="1867"/>
      <c r="E29" s="1867"/>
      <c r="F29" s="1922"/>
      <c r="G29" s="1867"/>
      <c r="H29" s="1867"/>
      <c r="I29" s="1867"/>
      <c r="J29" s="1868"/>
      <c r="K29" s="1056"/>
      <c r="L29" s="1843"/>
      <c r="M29" s="1843"/>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2024</v>
      </c>
      <c r="C30" s="2144">
        <f>IF(B25="容积率修正",E33+SUM(E37:E42),SUM(V2:V16)+SUM(E37:E42))</f>
        <v>249</v>
      </c>
      <c r="D30" s="1924"/>
      <c r="E30" s="1841"/>
      <c r="F30" s="1925"/>
      <c r="G30" s="1841"/>
      <c r="H30" s="1841"/>
      <c r="I30" s="1841"/>
      <c r="J30" s="1926"/>
      <c r="K30" s="1056"/>
      <c r="L30" s="3055" t="s">
        <v>1936</v>
      </c>
      <c r="M30" s="3056" t="s">
        <v>1990</v>
      </c>
      <c r="N30" s="3056" t="s">
        <v>1991</v>
      </c>
      <c r="O30" s="3056" t="s">
        <v>1992</v>
      </c>
      <c r="P30" s="3056" t="s">
        <v>1993</v>
      </c>
      <c r="Q30" s="3059" t="s">
        <v>3262</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2025</v>
      </c>
      <c r="C31" s="722">
        <f>E34+SUM(I37:I42)</f>
        <v>0</v>
      </c>
      <c r="D31" s="1928"/>
      <c r="E31" s="1929"/>
      <c r="F31" s="1930"/>
      <c r="G31" s="1929"/>
      <c r="H31" s="1929"/>
      <c r="I31" s="1929"/>
      <c r="J31" s="1931"/>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2030</v>
      </c>
      <c r="C33" s="167">
        <f>ROUND(C5*C22*C23*C24*C25*C28,0)</f>
        <v>38983</v>
      </c>
      <c r="D33" s="1939">
        <f>'数据-汇总表'!F19</f>
        <v>63.97</v>
      </c>
      <c r="E33" s="727">
        <f>ROUND(C33*D33/10000,0)</f>
        <v>249</v>
      </c>
      <c r="F33" s="3050" t="s">
        <v>3260</v>
      </c>
      <c r="G33" s="1940"/>
      <c r="H33" s="1940"/>
      <c r="I33" s="1940"/>
      <c r="J33" s="1941"/>
      <c r="K33" s="1056"/>
      <c r="L33" s="3053" t="s">
        <v>3263</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f>ROUND(IF(E2="工业",C33*M42,IF(B25="楼层修正",SUM(V2:V16)*M41*10000/D34,C33*M41)),0)</f>
        <v>9746</v>
      </c>
      <c r="D34" s="1944"/>
      <c r="E34" s="727">
        <f>ROUND(IF(B25="楼层修正",SUM(V2:V16)*M40,C34*D34/10000),0)</f>
        <v>0</v>
      </c>
      <c r="F34" s="1945" t="s">
        <v>2032</v>
      </c>
      <c r="G34" s="1946"/>
      <c r="H34" s="1946"/>
      <c r="I34" s="1946"/>
      <c r="J34" s="1947"/>
      <c r="K34" s="1056"/>
      <c r="L34" s="3053" t="s">
        <v>3264</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51" t="s">
        <v>3261</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3265</v>
      </c>
      <c r="L36" s="3142">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463"/>
      <c r="B37" s="1954" t="s">
        <v>2036</v>
      </c>
      <c r="C37" s="167">
        <f>ROUND(D5*C22*C23*C24*C28*F37,0)</f>
        <v>18731</v>
      </c>
      <c r="D37" s="1939"/>
      <c r="E37" s="163">
        <f>ROUND(C37*D37/10000,0)</f>
        <v>0</v>
      </c>
      <c r="F37" s="163">
        <f>SUMIF(修正!A57:A68,G2,修正!B57:B68)</f>
        <v>0.6</v>
      </c>
      <c r="G37" s="163">
        <f>ROUND(IF(E2="工业",C37*$M$42,C37*$M$41),0)</f>
        <v>4683</v>
      </c>
      <c r="H37" s="163">
        <f>D37</f>
        <v>0</v>
      </c>
      <c r="I37" s="163">
        <f>ROUND(G37*H37/10000,0)</f>
        <v>0</v>
      </c>
      <c r="J37" s="2754"/>
      <c r="K37" s="3061" t="s">
        <v>3266</v>
      </c>
      <c r="L37" s="1963">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64"/>
      <c r="B38" s="1883" t="s">
        <v>2037</v>
      </c>
      <c r="C38" s="167">
        <f>ROUND(D5*C22*C23*C24*C28*F38,0)</f>
        <v>9366</v>
      </c>
      <c r="D38" s="1939"/>
      <c r="E38" s="163">
        <f t="shared" ref="E38:E42" si="4">ROUND(C38*D38/10000,0)</f>
        <v>0</v>
      </c>
      <c r="F38" s="163">
        <f>SUMIF(修正!A57:A68,G2,修正!C57:C68)</f>
        <v>0.3</v>
      </c>
      <c r="G38" s="163">
        <f>ROUND(IF(E2="工业",C38*$M$42,C38*$M$41),0)</f>
        <v>2342</v>
      </c>
      <c r="H38" s="163">
        <f t="shared" ref="H38:H42" si="5">D38</f>
        <v>0</v>
      </c>
      <c r="I38" s="163">
        <f t="shared" ref="I38:I42" si="6">ROUND(G38*H38/10000,0)</f>
        <v>0</v>
      </c>
      <c r="J38" s="2753"/>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464"/>
      <c r="B39" s="1883" t="s">
        <v>3259</v>
      </c>
      <c r="C39" s="167">
        <f>ROUND(D5*C22*C23*C24*C28*F39,0)</f>
        <v>7805</v>
      </c>
      <c r="D39" s="1939"/>
      <c r="E39" s="163">
        <f t="shared" si="4"/>
        <v>0</v>
      </c>
      <c r="F39" s="163">
        <f>SUMIF(修正!A57:A68,G2,修正!D57:D68)</f>
        <v>0.25</v>
      </c>
      <c r="G39" s="163">
        <f>ROUND(IF(E2="工业",C39*$M$42,C39*$M$41),0)</f>
        <v>1951</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f>ROUND(D5*C22*C23*C24*C28*F40,0)</f>
        <v>7805</v>
      </c>
      <c r="D40" s="1939"/>
      <c r="E40" s="163">
        <f t="shared" si="4"/>
        <v>0</v>
      </c>
      <c r="F40" s="167">
        <f>SUMIF(修正!A57:A68,G2,修正!E57:E68)</f>
        <v>0.25</v>
      </c>
      <c r="G40" s="163">
        <f>ROUND(IF(E2="工业",C40*$M$42,C40*$M$41),0)</f>
        <v>1951</v>
      </c>
      <c r="H40" s="163">
        <f t="shared" si="5"/>
        <v>0</v>
      </c>
      <c r="I40" s="163">
        <f t="shared" si="6"/>
        <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f>ROUND(D5*C22*C23*C44*C28*F41,0)</f>
        <v>0</v>
      </c>
      <c r="D41" s="1939"/>
      <c r="E41" s="163">
        <f t="shared" si="4"/>
        <v>0</v>
      </c>
      <c r="F41" s="167">
        <f>SUMIF(修正!A57:A68,G2,修正!F57:F68)</f>
        <v>0.25</v>
      </c>
      <c r="G41" s="163">
        <f>ROUND(IF(E2="工业",C41*$M$42,C41*$M$41),0)</f>
        <v>0</v>
      </c>
      <c r="H41" s="163">
        <f t="shared" si="5"/>
        <v>0</v>
      </c>
      <c r="I41" s="163">
        <f t="shared" si="6"/>
        <v>0</v>
      </c>
      <c r="J41" s="939"/>
      <c r="L41" s="3062" t="s">
        <v>3267</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f>ROUND(D5*C22*C23*C44*C28*F42,0)</f>
        <v>0</v>
      </c>
      <c r="D42" s="1944"/>
      <c r="E42" s="179">
        <f t="shared" si="4"/>
        <v>0</v>
      </c>
      <c r="F42" s="723">
        <f>SUMIF(修正!A57:A68,G2,修正!G57:G68)</f>
        <v>0.15</v>
      </c>
      <c r="G42" s="179">
        <f>ROUND(IF(E2="工业",C42*$M$42,C42*$M$41),0)</f>
        <v>0</v>
      </c>
      <c r="H42" s="179">
        <f t="shared" si="5"/>
        <v>0</v>
      </c>
      <c r="I42" s="179">
        <f t="shared" si="6"/>
        <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2122</v>
      </c>
      <c r="C44" s="333">
        <f>ROUND(POWER(1+E44,H44-G44)*(POWER(1+E44,G44)-1)/(POWER(1+E44,H44)-1),4)</f>
        <v>0</v>
      </c>
      <c r="D44" s="163" t="s">
        <v>1999</v>
      </c>
      <c r="E44" s="1990">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6" t="s">
        <v>2043</v>
      </c>
      <c r="B48" s="1967">
        <f>1+E50</f>
        <v>1</v>
      </c>
      <c r="C48" s="1726"/>
      <c r="D48" s="699"/>
      <c r="E48" s="700"/>
      <c r="F48" s="1968"/>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69" t="s">
        <v>2044</v>
      </c>
      <c r="B49" s="1262" t="s">
        <v>2045</v>
      </c>
      <c r="C49" s="1262" t="s">
        <v>2046</v>
      </c>
      <c r="D49" s="1262" t="s">
        <v>2047</v>
      </c>
      <c r="E49" s="701" t="s">
        <v>2048</v>
      </c>
      <c r="F49" s="1970" t="s">
        <v>2049</v>
      </c>
      <c r="G49" s="1262" t="s">
        <v>310</v>
      </c>
      <c r="H49" s="1971"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69" t="s">
        <v>2052</v>
      </c>
      <c r="B50" s="1972" t="str">
        <f>估价对象房地状况!C4</f>
        <v>估价对象位于XX商圈，周边商业氛围成熟，人流量大，商业繁华度好</v>
      </c>
      <c r="C50" s="1886"/>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hidden="1">
      <c r="A51" s="1969" t="s">
        <v>2053</v>
      </c>
      <c r="B51" s="1262" t="str">
        <f>估价对象房地状况!C18</f>
        <v>估价对象周边道路状况、公共交通通达情况、停车便捷程度，综合评价交通便捷度较好</v>
      </c>
      <c r="C51" s="1886"/>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hidden="1">
      <c r="A52" s="3070" t="s">
        <v>3269</v>
      </c>
      <c r="B52" s="1262">
        <f>估价对象房地状况!C19</f>
        <v>0</v>
      </c>
      <c r="C52" s="1886"/>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hidden="1">
      <c r="A53" s="1969" t="s">
        <v>2054</v>
      </c>
      <c r="B53" s="1973" t="s">
        <v>2055</v>
      </c>
      <c r="C53" s="1886"/>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69" t="s">
        <v>2056</v>
      </c>
      <c r="B54" s="1262">
        <f>估价对象房地状况!C24</f>
        <v>0</v>
      </c>
      <c r="C54" s="1886"/>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hidden="1">
      <c r="A55" s="1969" t="s">
        <v>2057</v>
      </c>
      <c r="B55" s="1974" t="s">
        <v>2058</v>
      </c>
      <c r="C55" s="1886"/>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hidden="1">
      <c r="A56" s="1975" t="s">
        <v>2059</v>
      </c>
      <c r="B56" s="1240" t="str">
        <f>估价对象房地状况!C21</f>
        <v>估价对象所在区域公共配套设施齐备情况</v>
      </c>
      <c r="C56" s="1886"/>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hidden="1">
      <c r="A57" s="1975" t="s">
        <v>2060</v>
      </c>
      <c r="B57" s="1262" t="str">
        <f>估价对象房地状况!C22</f>
        <v>估价对象所在区域基础设施水平</v>
      </c>
      <c r="C57" s="1886"/>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hidden="1" thickBot="1">
      <c r="A58" s="1976" t="s">
        <v>2061</v>
      </c>
      <c r="B58" s="1977" t="str">
        <f>估价对象房地状况!C20</f>
        <v>区域自然环境：；人文环境；综合评价环境状况一般</v>
      </c>
      <c r="C58" s="1886"/>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hidden="1">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69" t="s">
        <v>2044</v>
      </c>
      <c r="B60" s="1262"/>
      <c r="C60" s="1262" t="s">
        <v>2046</v>
      </c>
      <c r="D60" s="1262" t="s">
        <v>2047</v>
      </c>
      <c r="E60" s="701" t="s">
        <v>2048</v>
      </c>
      <c r="F60" s="1970" t="s">
        <v>2063</v>
      </c>
      <c r="G60" s="1262" t="s">
        <v>310</v>
      </c>
      <c r="H60" s="1971"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69" t="s">
        <v>2064</v>
      </c>
      <c r="B61" s="1972" t="str">
        <f>估价对象房地状况!C17</f>
        <v>估价对象位于XX商圈，周边办公楼项目较多，入驻率高，办公集聚程度较好</v>
      </c>
      <c r="C61" s="1886"/>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hidden="1">
      <c r="A62" s="1969" t="s">
        <v>2053</v>
      </c>
      <c r="B62" s="1262" t="str">
        <f>估价对象房地状况!C18</f>
        <v>估价对象周边道路状况、公共交通通达情况、停车便捷程度，综合评价交通便捷度较好</v>
      </c>
      <c r="C62" s="1886"/>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70" t="s">
        <v>3269</v>
      </c>
      <c r="B63" s="1262">
        <f>估价对象房地状况!C19</f>
        <v>0</v>
      </c>
      <c r="C63" s="1886"/>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69" t="s">
        <v>2054</v>
      </c>
      <c r="B64" s="1973" t="s">
        <v>2055</v>
      </c>
      <c r="C64" s="1886"/>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69" t="s">
        <v>2056</v>
      </c>
      <c r="B65" s="1262">
        <f>估价对象房地状况!C24</f>
        <v>0</v>
      </c>
      <c r="C65" s="1886"/>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69" t="s">
        <v>2057</v>
      </c>
      <c r="B66" s="1974" t="s">
        <v>2058</v>
      </c>
      <c r="C66" s="1886"/>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hidden="1">
      <c r="A67" s="1969" t="s">
        <v>2059</v>
      </c>
      <c r="B67" s="1240" t="str">
        <f>估价对象房地状况!C21</f>
        <v>估价对象所在区域公共配套设施齐备情况</v>
      </c>
      <c r="C67" s="1886"/>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69" t="s">
        <v>2060</v>
      </c>
      <c r="B68" s="1240" t="str">
        <f>估价对象房地状况!C22</f>
        <v>估价对象所在区域基础设施水平</v>
      </c>
      <c r="C68" s="1886"/>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6" t="s">
        <v>2061</v>
      </c>
      <c r="B69" s="1978" t="str">
        <f>估价对象房地状况!C20</f>
        <v>区域自然环境：；人文环境；综合评价环境状况一般</v>
      </c>
      <c r="C69" s="1886"/>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6" t="s">
        <v>2065</v>
      </c>
      <c r="B70" s="1967">
        <f>1+E72</f>
        <v>1.0489999999999999</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2"/>
      <c r="C71" s="1262" t="s">
        <v>2046</v>
      </c>
      <c r="D71" s="1262" t="s">
        <v>2047</v>
      </c>
      <c r="E71" s="701" t="s">
        <v>2048</v>
      </c>
      <c r="F71" s="1970" t="s">
        <v>2063</v>
      </c>
      <c r="G71" s="1262" t="s">
        <v>310</v>
      </c>
      <c r="H71" s="1971"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9" t="s">
        <v>2066</v>
      </c>
      <c r="B72" s="1972" t="str">
        <f>估价对象房地状况!C15</f>
        <v>估价对象周边居住用地比例、居住小区规模和社区发展完善程度，综合评价居住社区成熟度一般</v>
      </c>
      <c r="C72" s="1886" t="s">
        <v>3514</v>
      </c>
      <c r="D72" s="1002">
        <f t="shared" ref="D72:D80" si="17">SUMIF($J$71:$N$71,C72,J72:N72)</f>
        <v>9.4999999999999998E-3</v>
      </c>
      <c r="E72" s="702">
        <f>ROUND(SUM(D72:D80),4)</f>
        <v>4.9000000000000002E-2</v>
      </c>
      <c r="F72" s="1675">
        <f>IF(E2="住宅",SUMIF(L1:L12,G2,N1:N12),"——")</f>
        <v>9.5000000000000001E-2</v>
      </c>
      <c r="G72" s="1000">
        <v>9.4999999999999998E-3</v>
      </c>
      <c r="H72" s="1003">
        <f t="shared" ref="H72:H80" si="18">IFERROR(ROUNDDOWN($F$72*I72/2,4),"——")</f>
        <v>9.4999999999999998E-3</v>
      </c>
      <c r="I72" s="3068">
        <v>0.2</v>
      </c>
      <c r="J72" s="1001">
        <f t="shared" ref="J72:J80" si="19">K72+$G72</f>
        <v>1.9E-2</v>
      </c>
      <c r="K72" s="1001">
        <f t="shared" ref="K72:K80" si="20">$L72+$G72</f>
        <v>9.4999999999999998E-3</v>
      </c>
      <c r="L72" s="1001">
        <v>0</v>
      </c>
      <c r="M72" s="1001">
        <f t="shared" ref="M72:N80" si="21">L72-$G72</f>
        <v>-9.4999999999999998E-3</v>
      </c>
      <c r="N72" s="1001">
        <f t="shared" si="21"/>
        <v>-1.9E-2</v>
      </c>
      <c r="AA72" s="1057"/>
      <c r="AB72" s="1057"/>
      <c r="AC72" s="1057"/>
      <c r="AD72" s="1057"/>
      <c r="AE72" s="1057"/>
      <c r="AF72" s="1057"/>
      <c r="AG72" s="1057"/>
      <c r="AH72" s="1057"/>
      <c r="AI72" s="1057"/>
      <c r="AJ72" s="1057"/>
      <c r="AK72" s="1057"/>
    </row>
    <row r="73" spans="1:37" s="1056" customFormat="1" ht="38.25">
      <c r="A73" s="1969" t="s">
        <v>2053</v>
      </c>
      <c r="B73" s="1262" t="str">
        <f>估价对象房地状况!C18</f>
        <v>估价对象周边道路状况、公共交通通达情况、停车便捷程度，综合评价交通便捷度较好</v>
      </c>
      <c r="C73" s="1886" t="s">
        <v>3514</v>
      </c>
      <c r="D73" s="1002">
        <f t="shared" si="17"/>
        <v>1.23E-2</v>
      </c>
      <c r="E73" s="705"/>
      <c r="F73" s="1675"/>
      <c r="G73" s="1000">
        <v>1.23E-2</v>
      </c>
      <c r="H73" s="1003">
        <f t="shared" si="18"/>
        <v>1.23E-2</v>
      </c>
      <c r="I73" s="3068">
        <v>0.26</v>
      </c>
      <c r="J73" s="1001">
        <f t="shared" si="19"/>
        <v>2.46E-2</v>
      </c>
      <c r="K73" s="1001">
        <f t="shared" si="20"/>
        <v>1.23E-2</v>
      </c>
      <c r="L73" s="1001">
        <v>0</v>
      </c>
      <c r="M73" s="1001">
        <f t="shared" si="21"/>
        <v>-1.23E-2</v>
      </c>
      <c r="N73" s="1001">
        <f t="shared" si="21"/>
        <v>-2.46E-2</v>
      </c>
      <c r="AA73" s="1057"/>
      <c r="AB73" s="1057"/>
      <c r="AC73" s="1057"/>
      <c r="AD73" s="1057"/>
      <c r="AE73" s="1057"/>
      <c r="AF73" s="1057"/>
      <c r="AG73" s="1057"/>
      <c r="AH73" s="1057"/>
      <c r="AI73" s="1057"/>
      <c r="AJ73" s="1057"/>
      <c r="AK73" s="1057"/>
    </row>
    <row r="74" spans="1:37" s="1843" customFormat="1" ht="36">
      <c r="A74" s="3070" t="s">
        <v>3269</v>
      </c>
      <c r="B74" s="1262">
        <f>估价对象房地状况!C19</f>
        <v>0</v>
      </c>
      <c r="C74" s="1886" t="s">
        <v>3514</v>
      </c>
      <c r="D74" s="1002">
        <f t="shared" si="17"/>
        <v>4.7000000000000002E-3</v>
      </c>
      <c r="E74" s="705"/>
      <c r="F74" s="1675"/>
      <c r="G74" s="1000">
        <v>4.7000000000000002E-3</v>
      </c>
      <c r="H74" s="1003">
        <f t="shared" si="18"/>
        <v>4.7000000000000002E-3</v>
      </c>
      <c r="I74" s="3068">
        <v>0.1</v>
      </c>
      <c r="J74" s="1001">
        <f t="shared" si="19"/>
        <v>9.4000000000000004E-3</v>
      </c>
      <c r="K74" s="1001">
        <f t="shared" si="20"/>
        <v>4.7000000000000002E-3</v>
      </c>
      <c r="L74" s="1001">
        <v>0</v>
      </c>
      <c r="M74" s="1001">
        <f t="shared" si="21"/>
        <v>-4.7000000000000002E-3</v>
      </c>
      <c r="N74" s="1001">
        <f t="shared" si="21"/>
        <v>-9.4000000000000004E-3</v>
      </c>
      <c r="O74" s="1056"/>
      <c r="P74" s="1056"/>
      <c r="Q74" s="1056"/>
      <c r="AA74" s="1979"/>
      <c r="AB74" s="1057"/>
      <c r="AC74" s="1057"/>
      <c r="AD74" s="1057"/>
      <c r="AE74" s="1057"/>
      <c r="AF74" s="1057"/>
      <c r="AG74" s="1057"/>
      <c r="AH74" s="1979"/>
      <c r="AI74" s="1979"/>
      <c r="AJ74" s="1979"/>
      <c r="AK74" s="1979"/>
    </row>
    <row r="75" spans="1:37" ht="14.25">
      <c r="A75" s="1969" t="s">
        <v>2067</v>
      </c>
      <c r="B75" s="1262">
        <f>估价对象房地状况!C24</f>
        <v>0</v>
      </c>
      <c r="C75" s="1886" t="s">
        <v>3524</v>
      </c>
      <c r="D75" s="1002">
        <f t="shared" si="17"/>
        <v>0</v>
      </c>
      <c r="E75" s="705"/>
      <c r="F75" s="1675"/>
      <c r="G75" s="1000">
        <v>2.3E-3</v>
      </c>
      <c r="H75" s="1003">
        <f t="shared" si="18"/>
        <v>2.3E-3</v>
      </c>
      <c r="I75" s="3068">
        <v>0.05</v>
      </c>
      <c r="J75" s="1001">
        <f t="shared" si="19"/>
        <v>4.5999999999999999E-3</v>
      </c>
      <c r="K75" s="1001">
        <f t="shared" si="20"/>
        <v>2.3E-3</v>
      </c>
      <c r="L75" s="1001">
        <v>0</v>
      </c>
      <c r="M75" s="1001">
        <f t="shared" si="21"/>
        <v>-2.3E-3</v>
      </c>
      <c r="N75" s="1001">
        <f t="shared" si="21"/>
        <v>-4.5999999999999999E-3</v>
      </c>
      <c r="O75" s="1056"/>
      <c r="P75" s="1056"/>
      <c r="Q75" s="1843"/>
      <c r="Z75" s="1844"/>
      <c r="AA75" s="1894"/>
      <c r="AG75" s="1058"/>
      <c r="AK75" s="1894"/>
    </row>
    <row r="76" spans="1:37" ht="25.5">
      <c r="A76" s="1969" t="s">
        <v>2059</v>
      </c>
      <c r="B76" s="1240" t="str">
        <f>估价对象房地状况!C21</f>
        <v>估价对象所在区域公共配套设施齐备情况</v>
      </c>
      <c r="C76" s="1886" t="s">
        <v>3514</v>
      </c>
      <c r="D76" s="1002">
        <f t="shared" si="17"/>
        <v>3.8E-3</v>
      </c>
      <c r="E76" s="705"/>
      <c r="F76" s="1675"/>
      <c r="G76" s="1000">
        <v>3.8E-3</v>
      </c>
      <c r="H76" s="1003">
        <f t="shared" si="18"/>
        <v>3.8E-3</v>
      </c>
      <c r="I76" s="3068">
        <v>0.08</v>
      </c>
      <c r="J76" s="1001">
        <f t="shared" si="19"/>
        <v>7.6E-3</v>
      </c>
      <c r="K76" s="1001">
        <f t="shared" si="20"/>
        <v>3.8E-3</v>
      </c>
      <c r="L76" s="1001">
        <v>0</v>
      </c>
      <c r="M76" s="1001">
        <f t="shared" si="21"/>
        <v>-3.8E-3</v>
      </c>
      <c r="N76" s="1001">
        <f t="shared" si="21"/>
        <v>-7.6E-3</v>
      </c>
      <c r="O76" s="1056"/>
      <c r="P76" s="1056"/>
      <c r="Z76" s="1844"/>
      <c r="AA76" s="1894"/>
      <c r="AG76" s="1058"/>
      <c r="AK76" s="1894"/>
    </row>
    <row r="77" spans="1:37" ht="25.5">
      <c r="A77" s="1969" t="s">
        <v>2060</v>
      </c>
      <c r="B77" s="1240" t="str">
        <f>估价对象房地状况!C22</f>
        <v>估价对象所在区域基础设施水平</v>
      </c>
      <c r="C77" s="1886" t="s">
        <v>3513</v>
      </c>
      <c r="D77" s="1002">
        <f t="shared" si="17"/>
        <v>8.3999999999999995E-3</v>
      </c>
      <c r="E77" s="705"/>
      <c r="F77" s="1675"/>
      <c r="G77" s="1000">
        <v>4.1999999999999997E-3</v>
      </c>
      <c r="H77" s="1003">
        <f t="shared" si="18"/>
        <v>4.1999999999999997E-3</v>
      </c>
      <c r="I77" s="3068">
        <v>0.09</v>
      </c>
      <c r="J77" s="1001">
        <f t="shared" si="19"/>
        <v>8.3999999999999995E-3</v>
      </c>
      <c r="K77" s="1001">
        <f t="shared" si="20"/>
        <v>4.1999999999999997E-3</v>
      </c>
      <c r="L77" s="1001">
        <v>0</v>
      </c>
      <c r="M77" s="1001">
        <f t="shared" si="21"/>
        <v>-4.1999999999999997E-3</v>
      </c>
      <c r="N77" s="1001">
        <f t="shared" si="21"/>
        <v>-8.3999999999999995E-3</v>
      </c>
      <c r="O77" s="1056"/>
      <c r="P77" s="1056"/>
      <c r="Z77" s="1844"/>
      <c r="AA77" s="1894"/>
      <c r="AG77" s="1058"/>
      <c r="AK77" s="1894"/>
    </row>
    <row r="78" spans="1:37" ht="24">
      <c r="A78" s="1969" t="s">
        <v>2057</v>
      </c>
      <c r="B78" s="1974" t="s">
        <v>2058</v>
      </c>
      <c r="C78" s="1886" t="s">
        <v>3514</v>
      </c>
      <c r="D78" s="1002">
        <f t="shared" si="17"/>
        <v>2.3E-3</v>
      </c>
      <c r="E78" s="705"/>
      <c r="F78" s="1675"/>
      <c r="G78" s="1000">
        <v>2.3E-3</v>
      </c>
      <c r="H78" s="1003">
        <f t="shared" si="18"/>
        <v>2.3E-3</v>
      </c>
      <c r="I78" s="3068">
        <v>0.05</v>
      </c>
      <c r="J78" s="1001">
        <f t="shared" si="19"/>
        <v>4.5999999999999999E-3</v>
      </c>
      <c r="K78" s="1001">
        <f t="shared" si="20"/>
        <v>2.3E-3</v>
      </c>
      <c r="L78" s="1001">
        <v>0</v>
      </c>
      <c r="M78" s="1001">
        <f t="shared" si="21"/>
        <v>-2.3E-3</v>
      </c>
      <c r="N78" s="1001">
        <f t="shared" si="21"/>
        <v>-4.5999999999999999E-3</v>
      </c>
      <c r="O78" s="1843"/>
      <c r="P78" s="1843"/>
      <c r="Z78" s="1844"/>
      <c r="AA78" s="1894"/>
      <c r="AG78" s="1058"/>
      <c r="AK78" s="1894"/>
    </row>
    <row r="79" spans="1:37" ht="25.5">
      <c r="A79" s="1969" t="s">
        <v>2061</v>
      </c>
      <c r="B79" s="1972" t="str">
        <f>估价对象房地状况!C20</f>
        <v>区域自然环境：；人文环境；综合评价环境状况一般</v>
      </c>
      <c r="C79" s="1886" t="s">
        <v>3514</v>
      </c>
      <c r="D79" s="1002">
        <f t="shared" si="17"/>
        <v>5.7000000000000002E-3</v>
      </c>
      <c r="E79" s="705"/>
      <c r="F79" s="1675"/>
      <c r="G79" s="1000">
        <v>5.7000000000000002E-3</v>
      </c>
      <c r="H79" s="1003">
        <f t="shared" si="18"/>
        <v>5.7000000000000002E-3</v>
      </c>
      <c r="I79" s="3068">
        <v>0.12</v>
      </c>
      <c r="J79" s="1001">
        <f t="shared" si="19"/>
        <v>1.14E-2</v>
      </c>
      <c r="K79" s="1001">
        <f t="shared" si="20"/>
        <v>5.7000000000000002E-3</v>
      </c>
      <c r="L79" s="1001">
        <v>0</v>
      </c>
      <c r="M79" s="1001">
        <f t="shared" si="21"/>
        <v>-5.7000000000000002E-3</v>
      </c>
      <c r="N79" s="1001">
        <f t="shared" si="21"/>
        <v>-1.14E-2</v>
      </c>
      <c r="Z79" s="1844"/>
      <c r="AA79" s="1894"/>
      <c r="AG79" s="1058"/>
      <c r="AK79" s="1894"/>
    </row>
    <row r="80" spans="1:37" ht="24.75" thickBot="1">
      <c r="A80" s="1976" t="s">
        <v>2068</v>
      </c>
      <c r="B80" s="1980"/>
      <c r="C80" s="1886" t="s">
        <v>3514</v>
      </c>
      <c r="D80" s="1002">
        <f t="shared" si="17"/>
        <v>2.3E-3</v>
      </c>
      <c r="E80" s="706"/>
      <c r="F80" s="1675"/>
      <c r="G80" s="1000">
        <v>2.3E-3</v>
      </c>
      <c r="H80" s="1003">
        <f t="shared" si="18"/>
        <v>2.3E-3</v>
      </c>
      <c r="I80" s="3069">
        <v>0.05</v>
      </c>
      <c r="J80" s="1001">
        <f t="shared" si="19"/>
        <v>4.5999999999999999E-3</v>
      </c>
      <c r="K80" s="1001">
        <f t="shared" si="20"/>
        <v>2.3E-3</v>
      </c>
      <c r="L80" s="1001">
        <v>0</v>
      </c>
      <c r="M80" s="1001">
        <f t="shared" si="21"/>
        <v>-2.3E-3</v>
      </c>
      <c r="N80" s="1001">
        <f t="shared" si="21"/>
        <v>-4.5999999999999999E-3</v>
      </c>
      <c r="Z80" s="1844"/>
      <c r="AA80" s="1894"/>
      <c r="AG80" s="1058"/>
      <c r="AK80" s="1894"/>
    </row>
    <row r="81" spans="1:37" ht="15">
      <c r="A81" s="1966" t="s">
        <v>2069</v>
      </c>
      <c r="B81" s="1967">
        <f>1+E83</f>
        <v>1</v>
      </c>
      <c r="C81" s="699"/>
      <c r="D81" s="699"/>
      <c r="E81" s="700"/>
      <c r="F81" s="1968"/>
      <c r="G81" s="3"/>
      <c r="H81" s="3"/>
      <c r="I81" s="3"/>
      <c r="J81" s="4"/>
      <c r="K81" s="4"/>
      <c r="L81" s="4"/>
      <c r="M81" s="4"/>
      <c r="N81" s="4"/>
      <c r="Z81" s="1844"/>
      <c r="AA81" s="1894"/>
      <c r="AG81" s="1058"/>
      <c r="AK81" s="1894"/>
    </row>
    <row r="82" spans="1:37" ht="24.75">
      <c r="A82" s="1969" t="s">
        <v>2044</v>
      </c>
      <c r="B82" s="1262"/>
      <c r="C82" s="1262" t="s">
        <v>2046</v>
      </c>
      <c r="D82" s="1262" t="s">
        <v>2047</v>
      </c>
      <c r="E82" s="701" t="s">
        <v>2048</v>
      </c>
      <c r="F82" s="1970" t="s">
        <v>2063</v>
      </c>
      <c r="G82" s="1262" t="s">
        <v>310</v>
      </c>
      <c r="H82" s="1971" t="s">
        <v>2050</v>
      </c>
      <c r="I82" s="1262" t="s">
        <v>2051</v>
      </c>
      <c r="J82" s="530" t="s">
        <v>1721</v>
      </c>
      <c r="K82" s="530" t="s">
        <v>1722</v>
      </c>
      <c r="L82" s="530" t="s">
        <v>1723</v>
      </c>
      <c r="M82" s="530" t="s">
        <v>1724</v>
      </c>
      <c r="N82" s="530" t="s">
        <v>1725</v>
      </c>
      <c r="Z82" s="1844"/>
      <c r="AA82" s="1894"/>
      <c r="AG82" s="1058"/>
      <c r="AK82" s="1894"/>
    </row>
    <row r="83" spans="1:37" ht="38.25">
      <c r="A83" s="1969" t="s">
        <v>2070</v>
      </c>
      <c r="B83" s="1262" t="str">
        <f>估价对象房地状况!G15</f>
        <v>估价对象位于XX开发区，园区建设成熟度XX，产业集聚程度XX</v>
      </c>
      <c r="C83" s="1886"/>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38.25">
      <c r="A84" s="1969" t="s">
        <v>2053</v>
      </c>
      <c r="B84" s="1262" t="str">
        <f>估价对象房地状况!G16</f>
        <v>估价对象周边道路状况、公共交通通达情况、停车便捷程度，综合评价交通便捷度较好</v>
      </c>
      <c r="C84" s="1886"/>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4"/>
      <c r="AA84" s="1894"/>
      <c r="AG84" s="1058"/>
      <c r="AK84" s="1894"/>
    </row>
    <row r="85" spans="1:37" ht="36">
      <c r="A85" s="3070" t="s">
        <v>3270</v>
      </c>
      <c r="B85" s="1262">
        <f>估价对象房地状况!G17</f>
        <v>0</v>
      </c>
      <c r="C85" s="1886"/>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4"/>
      <c r="AA85" s="1894"/>
      <c r="AG85" s="1058"/>
      <c r="AK85" s="1894"/>
    </row>
    <row r="86" spans="1:37" ht="14.25">
      <c r="A86" s="1969" t="s">
        <v>2067</v>
      </c>
      <c r="B86" s="1262">
        <f>估价对象房地状况!G22</f>
        <v>0</v>
      </c>
      <c r="C86" s="1886"/>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4"/>
      <c r="AA86" s="1894"/>
      <c r="AG86" s="1058"/>
      <c r="AK86" s="1894"/>
    </row>
    <row r="87" spans="1:37" ht="25.5">
      <c r="A87" s="1969" t="s">
        <v>2059</v>
      </c>
      <c r="B87" s="1240" t="str">
        <f>估价对象房地状况!G19</f>
        <v>估价对象所在区域公共配套设施齐备情况</v>
      </c>
      <c r="C87" s="1886"/>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69" t="s">
        <v>2060</v>
      </c>
      <c r="B88" s="1240" t="str">
        <f>估价对象房地状况!G20</f>
        <v>估价对象所在区域基础设施水平</v>
      </c>
      <c r="C88" s="1886"/>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69" t="s">
        <v>2057</v>
      </c>
      <c r="B89" s="1974" t="s">
        <v>2071</v>
      </c>
      <c r="C89" s="1886"/>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6" t="s">
        <v>2072</v>
      </c>
      <c r="B90" s="1981" t="str">
        <f>估价对象房地状况!G18</f>
        <v>该园区内是否有污染型企业，绿化情况，卫生条件，整体环境状况判断</v>
      </c>
      <c r="C90" s="1886"/>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2612</v>
      </c>
      <c r="B91" s="3079">
        <f>1+E93</f>
        <v>1</v>
      </c>
      <c r="C91" s="3072"/>
      <c r="D91" s="3073"/>
      <c r="E91" s="1675"/>
      <c r="F91" s="1675"/>
      <c r="G91" s="3074"/>
      <c r="H91" s="3075"/>
      <c r="I91" s="3076"/>
      <c r="J91" s="3077"/>
      <c r="K91" s="3077"/>
      <c r="L91" s="3077"/>
      <c r="M91" s="3077"/>
      <c r="N91" s="3077"/>
    </row>
    <row r="92" spans="1:37" ht="24.75">
      <c r="A92" s="3080" t="s">
        <v>3271</v>
      </c>
      <c r="B92" s="2309"/>
      <c r="C92" s="2309" t="s">
        <v>3280</v>
      </c>
      <c r="D92" s="2309" t="s">
        <v>3281</v>
      </c>
      <c r="E92" s="3052" t="s">
        <v>3282</v>
      </c>
      <c r="F92" s="3082" t="s">
        <v>3283</v>
      </c>
      <c r="G92" s="2309" t="s">
        <v>3284</v>
      </c>
      <c r="H92" s="3089" t="s">
        <v>3287</v>
      </c>
      <c r="I92" s="2309" t="s">
        <v>3288</v>
      </c>
      <c r="J92" s="2149" t="s">
        <v>3289</v>
      </c>
      <c r="K92" s="2149" t="s">
        <v>3290</v>
      </c>
      <c r="L92" s="2149" t="s">
        <v>3291</v>
      </c>
      <c r="M92" s="2149" t="s">
        <v>3292</v>
      </c>
      <c r="N92" s="2149" t="s">
        <v>3293</v>
      </c>
    </row>
    <row r="93" spans="1:37" ht="24">
      <c r="A93" s="3070" t="s">
        <v>3272</v>
      </c>
      <c r="B93" s="1221"/>
      <c r="C93" s="1886"/>
      <c r="D93" s="2309">
        <f>SUMIF($J$92:$N$92,C93,J93:N93)</f>
        <v>0</v>
      </c>
      <c r="E93" s="3083">
        <f>ROUND(SUM(D93:D101),4)</f>
        <v>0</v>
      </c>
      <c r="F93" s="1675"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38.25">
      <c r="A94" s="3080" t="s">
        <v>3273</v>
      </c>
      <c r="B94" s="3071" t="str">
        <f>估价对象房地状况!C18</f>
        <v>估价对象周边道路状况、公共交通通达情况、停车便捷程度，综合评价交通便捷度较好</v>
      </c>
      <c r="C94" s="1886"/>
      <c r="D94" s="2309">
        <f t="shared" ref="D94:D101" si="30">SUMIF($J$60:$N$60,C94,J94:N94)</f>
        <v>0</v>
      </c>
      <c r="E94" s="3084"/>
      <c r="F94" s="1675"/>
      <c r="G94" s="3074"/>
      <c r="H94" s="3119" t="str">
        <f>IFERROR(ROUNDDOWN($F$93*I94/2,4),"——")</f>
        <v>——</v>
      </c>
      <c r="I94" s="3068">
        <v>0.26</v>
      </c>
      <c r="J94" s="1911">
        <f t="shared" si="27"/>
        <v>0</v>
      </c>
      <c r="K94" s="1911">
        <f t="shared" si="28"/>
        <v>0</v>
      </c>
      <c r="L94" s="1911">
        <v>0</v>
      </c>
      <c r="M94" s="1911">
        <f t="shared" si="29"/>
        <v>0</v>
      </c>
      <c r="N94" s="1911">
        <f t="shared" si="29"/>
        <v>0</v>
      </c>
    </row>
    <row r="95" spans="1:37" ht="36">
      <c r="A95" s="3070" t="s">
        <v>3269</v>
      </c>
      <c r="B95" s="3071">
        <f>估价对象房地状况!C19</f>
        <v>0</v>
      </c>
      <c r="C95" s="1886"/>
      <c r="D95" s="2309">
        <f t="shared" si="30"/>
        <v>0</v>
      </c>
      <c r="E95" s="3084"/>
      <c r="F95" s="1675"/>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3274</v>
      </c>
      <c r="B96" s="3086" t="s">
        <v>3285</v>
      </c>
      <c r="C96" s="1886"/>
      <c r="D96" s="2309">
        <f t="shared" si="30"/>
        <v>0</v>
      </c>
      <c r="E96" s="3084"/>
      <c r="F96" s="1675"/>
      <c r="G96" s="3074"/>
      <c r="H96" s="3119" t="str">
        <f t="shared" si="31"/>
        <v>——</v>
      </c>
      <c r="I96" s="3068">
        <v>0.05</v>
      </c>
      <c r="J96" s="1911">
        <f t="shared" si="27"/>
        <v>0</v>
      </c>
      <c r="K96" s="1911">
        <f t="shared" si="28"/>
        <v>0</v>
      </c>
      <c r="L96" s="1911">
        <v>0</v>
      </c>
      <c r="M96" s="1911">
        <f t="shared" si="29"/>
        <v>0</v>
      </c>
      <c r="N96" s="1911">
        <f t="shared" si="29"/>
        <v>0</v>
      </c>
    </row>
    <row r="97" spans="1:14" ht="24">
      <c r="A97" s="3080" t="s">
        <v>3275</v>
      </c>
      <c r="B97" s="3071">
        <f>估价对象房地状况!C24</f>
        <v>0</v>
      </c>
      <c r="C97" s="1886"/>
      <c r="D97" s="2309">
        <f t="shared" si="30"/>
        <v>0</v>
      </c>
      <c r="E97" s="3084"/>
      <c r="F97" s="1675"/>
      <c r="G97" s="3074"/>
      <c r="H97" s="3119" t="str">
        <f t="shared" si="31"/>
        <v>——</v>
      </c>
      <c r="I97" s="3068">
        <v>0.05</v>
      </c>
      <c r="J97" s="1911">
        <f t="shared" si="27"/>
        <v>0</v>
      </c>
      <c r="K97" s="1911">
        <f t="shared" si="28"/>
        <v>0</v>
      </c>
      <c r="L97" s="1911">
        <v>0</v>
      </c>
      <c r="M97" s="1911">
        <f t="shared" si="29"/>
        <v>0</v>
      </c>
      <c r="N97" s="1911">
        <f t="shared" si="29"/>
        <v>0</v>
      </c>
    </row>
    <row r="98" spans="1:14" ht="24">
      <c r="A98" s="3080" t="s">
        <v>3276</v>
      </c>
      <c r="B98" s="3087" t="s">
        <v>3286</v>
      </c>
      <c r="C98" s="1886"/>
      <c r="D98" s="2309">
        <f t="shared" si="30"/>
        <v>0</v>
      </c>
      <c r="E98" s="3084"/>
      <c r="F98" s="1675"/>
      <c r="G98" s="3074"/>
      <c r="H98" s="3119" t="str">
        <f t="shared" si="31"/>
        <v>——</v>
      </c>
      <c r="I98" s="3068">
        <v>0.06</v>
      </c>
      <c r="J98" s="1911">
        <f t="shared" si="27"/>
        <v>0</v>
      </c>
      <c r="K98" s="1911">
        <f t="shared" si="28"/>
        <v>0</v>
      </c>
      <c r="L98" s="1911">
        <v>0</v>
      </c>
      <c r="M98" s="1911">
        <f t="shared" si="29"/>
        <v>0</v>
      </c>
      <c r="N98" s="1911">
        <f t="shared" si="29"/>
        <v>0</v>
      </c>
    </row>
    <row r="99" spans="1:14" ht="25.5">
      <c r="A99" s="3080" t="s">
        <v>3277</v>
      </c>
      <c r="B99" s="3071" t="str">
        <f>估价对象房地状况!C21</f>
        <v>估价对象所在区域公共配套设施齐备情况</v>
      </c>
      <c r="C99" s="1886"/>
      <c r="D99" s="2309">
        <f t="shared" si="30"/>
        <v>0</v>
      </c>
      <c r="E99" s="3084"/>
      <c r="F99" s="1675"/>
      <c r="G99" s="3074"/>
      <c r="H99" s="3119" t="str">
        <f t="shared" si="31"/>
        <v>——</v>
      </c>
      <c r="I99" s="3068">
        <v>0.06</v>
      </c>
      <c r="J99" s="1911">
        <f t="shared" si="27"/>
        <v>0</v>
      </c>
      <c r="K99" s="1911">
        <f t="shared" si="28"/>
        <v>0</v>
      </c>
      <c r="L99" s="1911">
        <v>0</v>
      </c>
      <c r="M99" s="1911">
        <f t="shared" si="29"/>
        <v>0</v>
      </c>
      <c r="N99" s="1911">
        <f t="shared" si="29"/>
        <v>0</v>
      </c>
    </row>
    <row r="100" spans="1:14" ht="25.5">
      <c r="A100" s="3080" t="s">
        <v>3278</v>
      </c>
      <c r="B100" s="3071" t="str">
        <f>估价对象房地状况!C22</f>
        <v>估价对象所在区域基础设施水平</v>
      </c>
      <c r="C100" s="1886"/>
      <c r="D100" s="2309">
        <f t="shared" si="30"/>
        <v>0</v>
      </c>
      <c r="E100" s="3084"/>
      <c r="F100" s="1675"/>
      <c r="G100" s="3074"/>
      <c r="H100" s="3119" t="str">
        <f t="shared" si="31"/>
        <v>——</v>
      </c>
      <c r="I100" s="3068">
        <v>0.09</v>
      </c>
      <c r="J100" s="1911">
        <f t="shared" si="27"/>
        <v>0</v>
      </c>
      <c r="K100" s="1911">
        <f t="shared" si="28"/>
        <v>0</v>
      </c>
      <c r="L100" s="1911">
        <v>0</v>
      </c>
      <c r="M100" s="1911">
        <f t="shared" si="29"/>
        <v>0</v>
      </c>
      <c r="N100" s="1911">
        <f t="shared" si="29"/>
        <v>0</v>
      </c>
    </row>
    <row r="101" spans="1:14" ht="26.25" thickBot="1">
      <c r="A101" s="3081" t="s">
        <v>3279</v>
      </c>
      <c r="B101" s="3088" t="str">
        <f>估价对象房地状况!C20</f>
        <v>区域自然环境：；人文环境；综合评价环境状况一般</v>
      </c>
      <c r="C101" s="1886"/>
      <c r="D101" s="2309">
        <f t="shared" si="30"/>
        <v>0</v>
      </c>
      <c r="E101" s="3085"/>
      <c r="F101" s="1675"/>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61" t="s">
        <v>3294</v>
      </c>
      <c r="B103" s="3461"/>
      <c r="C103" s="3461"/>
      <c r="D103" s="3461"/>
      <c r="E103" s="3461"/>
      <c r="F103" s="3461"/>
      <c r="G103" s="3461"/>
      <c r="H103" s="3461"/>
      <c r="I103" s="3461"/>
      <c r="J103" s="3461"/>
      <c r="K103" s="1667"/>
      <c r="L103" s="1667"/>
      <c r="M103" s="1667"/>
      <c r="N103" s="1667"/>
    </row>
    <row r="104" spans="1:14">
      <c r="A104" s="3462" t="s">
        <v>3295</v>
      </c>
      <c r="B104" s="3462" t="s">
        <v>3296</v>
      </c>
      <c r="C104" s="3090" t="s">
        <v>3297</v>
      </c>
      <c r="D104" s="3091"/>
      <c r="E104" s="3091"/>
      <c r="F104" s="3091"/>
      <c r="G104" s="3091"/>
      <c r="H104" s="3091"/>
      <c r="I104" s="3091"/>
      <c r="J104" s="3092"/>
      <c r="K104" s="3093"/>
      <c r="L104" s="3093"/>
      <c r="M104" s="3093"/>
      <c r="N104" s="3093"/>
    </row>
    <row r="105" spans="1:14">
      <c r="A105" s="3462"/>
      <c r="B105" s="3462"/>
      <c r="C105" s="3094" t="s">
        <v>3298</v>
      </c>
      <c r="D105" s="3094" t="s">
        <v>3299</v>
      </c>
      <c r="E105" s="3094" t="s">
        <v>3300</v>
      </c>
      <c r="F105" s="3094" t="s">
        <v>3301</v>
      </c>
      <c r="G105" s="3094" t="s">
        <v>3302</v>
      </c>
      <c r="H105" s="3094" t="s">
        <v>3303</v>
      </c>
      <c r="I105" s="3094" t="s">
        <v>3304</v>
      </c>
      <c r="J105" s="3094" t="s">
        <v>3305</v>
      </c>
      <c r="K105" s="3094" t="s">
        <v>3306</v>
      </c>
      <c r="L105" s="3094" t="s">
        <v>3307</v>
      </c>
      <c r="M105" s="3094" t="s">
        <v>3308</v>
      </c>
      <c r="N105" s="3094" t="s">
        <v>3309</v>
      </c>
    </row>
    <row r="106" spans="1:14">
      <c r="A106" s="3448" t="s">
        <v>3310</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49"/>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49"/>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49"/>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49"/>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49"/>
      <c r="B111" s="3094" t="s">
        <v>3268</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50"/>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51" t="s">
        <v>3311</v>
      </c>
      <c r="B113" s="3451"/>
      <c r="C113" s="3451"/>
      <c r="D113" s="3451"/>
      <c r="E113" s="3451"/>
      <c r="F113" s="3451"/>
      <c r="G113" s="3451"/>
      <c r="H113" s="3451"/>
      <c r="I113" s="3451"/>
      <c r="J113" s="3451"/>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3312</v>
      </c>
      <c r="B116" s="3114">
        <f>G3</f>
        <v>2.2000000000000002</v>
      </c>
      <c r="C116" s="3099" t="s">
        <v>3313</v>
      </c>
      <c r="D116" s="3100">
        <f>SUMPRODUCT((A118:A122=F116)*(B117:M117=H116)*B118:M122)</f>
        <v>0.90510000000000002</v>
      </c>
      <c r="E116" s="162" t="s">
        <v>3314</v>
      </c>
      <c r="F116" s="3101" t="str">
        <f>E2</f>
        <v>住宅</v>
      </c>
      <c r="G116" s="162" t="s">
        <v>3315</v>
      </c>
      <c r="H116" s="3101" t="str">
        <f>G2</f>
        <v>三级</v>
      </c>
      <c r="I116" s="162"/>
      <c r="J116" s="3102"/>
      <c r="K116" s="3102"/>
      <c r="L116" s="3102"/>
      <c r="M116" s="3102"/>
      <c r="N116" s="3097"/>
    </row>
    <row r="117" spans="1:14">
      <c r="A117" s="3103"/>
      <c r="B117" s="3104" t="s">
        <v>3316</v>
      </c>
      <c r="C117" s="3104" t="s">
        <v>3317</v>
      </c>
      <c r="D117" s="3104" t="s">
        <v>3318</v>
      </c>
      <c r="E117" s="3105" t="s">
        <v>3319</v>
      </c>
      <c r="F117" s="3105" t="s">
        <v>3320</v>
      </c>
      <c r="G117" s="3105" t="s">
        <v>3321</v>
      </c>
      <c r="H117" s="3106" t="s">
        <v>3322</v>
      </c>
      <c r="I117" s="3106" t="s">
        <v>3323</v>
      </c>
      <c r="J117" s="3107" t="s">
        <v>3324</v>
      </c>
      <c r="K117" s="3107" t="s">
        <v>3325</v>
      </c>
      <c r="L117" s="3107" t="s">
        <v>3326</v>
      </c>
      <c r="M117" s="3108" t="s">
        <v>3327</v>
      </c>
      <c r="N117" s="3097"/>
    </row>
    <row r="118" spans="1:14">
      <c r="A118" s="3057" t="s">
        <v>3328</v>
      </c>
      <c r="B118" s="3089">
        <f>ROUND(0.9968-0.011*B116,4)</f>
        <v>0.97260000000000002</v>
      </c>
      <c r="C118" s="3089">
        <f>B118</f>
        <v>0.97260000000000002</v>
      </c>
      <c r="D118" s="3089">
        <f>ROUND(0.949-0.014*B116,4)</f>
        <v>0.91820000000000002</v>
      </c>
      <c r="E118" s="3089">
        <f>D118</f>
        <v>0.91820000000000002</v>
      </c>
      <c r="F118" s="3089">
        <f>E118</f>
        <v>0.91820000000000002</v>
      </c>
      <c r="G118" s="3089">
        <f>F118</f>
        <v>0.91820000000000002</v>
      </c>
      <c r="H118" s="3089">
        <f>G118</f>
        <v>0.91820000000000002</v>
      </c>
      <c r="I118" s="3089">
        <f>ROUND(0.8486-0.018*B116,4)</f>
        <v>0.80900000000000005</v>
      </c>
      <c r="J118" s="3089">
        <f t="shared" ref="J118:M122" si="35">I118</f>
        <v>0.80900000000000005</v>
      </c>
      <c r="K118" s="3089">
        <f t="shared" si="35"/>
        <v>0.80900000000000005</v>
      </c>
      <c r="L118" s="3089">
        <f t="shared" si="35"/>
        <v>0.80900000000000005</v>
      </c>
      <c r="M118" s="3109">
        <f t="shared" si="35"/>
        <v>0.80900000000000005</v>
      </c>
      <c r="N118" s="3097"/>
    </row>
    <row r="119" spans="1:14">
      <c r="A119" s="3057" t="s">
        <v>3329</v>
      </c>
      <c r="B119" s="3089">
        <f>ROUND(0.993-0.0112*B116,4)</f>
        <v>0.96840000000000004</v>
      </c>
      <c r="C119" s="3089">
        <f>B119</f>
        <v>0.96840000000000004</v>
      </c>
      <c r="D119" s="3089">
        <f>ROUND(0.9415-0.0142*B116,4)</f>
        <v>0.9103</v>
      </c>
      <c r="E119" s="3089">
        <f t="shared" ref="E119:H120" si="36">D119</f>
        <v>0.9103</v>
      </c>
      <c r="F119" s="3089">
        <f t="shared" si="36"/>
        <v>0.9103</v>
      </c>
      <c r="G119" s="3089">
        <f t="shared" si="36"/>
        <v>0.9103</v>
      </c>
      <c r="H119" s="3089">
        <f t="shared" si="36"/>
        <v>0.9103</v>
      </c>
      <c r="I119" s="3089">
        <f>ROUND(0.838-0.0182*B116,4)</f>
        <v>0.79800000000000004</v>
      </c>
      <c r="J119" s="3089">
        <f t="shared" si="35"/>
        <v>0.79800000000000004</v>
      </c>
      <c r="K119" s="3089">
        <f t="shared" si="35"/>
        <v>0.79800000000000004</v>
      </c>
      <c r="L119" s="3089">
        <f t="shared" si="35"/>
        <v>0.79800000000000004</v>
      </c>
      <c r="M119" s="3109">
        <f t="shared" si="35"/>
        <v>0.79800000000000004</v>
      </c>
      <c r="N119" s="3097"/>
    </row>
    <row r="120" spans="1:14">
      <c r="A120" s="3057" t="s">
        <v>3330</v>
      </c>
      <c r="B120" s="3089">
        <f>ROUND(0.9448-0.0115*B116,4)</f>
        <v>0.91949999999999998</v>
      </c>
      <c r="C120" s="3089">
        <f>B120</f>
        <v>0.91949999999999998</v>
      </c>
      <c r="D120" s="3089">
        <f>ROUND(0.937-0.0145*B116,4)</f>
        <v>0.90510000000000002</v>
      </c>
      <c r="E120" s="3089">
        <f t="shared" si="36"/>
        <v>0.90510000000000002</v>
      </c>
      <c r="F120" s="3089">
        <f t="shared" si="36"/>
        <v>0.90510000000000002</v>
      </c>
      <c r="G120" s="3089">
        <f t="shared" si="36"/>
        <v>0.90510000000000002</v>
      </c>
      <c r="H120" s="3089">
        <f t="shared" si="36"/>
        <v>0.90510000000000002</v>
      </c>
      <c r="I120" s="3089">
        <f>ROUND(0.7965-0.0185*B116,4)</f>
        <v>0.75580000000000003</v>
      </c>
      <c r="J120" s="3089">
        <f t="shared" si="35"/>
        <v>0.75580000000000003</v>
      </c>
      <c r="K120" s="3089">
        <f t="shared" si="35"/>
        <v>0.75580000000000003</v>
      </c>
      <c r="L120" s="3089">
        <f t="shared" si="35"/>
        <v>0.75580000000000003</v>
      </c>
      <c r="M120" s="3109">
        <f t="shared" si="35"/>
        <v>0.75580000000000003</v>
      </c>
      <c r="N120" s="3097"/>
    </row>
    <row r="121" spans="1:14" ht="13.5" thickBot="1">
      <c r="A121" s="3110" t="s">
        <v>3331</v>
      </c>
      <c r="B121" s="3111">
        <f>ROUND(0.7836-0.012*B116,4)</f>
        <v>0.75719999999999998</v>
      </c>
      <c r="C121" s="3111">
        <f>B121</f>
        <v>0.75719999999999998</v>
      </c>
      <c r="D121" s="3111">
        <f>ROUND(0.753-0.015*B116,4)</f>
        <v>0.72</v>
      </c>
      <c r="E121" s="3111">
        <f>D121</f>
        <v>0.72</v>
      </c>
      <c r="F121" s="3111">
        <f>E121</f>
        <v>0.72</v>
      </c>
      <c r="G121" s="3111">
        <f>ROUND(0.6612-0.018*B116,4)</f>
        <v>0.62160000000000004</v>
      </c>
      <c r="H121" s="3111">
        <f>G121</f>
        <v>0.62160000000000004</v>
      </c>
      <c r="I121" s="3111">
        <f>ROUND(0.5905-0.019*B116,4)</f>
        <v>0.54869999999999997</v>
      </c>
      <c r="J121" s="3111">
        <f t="shared" si="35"/>
        <v>0.54869999999999997</v>
      </c>
      <c r="K121" s="3111">
        <f t="shared" si="35"/>
        <v>0.54869999999999997</v>
      </c>
      <c r="L121" s="3111">
        <f t="shared" si="35"/>
        <v>0.54869999999999997</v>
      </c>
      <c r="M121" s="3112">
        <f t="shared" si="35"/>
        <v>0.54869999999999997</v>
      </c>
      <c r="N121" s="3097"/>
    </row>
    <row r="122" spans="1:14">
      <c r="A122" s="3113" t="s">
        <v>2612</v>
      </c>
      <c r="B122" s="3089">
        <f>ROUND(0.9404-0.0106*B116,4)</f>
        <v>0.91710000000000003</v>
      </c>
      <c r="C122" s="3089">
        <f>B122</f>
        <v>0.91710000000000003</v>
      </c>
      <c r="D122" s="3089">
        <f>ROUND(0.8955-0.0135*B116,4)</f>
        <v>0.86580000000000001</v>
      </c>
      <c r="E122" s="3089">
        <f t="shared" ref="E122:H122" si="37">D122</f>
        <v>0.86580000000000001</v>
      </c>
      <c r="F122" s="3089">
        <f t="shared" si="37"/>
        <v>0.86580000000000001</v>
      </c>
      <c r="G122" s="3089">
        <f t="shared" si="37"/>
        <v>0.86580000000000001</v>
      </c>
      <c r="H122" s="3089">
        <f t="shared" si="37"/>
        <v>0.86580000000000001</v>
      </c>
      <c r="I122" s="3089">
        <f>ROUND(0.7632-0.0166*B116,4)</f>
        <v>0.72670000000000001</v>
      </c>
      <c r="J122" s="3089">
        <f t="shared" si="35"/>
        <v>0.72670000000000001</v>
      </c>
      <c r="K122" s="3089">
        <f t="shared" si="35"/>
        <v>0.72670000000000001</v>
      </c>
      <c r="L122" s="3089">
        <f t="shared" si="35"/>
        <v>0.72670000000000001</v>
      </c>
      <c r="M122" s="3109">
        <f t="shared" si="35"/>
        <v>0.72670000000000001</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474" t="s">
        <v>2607</v>
      </c>
      <c r="B20" s="3467" t="s">
        <v>2628</v>
      </c>
      <c r="C20" s="2842" t="s">
        <v>2439</v>
      </c>
      <c r="D20" s="2843"/>
      <c r="E20" s="2844">
        <v>1</v>
      </c>
      <c r="F20" s="2845" t="s">
        <v>2440</v>
      </c>
      <c r="G20" s="2845"/>
    </row>
    <row r="21" spans="1:13" ht="19.5" customHeight="1">
      <c r="A21" s="3475"/>
      <c r="B21" s="3468"/>
      <c r="C21" s="2846" t="s">
        <v>2441</v>
      </c>
      <c r="D21" s="2847"/>
      <c r="E21" s="2848">
        <v>1</v>
      </c>
      <c r="F21" s="2845" t="s">
        <v>2442</v>
      </c>
      <c r="G21" s="2845"/>
    </row>
    <row r="22" spans="1:13" ht="19.5" customHeight="1">
      <c r="A22" s="3475"/>
      <c r="B22" s="3468"/>
      <c r="C22" s="2846" t="s">
        <v>2443</v>
      </c>
      <c r="D22" s="2847"/>
      <c r="E22" s="2848">
        <v>0.9</v>
      </c>
      <c r="F22" s="2845" t="s">
        <v>2444</v>
      </c>
      <c r="G22" s="2845"/>
    </row>
    <row r="23" spans="1:13" ht="19.5" customHeight="1">
      <c r="A23" s="3475"/>
      <c r="B23" s="3468"/>
      <c r="C23" s="2846" t="s">
        <v>2445</v>
      </c>
      <c r="D23" s="2847"/>
      <c r="E23" s="2848">
        <v>0.9</v>
      </c>
      <c r="F23" s="2845" t="s">
        <v>2446</v>
      </c>
      <c r="G23" s="2845"/>
    </row>
    <row r="24" spans="1:13" ht="19.5" customHeight="1">
      <c r="A24" s="3475"/>
      <c r="B24" s="3468"/>
      <c r="C24" s="2846" t="s">
        <v>2447</v>
      </c>
      <c r="D24" s="2847"/>
      <c r="E24" s="2848">
        <v>0.8</v>
      </c>
      <c r="F24" s="2845" t="s">
        <v>2448</v>
      </c>
      <c r="G24" s="2845"/>
    </row>
    <row r="25" spans="1:13" ht="19.5" customHeight="1" thickBot="1">
      <c r="A25" s="3476"/>
      <c r="B25" s="3469"/>
      <c r="C25" s="2849" t="s">
        <v>2449</v>
      </c>
      <c r="D25" s="2850"/>
      <c r="E25" s="2851">
        <v>0.8</v>
      </c>
      <c r="F25" s="2845" t="s">
        <v>2450</v>
      </c>
      <c r="G25" s="2845"/>
    </row>
    <row r="26" spans="1:13" ht="19.5" customHeight="1" thickBot="1">
      <c r="A26" s="2852" t="s">
        <v>2629</v>
      </c>
      <c r="B26" s="2853" t="s">
        <v>2628</v>
      </c>
      <c r="C26" s="2854" t="s">
        <v>2630</v>
      </c>
      <c r="D26" s="2855"/>
      <c r="E26" s="2856">
        <v>1</v>
      </c>
      <c r="F26" s="2845" t="s">
        <v>2451</v>
      </c>
      <c r="G26" s="2845"/>
    </row>
    <row r="27" spans="1:13" ht="19.5" customHeight="1">
      <c r="A27" s="3470" t="s">
        <v>2631</v>
      </c>
      <c r="B27" s="3467" t="s">
        <v>2612</v>
      </c>
      <c r="C27" s="2842" t="s">
        <v>2452</v>
      </c>
      <c r="D27" s="2843"/>
      <c r="E27" s="2844">
        <v>1</v>
      </c>
      <c r="F27" s="2845" t="s">
        <v>2453</v>
      </c>
      <c r="G27" s="2845"/>
    </row>
    <row r="28" spans="1:13" ht="19.5" customHeight="1">
      <c r="A28" s="3471"/>
      <c r="B28" s="3468"/>
      <c r="C28" s="2846" t="s">
        <v>2454</v>
      </c>
      <c r="D28" s="2847"/>
      <c r="E28" s="2848">
        <v>1</v>
      </c>
      <c r="F28" s="2845" t="s">
        <v>2455</v>
      </c>
      <c r="G28" s="2845"/>
    </row>
    <row r="29" spans="1:13" ht="19.5" customHeight="1">
      <c r="A29" s="3471"/>
      <c r="B29" s="3468"/>
      <c r="C29" s="2846" t="s">
        <v>2456</v>
      </c>
      <c r="D29" s="2847"/>
      <c r="E29" s="2848">
        <v>0.8</v>
      </c>
      <c r="F29" s="2845" t="s">
        <v>2457</v>
      </c>
      <c r="G29" s="2845"/>
    </row>
    <row r="30" spans="1:13" ht="19.5" customHeight="1">
      <c r="A30" s="3471"/>
      <c r="B30" s="3468"/>
      <c r="C30" s="2846" t="s">
        <v>2458</v>
      </c>
      <c r="D30" s="2847"/>
      <c r="E30" s="2848">
        <v>0.8</v>
      </c>
      <c r="F30" s="2845" t="s">
        <v>2459</v>
      </c>
      <c r="G30" s="2845"/>
    </row>
    <row r="31" spans="1:13" ht="19.5" customHeight="1">
      <c r="A31" s="3471"/>
      <c r="B31" s="3468"/>
      <c r="C31" s="2846" t="s">
        <v>2460</v>
      </c>
      <c r="D31" s="2847"/>
      <c r="E31" s="2848">
        <v>0.8</v>
      </c>
      <c r="F31" s="2845" t="s">
        <v>2461</v>
      </c>
      <c r="G31" s="2845"/>
    </row>
    <row r="32" spans="1:13" ht="19.5" customHeight="1">
      <c r="A32" s="3471"/>
      <c r="B32" s="3468"/>
      <c r="C32" s="2846" t="s">
        <v>2462</v>
      </c>
      <c r="D32" s="2847"/>
      <c r="E32" s="2848">
        <v>0.7</v>
      </c>
      <c r="F32" s="2845" t="s">
        <v>2463</v>
      </c>
      <c r="G32" s="2845"/>
    </row>
    <row r="33" spans="1:7" ht="19.5" customHeight="1">
      <c r="A33" s="3471"/>
      <c r="B33" s="3468"/>
      <c r="C33" s="2846" t="s">
        <v>2464</v>
      </c>
      <c r="D33" s="2847"/>
      <c r="E33" s="2848">
        <v>0.8</v>
      </c>
      <c r="F33" s="2845" t="s">
        <v>2465</v>
      </c>
      <c r="G33" s="2845"/>
    </row>
    <row r="34" spans="1:7" ht="19.5" customHeight="1">
      <c r="A34" s="3471"/>
      <c r="B34" s="3468"/>
      <c r="C34" s="2846" t="s">
        <v>2466</v>
      </c>
      <c r="D34" s="2847"/>
      <c r="E34" s="2848">
        <v>0.6</v>
      </c>
      <c r="F34" s="2845" t="s">
        <v>2467</v>
      </c>
      <c r="G34" s="2845"/>
    </row>
    <row r="35" spans="1:7" ht="19.5" customHeight="1">
      <c r="A35" s="3471"/>
      <c r="B35" s="3468"/>
      <c r="C35" s="2846" t="s">
        <v>2468</v>
      </c>
      <c r="D35" s="2847"/>
      <c r="E35" s="2848">
        <v>0.2</v>
      </c>
      <c r="F35" s="2845" t="s">
        <v>2469</v>
      </c>
      <c r="G35" s="2845"/>
    </row>
    <row r="36" spans="1:7" ht="19.5" customHeight="1">
      <c r="A36" s="3471"/>
      <c r="B36" s="3468"/>
      <c r="C36" s="2846" t="s">
        <v>2470</v>
      </c>
      <c r="D36" s="2847"/>
      <c r="E36" s="2848">
        <v>0.2</v>
      </c>
      <c r="F36" s="2845" t="s">
        <v>2471</v>
      </c>
      <c r="G36" s="2845"/>
    </row>
    <row r="37" spans="1:7" ht="19.5" customHeight="1">
      <c r="A37" s="3471"/>
      <c r="B37" s="3473" t="s">
        <v>2632</v>
      </c>
      <c r="C37" s="2846" t="s">
        <v>2472</v>
      </c>
      <c r="D37" s="2847"/>
      <c r="E37" s="2848">
        <v>0.6</v>
      </c>
      <c r="F37" s="2845" t="s">
        <v>2473</v>
      </c>
      <c r="G37" s="2845"/>
    </row>
    <row r="38" spans="1:7" ht="19.5" customHeight="1">
      <c r="A38" s="3471"/>
      <c r="B38" s="3468"/>
      <c r="C38" s="2846" t="s">
        <v>2474</v>
      </c>
      <c r="D38" s="2847"/>
      <c r="E38" s="2848">
        <v>0.6</v>
      </c>
      <c r="F38" s="2845" t="s">
        <v>2475</v>
      </c>
      <c r="G38" s="2845"/>
    </row>
    <row r="39" spans="1:7" ht="19.5" customHeight="1" thickBot="1">
      <c r="A39" s="3472"/>
      <c r="B39" s="3469"/>
      <c r="C39" s="2849" t="s">
        <v>2476</v>
      </c>
      <c r="D39" s="2850"/>
      <c r="E39" s="2851">
        <v>0.6</v>
      </c>
      <c r="F39" s="2845" t="s">
        <v>2477</v>
      </c>
      <c r="G39" s="2845"/>
    </row>
    <row r="40" spans="1:7" ht="19.5" customHeight="1" thickBot="1">
      <c r="A40" s="2852" t="s">
        <v>2609</v>
      </c>
      <c r="B40" s="2853" t="s">
        <v>2609</v>
      </c>
      <c r="C40" s="2854" t="s">
        <v>2633</v>
      </c>
      <c r="D40" s="2855"/>
      <c r="E40" s="2856">
        <v>1</v>
      </c>
      <c r="F40" s="2845" t="s">
        <v>2478</v>
      </c>
      <c r="G40" s="2845"/>
    </row>
    <row r="41" spans="1:7" ht="19.5" customHeight="1">
      <c r="A41" s="3474" t="s">
        <v>2610</v>
      </c>
      <c r="B41" s="3467" t="s">
        <v>2634</v>
      </c>
      <c r="C41" s="2842" t="s">
        <v>2479</v>
      </c>
      <c r="D41" s="2843"/>
      <c r="E41" s="2844">
        <v>1</v>
      </c>
      <c r="F41" s="2845" t="s">
        <v>2480</v>
      </c>
      <c r="G41" s="2845"/>
    </row>
    <row r="42" spans="1:7" ht="19.5" customHeight="1">
      <c r="A42" s="3475"/>
      <c r="B42" s="3468"/>
      <c r="C42" s="2846" t="s">
        <v>2481</v>
      </c>
      <c r="D42" s="2847"/>
      <c r="E42" s="2848">
        <v>1</v>
      </c>
      <c r="F42" s="2845" t="s">
        <v>2482</v>
      </c>
      <c r="G42" s="2845"/>
    </row>
    <row r="43" spans="1:7" ht="19.5" customHeight="1">
      <c r="A43" s="3475"/>
      <c r="B43" s="3477"/>
      <c r="C43" s="2846" t="s">
        <v>2483</v>
      </c>
      <c r="D43" s="2847"/>
      <c r="E43" s="2848">
        <v>1.5</v>
      </c>
      <c r="F43" s="2845" t="s">
        <v>2484</v>
      </c>
      <c r="G43" s="2845"/>
    </row>
    <row r="44" spans="1:7" ht="19.5" customHeight="1">
      <c r="A44" s="3475"/>
      <c r="B44" s="2857" t="s">
        <v>2635</v>
      </c>
      <c r="C44" s="2846" t="s">
        <v>2636</v>
      </c>
      <c r="D44" s="2847"/>
      <c r="E44" s="2848">
        <v>2</v>
      </c>
      <c r="F44" s="2845" t="s">
        <v>2485</v>
      </c>
      <c r="G44" s="2845"/>
    </row>
    <row r="45" spans="1:7" ht="19.5" customHeight="1">
      <c r="A45" s="3475"/>
      <c r="B45" s="3473" t="s">
        <v>2637</v>
      </c>
      <c r="C45" s="2846" t="s">
        <v>2486</v>
      </c>
      <c r="D45" s="2847"/>
      <c r="E45" s="2848">
        <v>1</v>
      </c>
      <c r="F45" s="2845" t="s">
        <v>2487</v>
      </c>
      <c r="G45" s="2845"/>
    </row>
    <row r="46" spans="1:7" ht="19.5" customHeight="1">
      <c r="A46" s="3475"/>
      <c r="B46" s="3468"/>
      <c r="C46" s="2846" t="s">
        <v>2488</v>
      </c>
      <c r="D46" s="2847"/>
      <c r="E46" s="2848">
        <v>1</v>
      </c>
      <c r="F46" s="2845" t="s">
        <v>2489</v>
      </c>
      <c r="G46" s="2845"/>
    </row>
    <row r="47" spans="1:7" ht="19.5" customHeight="1">
      <c r="A47" s="3475"/>
      <c r="B47" s="3468"/>
      <c r="C47" s="2846" t="s">
        <v>2490</v>
      </c>
      <c r="D47" s="2847"/>
      <c r="E47" s="2848">
        <v>1</v>
      </c>
      <c r="F47" s="2845" t="s">
        <v>2491</v>
      </c>
      <c r="G47" s="2845"/>
    </row>
    <row r="48" spans="1:7" ht="19.5" customHeight="1">
      <c r="A48" s="3475"/>
      <c r="B48" s="3468"/>
      <c r="C48" s="2846" t="s">
        <v>2492</v>
      </c>
      <c r="D48" s="2847"/>
      <c r="E48" s="2848">
        <v>1</v>
      </c>
      <c r="F48" s="2845" t="s">
        <v>2493</v>
      </c>
      <c r="G48" s="2845"/>
    </row>
    <row r="49" spans="1:7" ht="19.5" customHeight="1">
      <c r="A49" s="3475"/>
      <c r="B49" s="3468"/>
      <c r="C49" s="2846" t="s">
        <v>2494</v>
      </c>
      <c r="D49" s="2847"/>
      <c r="E49" s="2848">
        <v>1</v>
      </c>
      <c r="F49" s="2845" t="s">
        <v>2495</v>
      </c>
      <c r="G49" s="2845"/>
    </row>
    <row r="50" spans="1:7" ht="19.5" customHeight="1">
      <c r="A50" s="3475"/>
      <c r="B50" s="3468"/>
      <c r="C50" s="2846" t="s">
        <v>2496</v>
      </c>
      <c r="D50" s="2847"/>
      <c r="E50" s="2848">
        <v>1</v>
      </c>
      <c r="F50" s="2845" t="s">
        <v>2497</v>
      </c>
      <c r="G50" s="2845"/>
    </row>
    <row r="51" spans="1:7" ht="19.5" customHeight="1" thickBot="1">
      <c r="A51" s="3476"/>
      <c r="B51" s="3469"/>
      <c r="C51" s="2849" t="s">
        <v>2498</v>
      </c>
      <c r="D51" s="2850"/>
      <c r="E51" s="2851">
        <v>1</v>
      </c>
      <c r="F51" s="2845" t="s">
        <v>2499</v>
      </c>
      <c r="G51" s="2845"/>
    </row>
    <row r="52" spans="1:7" ht="19.5" customHeight="1">
      <c r="A52" s="2858"/>
      <c r="B52" s="2858"/>
      <c r="C52" s="2858"/>
      <c r="D52" s="2858"/>
      <c r="E52" s="2858"/>
      <c r="F52" s="2858"/>
      <c r="G52" s="2858"/>
    </row>
    <row r="54" spans="1:7" ht="19.5" customHeight="1">
      <c r="A54" s="2859"/>
      <c r="B54" s="2831" t="s">
        <v>2638</v>
      </c>
      <c r="C54" s="2831" t="s">
        <v>2638</v>
      </c>
      <c r="D54" s="2831" t="s">
        <v>2638</v>
      </c>
      <c r="E54" s="2834" t="s">
        <v>2638</v>
      </c>
      <c r="F54" s="2834" t="s">
        <v>2639</v>
      </c>
      <c r="G54" s="2834" t="s">
        <v>2640</v>
      </c>
    </row>
    <row r="55" spans="1:7" ht="19.5" customHeight="1">
      <c r="A55" s="2860"/>
      <c r="B55" s="2834" t="s">
        <v>2607</v>
      </c>
      <c r="C55" s="2834" t="s">
        <v>2607</v>
      </c>
      <c r="D55" s="2834" t="s">
        <v>2607</v>
      </c>
      <c r="E55" s="2831" t="s">
        <v>2608</v>
      </c>
      <c r="F55" s="2831" t="s">
        <v>2610</v>
      </c>
      <c r="G55" s="2831" t="s">
        <v>2641</v>
      </c>
    </row>
    <row r="56" spans="1:7" ht="19.5" customHeight="1">
      <c r="A56" s="2861"/>
      <c r="B56" s="2831">
        <v>1</v>
      </c>
      <c r="C56" s="2831">
        <v>2</v>
      </c>
      <c r="D56" s="2831">
        <v>3</v>
      </c>
      <c r="E56" s="2862" t="s">
        <v>2642</v>
      </c>
      <c r="F56" s="2862" t="s">
        <v>2642</v>
      </c>
      <c r="G56" s="2862" t="s">
        <v>2642</v>
      </c>
    </row>
    <row r="57" spans="1:7" ht="19.5" customHeight="1">
      <c r="A57" s="2863" t="s">
        <v>2595</v>
      </c>
      <c r="B57" s="2831">
        <v>0.7</v>
      </c>
      <c r="C57" s="2831">
        <v>0.4</v>
      </c>
      <c r="D57" s="2831">
        <v>0.3</v>
      </c>
      <c r="E57" s="2862">
        <v>0.3</v>
      </c>
      <c r="F57" s="2831">
        <v>0.3</v>
      </c>
      <c r="G57" s="2831">
        <v>0.2</v>
      </c>
    </row>
    <row r="58" spans="1:7" ht="19.5" customHeight="1">
      <c r="A58" s="2863" t="s">
        <v>2596</v>
      </c>
      <c r="B58" s="2831">
        <v>0.7</v>
      </c>
      <c r="C58" s="2831">
        <v>0.4</v>
      </c>
      <c r="D58" s="2831">
        <v>0.3</v>
      </c>
      <c r="E58" s="2831">
        <v>0.3</v>
      </c>
      <c r="F58" s="2831">
        <v>0.3</v>
      </c>
      <c r="G58" s="2831">
        <v>0.2</v>
      </c>
    </row>
    <row r="59" spans="1:7" ht="19.5" customHeight="1">
      <c r="A59" s="2863" t="s">
        <v>2597</v>
      </c>
      <c r="B59" s="2831">
        <v>0.6</v>
      </c>
      <c r="C59" s="2831">
        <v>0.3</v>
      </c>
      <c r="D59" s="2831">
        <v>0.25</v>
      </c>
      <c r="E59" s="2831">
        <v>0.25</v>
      </c>
      <c r="F59" s="2831">
        <v>0.25</v>
      </c>
      <c r="G59" s="2831">
        <v>0.15</v>
      </c>
    </row>
    <row r="60" spans="1:7" ht="19.5" customHeight="1">
      <c r="A60" s="2863" t="s">
        <v>2598</v>
      </c>
      <c r="B60" s="2831">
        <v>0.6</v>
      </c>
      <c r="C60" s="2831">
        <v>0.3</v>
      </c>
      <c r="D60" s="2831">
        <v>0.25</v>
      </c>
      <c r="E60" s="2831">
        <v>0.25</v>
      </c>
      <c r="F60" s="2831">
        <v>0.25</v>
      </c>
      <c r="G60" s="2831">
        <v>0.15</v>
      </c>
    </row>
    <row r="61" spans="1:7" ht="19.5" customHeight="1">
      <c r="A61" s="2863" t="s">
        <v>2599</v>
      </c>
      <c r="B61" s="2831">
        <v>0.6</v>
      </c>
      <c r="C61" s="2831">
        <v>0.3</v>
      </c>
      <c r="D61" s="2831">
        <v>0.25</v>
      </c>
      <c r="E61" s="2831">
        <v>0.25</v>
      </c>
      <c r="F61" s="2831">
        <v>0.25</v>
      </c>
      <c r="G61" s="2831">
        <v>0.15</v>
      </c>
    </row>
    <row r="62" spans="1:7" ht="19.5" customHeight="1">
      <c r="A62" s="2863" t="s">
        <v>2600</v>
      </c>
      <c r="B62" s="2831">
        <v>0.6</v>
      </c>
      <c r="C62" s="2831">
        <v>0.3</v>
      </c>
      <c r="D62" s="2831">
        <v>0.25</v>
      </c>
      <c r="E62" s="2831">
        <v>0.25</v>
      </c>
      <c r="F62" s="2831">
        <v>0.25</v>
      </c>
      <c r="G62" s="2831">
        <v>0.15</v>
      </c>
    </row>
    <row r="63" spans="1:7" ht="19.5" customHeight="1">
      <c r="A63" s="2863" t="s">
        <v>2601</v>
      </c>
      <c r="B63" s="2831">
        <v>0.6</v>
      </c>
      <c r="C63" s="2831">
        <v>0.3</v>
      </c>
      <c r="D63" s="2831">
        <v>0.25</v>
      </c>
      <c r="E63" s="2831">
        <v>0.25</v>
      </c>
      <c r="F63" s="2831">
        <v>0.25</v>
      </c>
      <c r="G63" s="2831">
        <v>0.15</v>
      </c>
    </row>
    <row r="64" spans="1:7" ht="19.5" customHeight="1">
      <c r="A64" s="2863" t="s">
        <v>2602</v>
      </c>
      <c r="B64" s="2831">
        <v>0.5</v>
      </c>
      <c r="C64" s="2831">
        <v>0.2</v>
      </c>
      <c r="D64" s="2831">
        <v>0.2</v>
      </c>
      <c r="E64" s="2831">
        <v>0.2</v>
      </c>
      <c r="F64" s="2831">
        <v>0.2</v>
      </c>
      <c r="G64" s="2831">
        <v>0.1</v>
      </c>
    </row>
    <row r="65" spans="1:7" ht="19.5" customHeight="1">
      <c r="A65" s="2863" t="s">
        <v>2603</v>
      </c>
      <c r="B65" s="2831">
        <v>0.5</v>
      </c>
      <c r="C65" s="2831">
        <v>0.2</v>
      </c>
      <c r="D65" s="2831">
        <v>0.2</v>
      </c>
      <c r="E65" s="2831">
        <v>0.2</v>
      </c>
      <c r="F65" s="2831">
        <v>0.2</v>
      </c>
      <c r="G65" s="2831">
        <v>0.1</v>
      </c>
    </row>
    <row r="66" spans="1:7" ht="19.5" customHeight="1">
      <c r="A66" s="2863" t="s">
        <v>2604</v>
      </c>
      <c r="B66" s="2831">
        <v>0.5</v>
      </c>
      <c r="C66" s="2831">
        <v>0.2</v>
      </c>
      <c r="D66" s="2831">
        <v>0.2</v>
      </c>
      <c r="E66" s="2831">
        <v>0.2</v>
      </c>
      <c r="F66" s="2831">
        <v>0.2</v>
      </c>
      <c r="G66" s="2831">
        <v>0.1</v>
      </c>
    </row>
    <row r="67" spans="1:7" ht="19.5" customHeight="1">
      <c r="A67" s="2863" t="s">
        <v>2605</v>
      </c>
      <c r="B67" s="2831">
        <v>0.5</v>
      </c>
      <c r="C67" s="2831">
        <v>0.2</v>
      </c>
      <c r="D67" s="2831">
        <v>0.2</v>
      </c>
      <c r="E67" s="2831">
        <v>0.2</v>
      </c>
      <c r="F67" s="2831">
        <v>0.2</v>
      </c>
      <c r="G67" s="2831">
        <v>0.1</v>
      </c>
    </row>
    <row r="68" spans="1:7" ht="19.5" customHeight="1">
      <c r="A68" s="2863" t="s">
        <v>2606</v>
      </c>
      <c r="B68" s="2831">
        <v>0.5</v>
      </c>
      <c r="C68" s="2831">
        <v>0.2</v>
      </c>
      <c r="D68" s="2831">
        <v>0.2</v>
      </c>
      <c r="E68" s="2831">
        <v>0.2</v>
      </c>
      <c r="F68" s="2831">
        <v>0.2</v>
      </c>
      <c r="G68" s="2831">
        <v>0.1</v>
      </c>
    </row>
    <row r="70" spans="1:7" ht="19.5" customHeight="1">
      <c r="A70" s="2845"/>
      <c r="B70" s="2864"/>
      <c r="C70" s="2864"/>
      <c r="D70" s="2864" t="s">
        <v>2643</v>
      </c>
      <c r="E70" s="2864"/>
      <c r="F70" s="2864"/>
    </row>
    <row r="71" spans="1:7" ht="19.5" customHeight="1">
      <c r="A71" s="2857" t="s">
        <v>2644</v>
      </c>
      <c r="B71" s="2857" t="s">
        <v>2645</v>
      </c>
      <c r="C71" s="2857" t="s">
        <v>2646</v>
      </c>
      <c r="D71" s="2857" t="s">
        <v>2647</v>
      </c>
      <c r="E71" s="2857" t="s">
        <v>2648</v>
      </c>
      <c r="F71" s="2857" t="s">
        <v>2649</v>
      </c>
    </row>
    <row r="72" spans="1:7" ht="13.5">
      <c r="A72" s="2857"/>
      <c r="B72" s="2857"/>
      <c r="C72" s="2857" t="s">
        <v>2650</v>
      </c>
      <c r="D72" s="2857"/>
      <c r="E72" s="2857" t="s">
        <v>2621</v>
      </c>
      <c r="F72" s="2857" t="s">
        <v>2621</v>
      </c>
    </row>
    <row r="73" spans="1:7" ht="13.5">
      <c r="A73" s="2857">
        <v>1</v>
      </c>
      <c r="B73" s="3473" t="s">
        <v>2651</v>
      </c>
      <c r="C73" s="2831" t="s">
        <v>2652</v>
      </c>
      <c r="D73" s="2831" t="s">
        <v>2653</v>
      </c>
      <c r="E73" s="2857">
        <v>0.2</v>
      </c>
      <c r="F73" s="2857">
        <v>25</v>
      </c>
    </row>
    <row r="74" spans="1:7" ht="24">
      <c r="A74" s="2857">
        <v>2</v>
      </c>
      <c r="B74" s="3468"/>
      <c r="C74" s="2831" t="s">
        <v>2654</v>
      </c>
      <c r="D74" s="2831" t="s">
        <v>2655</v>
      </c>
      <c r="E74" s="2857">
        <v>0.2</v>
      </c>
      <c r="F74" s="2857">
        <v>25</v>
      </c>
    </row>
    <row r="75" spans="1:7" ht="24">
      <c r="A75" s="2857">
        <v>3</v>
      </c>
      <c r="B75" s="3468"/>
      <c r="C75" s="2831" t="s">
        <v>2656</v>
      </c>
      <c r="D75" s="2831" t="s">
        <v>2657</v>
      </c>
      <c r="E75" s="2857">
        <v>0.2</v>
      </c>
      <c r="F75" s="2857">
        <v>25</v>
      </c>
    </row>
    <row r="76" spans="1:7" ht="13.5">
      <c r="A76" s="2857">
        <v>4</v>
      </c>
      <c r="B76" s="3468"/>
      <c r="C76" s="2831" t="s">
        <v>2658</v>
      </c>
      <c r="D76" s="2831" t="s">
        <v>2659</v>
      </c>
      <c r="E76" s="2857">
        <v>0.15</v>
      </c>
      <c r="F76" s="2857">
        <v>20</v>
      </c>
    </row>
    <row r="77" spans="1:7" ht="24">
      <c r="A77" s="2857">
        <v>5</v>
      </c>
      <c r="B77" s="3468"/>
      <c r="C77" s="2831" t="s">
        <v>2660</v>
      </c>
      <c r="D77" s="2831" t="s">
        <v>2661</v>
      </c>
      <c r="E77" s="2857">
        <v>0.15</v>
      </c>
      <c r="F77" s="2857">
        <v>20</v>
      </c>
    </row>
    <row r="78" spans="1:7" ht="24">
      <c r="A78" s="2857">
        <v>6</v>
      </c>
      <c r="B78" s="3468"/>
      <c r="C78" s="2831" t="s">
        <v>2662</v>
      </c>
      <c r="D78" s="2831" t="s">
        <v>2663</v>
      </c>
      <c r="E78" s="2857">
        <v>0.15</v>
      </c>
      <c r="F78" s="2857">
        <v>20</v>
      </c>
    </row>
    <row r="79" spans="1:7" ht="24">
      <c r="A79" s="2857">
        <v>7</v>
      </c>
      <c r="B79" s="3468"/>
      <c r="C79" s="2831" t="s">
        <v>2664</v>
      </c>
      <c r="D79" s="2831" t="s">
        <v>2665</v>
      </c>
      <c r="E79" s="2857">
        <v>0.15</v>
      </c>
      <c r="F79" s="2857">
        <v>20</v>
      </c>
    </row>
    <row r="80" spans="1:7" ht="24">
      <c r="A80" s="2857">
        <v>8</v>
      </c>
      <c r="B80" s="3468"/>
      <c r="C80" s="2831" t="s">
        <v>2666</v>
      </c>
      <c r="D80" s="2831" t="s">
        <v>2667</v>
      </c>
      <c r="E80" s="2857">
        <v>0.1</v>
      </c>
      <c r="F80" s="2857">
        <v>15</v>
      </c>
    </row>
    <row r="81" spans="1:6" ht="24">
      <c r="A81" s="2857">
        <v>9</v>
      </c>
      <c r="B81" s="3468"/>
      <c r="C81" s="2831" t="s">
        <v>2668</v>
      </c>
      <c r="D81" s="2831" t="s">
        <v>2669</v>
      </c>
      <c r="E81" s="2857">
        <v>0.1</v>
      </c>
      <c r="F81" s="2857">
        <v>15</v>
      </c>
    </row>
    <row r="82" spans="1:6" ht="24">
      <c r="A82" s="2857">
        <v>10</v>
      </c>
      <c r="B82" s="3468"/>
      <c r="C82" s="2831" t="s">
        <v>2670</v>
      </c>
      <c r="D82" s="2831" t="s">
        <v>2671</v>
      </c>
      <c r="E82" s="2857">
        <v>0.1</v>
      </c>
      <c r="F82" s="2857">
        <v>15</v>
      </c>
    </row>
    <row r="83" spans="1:6" ht="24">
      <c r="A83" s="2857">
        <v>11</v>
      </c>
      <c r="B83" s="3468"/>
      <c r="C83" s="2831" t="s">
        <v>2672</v>
      </c>
      <c r="D83" s="2831" t="s">
        <v>2673</v>
      </c>
      <c r="E83" s="2857">
        <v>0.1</v>
      </c>
      <c r="F83" s="2857">
        <v>15</v>
      </c>
    </row>
    <row r="84" spans="1:6" ht="24">
      <c r="A84" s="2857">
        <v>12</v>
      </c>
      <c r="B84" s="3468"/>
      <c r="C84" s="2831" t="s">
        <v>2674</v>
      </c>
      <c r="D84" s="2831" t="s">
        <v>2675</v>
      </c>
      <c r="E84" s="2857">
        <v>0.1</v>
      </c>
      <c r="F84" s="2857">
        <v>15</v>
      </c>
    </row>
    <row r="85" spans="1:6" ht="13.5">
      <c r="A85" s="2857">
        <v>13</v>
      </c>
      <c r="B85" s="3468"/>
      <c r="C85" s="2831" t="s">
        <v>2676</v>
      </c>
      <c r="D85" s="2831" t="s">
        <v>2677</v>
      </c>
      <c r="E85" s="2857">
        <v>0.1</v>
      </c>
      <c r="F85" s="2857">
        <v>15</v>
      </c>
    </row>
    <row r="86" spans="1:6" ht="13.5">
      <c r="A86" s="2857">
        <v>14</v>
      </c>
      <c r="B86" s="3468"/>
      <c r="C86" s="2831" t="s">
        <v>2678</v>
      </c>
      <c r="D86" s="2831" t="s">
        <v>2679</v>
      </c>
      <c r="E86" s="2857">
        <v>0.1</v>
      </c>
      <c r="F86" s="2857">
        <v>15</v>
      </c>
    </row>
    <row r="87" spans="1:6" ht="13.5">
      <c r="A87" s="2857">
        <v>15</v>
      </c>
      <c r="B87" s="3468"/>
      <c r="C87" s="2831" t="s">
        <v>2680</v>
      </c>
      <c r="D87" s="2831" t="s">
        <v>2681</v>
      </c>
      <c r="E87" s="2857">
        <v>0.1</v>
      </c>
      <c r="F87" s="2857">
        <v>15</v>
      </c>
    </row>
    <row r="88" spans="1:6" ht="24">
      <c r="A88" s="2857">
        <v>16</v>
      </c>
      <c r="B88" s="3468"/>
      <c r="C88" s="2831" t="s">
        <v>2682</v>
      </c>
      <c r="D88" s="2831" t="s">
        <v>2683</v>
      </c>
      <c r="E88" s="2857">
        <v>0.1</v>
      </c>
      <c r="F88" s="2857">
        <v>15</v>
      </c>
    </row>
    <row r="89" spans="1:6" ht="24">
      <c r="A89" s="2857">
        <v>17</v>
      </c>
      <c r="B89" s="3477"/>
      <c r="C89" s="2831" t="s">
        <v>2684</v>
      </c>
      <c r="D89" s="2831" t="s">
        <v>2685</v>
      </c>
      <c r="E89" s="2857">
        <v>0.1</v>
      </c>
      <c r="F89" s="2857">
        <v>15</v>
      </c>
    </row>
    <row r="90" spans="1:6" ht="13.5">
      <c r="A90" s="2857">
        <v>18</v>
      </c>
      <c r="B90" s="3473" t="s">
        <v>2686</v>
      </c>
      <c r="C90" s="2831" t="s">
        <v>2687</v>
      </c>
      <c r="D90" s="2831" t="s">
        <v>2688</v>
      </c>
      <c r="E90" s="2857">
        <v>0.2</v>
      </c>
      <c r="F90" s="2857">
        <v>25</v>
      </c>
    </row>
    <row r="91" spans="1:6" ht="24">
      <c r="A91" s="2857">
        <v>19</v>
      </c>
      <c r="B91" s="3468"/>
      <c r="C91" s="2831" t="s">
        <v>2689</v>
      </c>
      <c r="D91" s="2831" t="s">
        <v>2690</v>
      </c>
      <c r="E91" s="2857">
        <v>0.2</v>
      </c>
      <c r="F91" s="2857">
        <v>25</v>
      </c>
    </row>
    <row r="92" spans="1:6" ht="13.5">
      <c r="A92" s="2857">
        <v>20</v>
      </c>
      <c r="B92" s="3468"/>
      <c r="C92" s="2831" t="s">
        <v>2691</v>
      </c>
      <c r="D92" s="2831" t="s">
        <v>2692</v>
      </c>
      <c r="E92" s="2857">
        <v>0.15</v>
      </c>
      <c r="F92" s="2857">
        <v>20</v>
      </c>
    </row>
    <row r="93" spans="1:6" ht="13.5">
      <c r="A93" s="2857">
        <v>21</v>
      </c>
      <c r="B93" s="3468"/>
      <c r="C93" s="2831" t="s">
        <v>2693</v>
      </c>
      <c r="D93" s="2831" t="s">
        <v>2694</v>
      </c>
      <c r="E93" s="2857">
        <v>0.15</v>
      </c>
      <c r="F93" s="2857">
        <v>20</v>
      </c>
    </row>
    <row r="94" spans="1:6" ht="13.5">
      <c r="A94" s="2857">
        <v>22</v>
      </c>
      <c r="B94" s="3468"/>
      <c r="C94" s="2831" t="s">
        <v>2695</v>
      </c>
      <c r="D94" s="2831" t="s">
        <v>2696</v>
      </c>
      <c r="E94" s="2857">
        <v>0.15</v>
      </c>
      <c r="F94" s="2857">
        <v>20</v>
      </c>
    </row>
    <row r="95" spans="1:6" ht="36">
      <c r="A95" s="2857">
        <v>23</v>
      </c>
      <c r="B95" s="3468"/>
      <c r="C95" s="2831" t="s">
        <v>2697</v>
      </c>
      <c r="D95" s="2831" t="s">
        <v>2698</v>
      </c>
      <c r="E95" s="2857">
        <v>0.15</v>
      </c>
      <c r="F95" s="2857">
        <v>20</v>
      </c>
    </row>
    <row r="96" spans="1:6" ht="13.5">
      <c r="A96" s="2857">
        <v>24</v>
      </c>
      <c r="B96" s="3468"/>
      <c r="C96" s="2831" t="s">
        <v>2699</v>
      </c>
      <c r="D96" s="2831" t="s">
        <v>2700</v>
      </c>
      <c r="E96" s="2857">
        <v>0.1</v>
      </c>
      <c r="F96" s="2857">
        <v>15</v>
      </c>
    </row>
    <row r="97" spans="1:6" ht="13.5">
      <c r="A97" s="2857">
        <v>25</v>
      </c>
      <c r="B97" s="3468"/>
      <c r="C97" s="2831" t="s">
        <v>2701</v>
      </c>
      <c r="D97" s="2831" t="s">
        <v>2702</v>
      </c>
      <c r="E97" s="2857">
        <v>0.1</v>
      </c>
      <c r="F97" s="2857">
        <v>15</v>
      </c>
    </row>
    <row r="98" spans="1:6" ht="24">
      <c r="A98" s="2857">
        <v>26</v>
      </c>
      <c r="B98" s="3468"/>
      <c r="C98" s="2831" t="s">
        <v>2703</v>
      </c>
      <c r="D98" s="2831" t="s">
        <v>2704</v>
      </c>
      <c r="E98" s="2857">
        <v>0.1</v>
      </c>
      <c r="F98" s="2857">
        <v>15</v>
      </c>
    </row>
    <row r="99" spans="1:6" ht="24">
      <c r="A99" s="2857">
        <v>27</v>
      </c>
      <c r="B99" s="3468"/>
      <c r="C99" s="2831" t="s">
        <v>2705</v>
      </c>
      <c r="D99" s="2831" t="s">
        <v>2706</v>
      </c>
      <c r="E99" s="2857">
        <v>0.1</v>
      </c>
      <c r="F99" s="2857">
        <v>15</v>
      </c>
    </row>
    <row r="100" spans="1:6" ht="13.5">
      <c r="A100" s="2857">
        <v>28</v>
      </c>
      <c r="B100" s="3468"/>
      <c r="C100" s="2831" t="s">
        <v>2707</v>
      </c>
      <c r="D100" s="2831" t="s">
        <v>2708</v>
      </c>
      <c r="E100" s="2857">
        <v>0.1</v>
      </c>
      <c r="F100" s="2857">
        <v>15</v>
      </c>
    </row>
    <row r="101" spans="1:6" ht="13.5">
      <c r="A101" s="2857">
        <v>29</v>
      </c>
      <c r="B101" s="3468"/>
      <c r="C101" s="2831" t="s">
        <v>2709</v>
      </c>
      <c r="D101" s="2831" t="s">
        <v>2710</v>
      </c>
      <c r="E101" s="2857">
        <v>0.1</v>
      </c>
      <c r="F101" s="2857">
        <v>15</v>
      </c>
    </row>
    <row r="102" spans="1:6" ht="13.5">
      <c r="A102" s="2857">
        <v>30</v>
      </c>
      <c r="B102" s="3468"/>
      <c r="C102" s="2831" t="s">
        <v>2711</v>
      </c>
      <c r="D102" s="2831" t="s">
        <v>2712</v>
      </c>
      <c r="E102" s="2857">
        <v>0.1</v>
      </c>
      <c r="F102" s="2857">
        <v>15</v>
      </c>
    </row>
    <row r="103" spans="1:6" ht="24">
      <c r="A103" s="2857">
        <v>31</v>
      </c>
      <c r="B103" s="3468"/>
      <c r="C103" s="2831" t="s">
        <v>2713</v>
      </c>
      <c r="D103" s="2831" t="s">
        <v>2714</v>
      </c>
      <c r="E103" s="2857">
        <v>0.1</v>
      </c>
      <c r="F103" s="2857">
        <v>15</v>
      </c>
    </row>
    <row r="104" spans="1:6" ht="24">
      <c r="A104" s="2857">
        <v>32</v>
      </c>
      <c r="B104" s="3468"/>
      <c r="C104" s="2831" t="s">
        <v>2715</v>
      </c>
      <c r="D104" s="2831" t="s">
        <v>2716</v>
      </c>
      <c r="E104" s="2857">
        <v>0.1</v>
      </c>
      <c r="F104" s="2857">
        <v>15</v>
      </c>
    </row>
    <row r="105" spans="1:6" ht="24">
      <c r="A105" s="2857">
        <v>33</v>
      </c>
      <c r="B105" s="3468"/>
      <c r="C105" s="2831" t="s">
        <v>2717</v>
      </c>
      <c r="D105" s="2831" t="s">
        <v>2718</v>
      </c>
      <c r="E105" s="2857">
        <v>0.1</v>
      </c>
      <c r="F105" s="2857">
        <v>15</v>
      </c>
    </row>
    <row r="106" spans="1:6" ht="24">
      <c r="A106" s="2857">
        <v>34</v>
      </c>
      <c r="B106" s="3477"/>
      <c r="C106" s="2831" t="s">
        <v>2719</v>
      </c>
      <c r="D106" s="2831" t="s">
        <v>2720</v>
      </c>
      <c r="E106" s="2857">
        <v>0.1</v>
      </c>
      <c r="F106" s="2857">
        <v>15</v>
      </c>
    </row>
    <row r="107" spans="1:6" ht="24">
      <c r="A107" s="2857">
        <v>35</v>
      </c>
      <c r="B107" s="3473" t="s">
        <v>2721</v>
      </c>
      <c r="C107" s="2857" t="s">
        <v>2722</v>
      </c>
      <c r="D107" s="2831" t="s">
        <v>2723</v>
      </c>
      <c r="E107" s="2857">
        <v>0.15</v>
      </c>
      <c r="F107" s="2857">
        <v>20</v>
      </c>
    </row>
    <row r="108" spans="1:6" ht="13.5">
      <c r="A108" s="2857">
        <v>36</v>
      </c>
      <c r="B108" s="3468"/>
      <c r="C108" s="2857" t="s">
        <v>2724</v>
      </c>
      <c r="D108" s="2831" t="s">
        <v>2725</v>
      </c>
      <c r="E108" s="2857">
        <v>0.15</v>
      </c>
      <c r="F108" s="2857">
        <v>20</v>
      </c>
    </row>
    <row r="109" spans="1:6" ht="13.5">
      <c r="A109" s="2857">
        <v>37</v>
      </c>
      <c r="B109" s="3468"/>
      <c r="C109" s="2857" t="s">
        <v>2726</v>
      </c>
      <c r="D109" s="2831" t="s">
        <v>2727</v>
      </c>
      <c r="E109" s="2857">
        <v>0.15</v>
      </c>
      <c r="F109" s="2857">
        <v>20</v>
      </c>
    </row>
    <row r="110" spans="1:6" ht="13.5">
      <c r="A110" s="2857">
        <v>38</v>
      </c>
      <c r="B110" s="3468"/>
      <c r="C110" s="2857" t="s">
        <v>2728</v>
      </c>
      <c r="D110" s="2831" t="s">
        <v>2729</v>
      </c>
      <c r="E110" s="2857">
        <v>0.1</v>
      </c>
      <c r="F110" s="2857">
        <v>15</v>
      </c>
    </row>
    <row r="111" spans="1:6" ht="24">
      <c r="A111" s="2857">
        <v>39</v>
      </c>
      <c r="B111" s="3468"/>
      <c r="C111" s="2857" t="s">
        <v>2730</v>
      </c>
      <c r="D111" s="2831" t="s">
        <v>2731</v>
      </c>
      <c r="E111" s="2857">
        <v>0.1</v>
      </c>
      <c r="F111" s="2857">
        <v>15</v>
      </c>
    </row>
    <row r="112" spans="1:6" ht="24">
      <c r="A112" s="2857">
        <v>40</v>
      </c>
      <c r="B112" s="3477"/>
      <c r="C112" s="2857" t="s">
        <v>2732</v>
      </c>
      <c r="D112" s="2831" t="s">
        <v>2733</v>
      </c>
      <c r="E112" s="2857">
        <v>0.1</v>
      </c>
      <c r="F112" s="2857">
        <v>15</v>
      </c>
    </row>
    <row r="113" spans="1:6" ht="13.5">
      <c r="A113" s="2857">
        <v>41</v>
      </c>
      <c r="B113" s="3478" t="s">
        <v>2734</v>
      </c>
      <c r="C113" s="2857" t="s">
        <v>2735</v>
      </c>
      <c r="D113" s="2831" t="s">
        <v>2736</v>
      </c>
      <c r="E113" s="2857">
        <v>0.1</v>
      </c>
      <c r="F113" s="2857">
        <v>15</v>
      </c>
    </row>
    <row r="114" spans="1:6" ht="13.5">
      <c r="A114" s="2857">
        <v>42</v>
      </c>
      <c r="B114" s="3478"/>
      <c r="C114" s="2857" t="s">
        <v>2737</v>
      </c>
      <c r="D114" s="2831" t="s">
        <v>2738</v>
      </c>
      <c r="E114" s="2857">
        <v>0.1</v>
      </c>
      <c r="F114" s="2857">
        <v>15</v>
      </c>
    </row>
    <row r="115" spans="1:6" ht="24">
      <c r="A115" s="2857">
        <v>43</v>
      </c>
      <c r="B115" s="3478"/>
      <c r="C115" s="2857" t="s">
        <v>2739</v>
      </c>
      <c r="D115" s="2831" t="s">
        <v>2740</v>
      </c>
      <c r="E115" s="2857">
        <v>0.1</v>
      </c>
      <c r="F115" s="2857">
        <v>15</v>
      </c>
    </row>
    <row r="116" spans="1:6" ht="13.5">
      <c r="A116" s="2857">
        <v>44</v>
      </c>
      <c r="B116" s="3473" t="s">
        <v>2741</v>
      </c>
      <c r="C116" s="2857" t="s">
        <v>2742</v>
      </c>
      <c r="D116" s="2831" t="s">
        <v>2743</v>
      </c>
      <c r="E116" s="2857">
        <v>0.1</v>
      </c>
      <c r="F116" s="2857">
        <v>15</v>
      </c>
    </row>
    <row r="117" spans="1:6" ht="24">
      <c r="A117" s="2857">
        <v>45</v>
      </c>
      <c r="B117" s="3477"/>
      <c r="C117" s="2831" t="s">
        <v>2744</v>
      </c>
      <c r="D117" s="2831" t="s">
        <v>2745</v>
      </c>
      <c r="E117" s="2857">
        <v>0.1</v>
      </c>
      <c r="F117" s="2857">
        <v>15</v>
      </c>
    </row>
    <row r="118" spans="1:6" ht="24">
      <c r="A118" s="2857">
        <v>46</v>
      </c>
      <c r="B118" s="3473" t="s">
        <v>2746</v>
      </c>
      <c r="C118" s="2857" t="s">
        <v>2747</v>
      </c>
      <c r="D118" s="2831" t="s">
        <v>2748</v>
      </c>
      <c r="E118" s="2857">
        <v>0.1</v>
      </c>
      <c r="F118" s="2857">
        <v>15</v>
      </c>
    </row>
    <row r="119" spans="1:6" ht="24">
      <c r="A119" s="2857">
        <v>47</v>
      </c>
      <c r="B119" s="3477"/>
      <c r="C119" s="2857" t="s">
        <v>2749</v>
      </c>
      <c r="D119" s="2831" t="s">
        <v>2750</v>
      </c>
      <c r="E119" s="2857">
        <v>0.1</v>
      </c>
      <c r="F119" s="2857">
        <v>15</v>
      </c>
    </row>
    <row r="120" spans="1:6" ht="13.5">
      <c r="A120" s="2857">
        <v>48</v>
      </c>
      <c r="B120" s="3473" t="s">
        <v>2751</v>
      </c>
      <c r="C120" s="2857" t="s">
        <v>2752</v>
      </c>
      <c r="D120" s="2831" t="s">
        <v>2753</v>
      </c>
      <c r="E120" s="2857">
        <v>0.1</v>
      </c>
      <c r="F120" s="2857">
        <v>15</v>
      </c>
    </row>
    <row r="121" spans="1:6" ht="13.5">
      <c r="A121" s="2857">
        <v>49</v>
      </c>
      <c r="B121" s="3477"/>
      <c r="C121" s="2857" t="s">
        <v>2754</v>
      </c>
      <c r="D121" s="2831" t="s">
        <v>2755</v>
      </c>
      <c r="E121" s="2857">
        <v>0.1</v>
      </c>
      <c r="F121" s="2857">
        <v>15</v>
      </c>
    </row>
    <row r="122" spans="1:6" ht="24">
      <c r="A122" s="2857">
        <v>50</v>
      </c>
      <c r="B122" s="3478" t="s">
        <v>2756</v>
      </c>
      <c r="C122" s="2857" t="s">
        <v>2757</v>
      </c>
      <c r="D122" s="2831" t="s">
        <v>2758</v>
      </c>
      <c r="E122" s="2857">
        <v>0.1</v>
      </c>
      <c r="F122" s="2857">
        <v>15</v>
      </c>
    </row>
    <row r="123" spans="1:6" ht="24">
      <c r="A123" s="2857">
        <v>51</v>
      </c>
      <c r="B123" s="3478"/>
      <c r="C123" s="2857" t="s">
        <v>2759</v>
      </c>
      <c r="D123" s="2831" t="s">
        <v>2760</v>
      </c>
      <c r="E123" s="2857">
        <v>0.1</v>
      </c>
      <c r="F123" s="2857">
        <v>15</v>
      </c>
    </row>
    <row r="124" spans="1:6" ht="24">
      <c r="A124" s="2857">
        <v>52</v>
      </c>
      <c r="B124" s="3478" t="s">
        <v>2761</v>
      </c>
      <c r="C124" s="2857" t="s">
        <v>2762</v>
      </c>
      <c r="D124" s="2831" t="s">
        <v>2763</v>
      </c>
      <c r="E124" s="2857">
        <v>0.1</v>
      </c>
      <c r="F124" s="2857">
        <v>15</v>
      </c>
    </row>
    <row r="125" spans="1:6" ht="24">
      <c r="A125" s="2857">
        <v>53</v>
      </c>
      <c r="B125" s="3478"/>
      <c r="C125" s="2857" t="s">
        <v>2764</v>
      </c>
      <c r="D125" s="2831" t="s">
        <v>2765</v>
      </c>
      <c r="E125" s="2857">
        <v>0.1</v>
      </c>
      <c r="F125" s="2857">
        <v>15</v>
      </c>
    </row>
    <row r="126" spans="1:6" ht="13.5">
      <c r="A126" s="2857">
        <v>54</v>
      </c>
      <c r="B126" s="2857" t="s">
        <v>2766</v>
      </c>
      <c r="C126" s="2857" t="s">
        <v>2767</v>
      </c>
      <c r="D126" s="2831" t="s">
        <v>2768</v>
      </c>
      <c r="E126" s="2857">
        <v>0.1</v>
      </c>
      <c r="F126" s="2857">
        <v>15</v>
      </c>
    </row>
    <row r="127" spans="1:6" ht="13.5">
      <c r="A127" s="2857">
        <v>55</v>
      </c>
      <c r="B127" s="3478" t="s">
        <v>2769</v>
      </c>
      <c r="C127" s="2857" t="s">
        <v>2770</v>
      </c>
      <c r="D127" s="2831" t="s">
        <v>2771</v>
      </c>
      <c r="E127" s="2857">
        <v>0.1</v>
      </c>
      <c r="F127" s="2857">
        <v>15</v>
      </c>
    </row>
    <row r="128" spans="1:6" ht="13.5">
      <c r="A128" s="2857">
        <v>56</v>
      </c>
      <c r="B128" s="3478"/>
      <c r="C128" s="2857" t="s">
        <v>2772</v>
      </c>
      <c r="D128" s="2831" t="s">
        <v>2773</v>
      </c>
      <c r="E128" s="2857">
        <v>0.1</v>
      </c>
      <c r="F128" s="2857">
        <v>15</v>
      </c>
    </row>
    <row r="129" spans="1:6" ht="24">
      <c r="A129" s="2857">
        <v>57</v>
      </c>
      <c r="B129" s="3478"/>
      <c r="C129" s="2857" t="s">
        <v>2774</v>
      </c>
      <c r="D129" s="2831" t="s">
        <v>2775</v>
      </c>
      <c r="E129" s="2857">
        <v>0.1</v>
      </c>
      <c r="F129" s="2857">
        <v>15</v>
      </c>
    </row>
    <row r="130" spans="1:6" ht="24">
      <c r="A130" s="2857">
        <v>58</v>
      </c>
      <c r="B130" s="3478" t="s">
        <v>2776</v>
      </c>
      <c r="C130" s="2857" t="s">
        <v>2777</v>
      </c>
      <c r="D130" s="2831" t="s">
        <v>2778</v>
      </c>
      <c r="E130" s="2857">
        <v>0.1</v>
      </c>
      <c r="F130" s="2857">
        <v>15</v>
      </c>
    </row>
    <row r="131" spans="1:6" ht="13.5">
      <c r="A131" s="2857">
        <v>59</v>
      </c>
      <c r="B131" s="3478"/>
      <c r="C131" s="2857" t="s">
        <v>2779</v>
      </c>
      <c r="D131" s="2831" t="s">
        <v>2780</v>
      </c>
      <c r="E131" s="2857">
        <v>0.1</v>
      </c>
      <c r="F131" s="2857">
        <v>15</v>
      </c>
    </row>
    <row r="132" spans="1:6" ht="13.5">
      <c r="A132" s="2857">
        <v>60</v>
      </c>
      <c r="B132" s="3473" t="s">
        <v>2781</v>
      </c>
      <c r="C132" s="2857" t="s">
        <v>2782</v>
      </c>
      <c r="D132" s="2831" t="s">
        <v>2783</v>
      </c>
      <c r="E132" s="2857">
        <v>0.1</v>
      </c>
      <c r="F132" s="2857">
        <v>15</v>
      </c>
    </row>
    <row r="133" spans="1:6" ht="13.5">
      <c r="A133" s="2857">
        <v>61</v>
      </c>
      <c r="B133" s="3477"/>
      <c r="C133" s="2857" t="s">
        <v>2784</v>
      </c>
      <c r="D133" s="2831" t="s">
        <v>2785</v>
      </c>
      <c r="E133" s="2857">
        <v>0.1</v>
      </c>
      <c r="F133" s="2857">
        <v>15</v>
      </c>
    </row>
    <row r="134" spans="1:6" ht="24">
      <c r="A134" s="2857">
        <v>62</v>
      </c>
      <c r="B134" s="2857" t="s">
        <v>2786</v>
      </c>
      <c r="C134" s="2857" t="s">
        <v>2787</v>
      </c>
      <c r="D134" s="2831" t="s">
        <v>2788</v>
      </c>
      <c r="E134" s="2857">
        <v>0.1</v>
      </c>
      <c r="F134" s="2857">
        <v>15</v>
      </c>
    </row>
    <row r="135" spans="1:6" ht="13.5">
      <c r="A135" s="2857">
        <v>63</v>
      </c>
      <c r="B135" s="3478" t="s">
        <v>2789</v>
      </c>
      <c r="C135" s="2857" t="s">
        <v>2790</v>
      </c>
      <c r="D135" s="2831" t="s">
        <v>2791</v>
      </c>
      <c r="E135" s="2857">
        <v>0.1</v>
      </c>
      <c r="F135" s="2857">
        <v>15</v>
      </c>
    </row>
    <row r="136" spans="1:6" ht="13.5">
      <c r="A136" s="2857">
        <v>64</v>
      </c>
      <c r="B136" s="3478"/>
      <c r="C136" s="2857" t="s">
        <v>2792</v>
      </c>
      <c r="D136" s="2831" t="s">
        <v>2793</v>
      </c>
      <c r="E136" s="2857">
        <v>0.1</v>
      </c>
      <c r="F136" s="2857">
        <v>15</v>
      </c>
    </row>
    <row r="137" spans="1:6" ht="13.5">
      <c r="A137" s="2857">
        <v>65</v>
      </c>
      <c r="B137" s="2857" t="s">
        <v>2794</v>
      </c>
      <c r="C137" s="2857" t="s">
        <v>2795</v>
      </c>
      <c r="D137" s="2831" t="s">
        <v>2796</v>
      </c>
      <c r="E137" s="2857">
        <v>0.1</v>
      </c>
      <c r="F137" s="2857">
        <v>15</v>
      </c>
    </row>
    <row r="138" spans="1:6" ht="13.5">
      <c r="A138" s="2857"/>
      <c r="B138" s="2857"/>
      <c r="C138" s="2857"/>
      <c r="D138" s="2857"/>
      <c r="E138" s="2857" t="s">
        <v>2797</v>
      </c>
      <c r="F138" s="2857"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1.0287999999999999</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0.97860000000000003</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28148</v>
      </c>
      <c r="C2" s="2" t="s">
        <v>106</v>
      </c>
      <c r="D2" s="191"/>
      <c r="E2" s="191"/>
      <c r="F2" s="191"/>
      <c r="G2" s="191"/>
    </row>
    <row r="3" spans="1:7" s="192" customFormat="1" ht="18" customHeight="1" thickBot="1">
      <c r="A3" s="195" t="s">
        <v>58</v>
      </c>
      <c r="B3" s="196">
        <f ca="1">ROUND(B2*10000/'数据-汇总表'!E3,0)</f>
        <v>4400188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1</v>
      </c>
      <c r="D9" s="795">
        <f>'数据-汇总表'!E5</f>
        <v>63.97</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63.97</v>
      </c>
      <c r="E19" s="203">
        <f>'数据-取费表'!B31</f>
        <v>200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621</v>
      </c>
      <c r="D22" s="227">
        <f ca="1">C26</f>
        <v>5.0000000000000001E-4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3</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4163</v>
      </c>
      <c r="D27" s="227">
        <f>C29</f>
        <v>6.0000000000000001E-3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4163</v>
      </c>
      <c r="D28" s="227"/>
      <c r="E28" s="228"/>
      <c r="F28" s="238"/>
      <c r="G28" s="239"/>
    </row>
    <row r="29" spans="1:7" s="206" customFormat="1" ht="13.5" customHeight="1">
      <c r="A29" s="734" t="s">
        <v>347</v>
      </c>
      <c r="B29" s="240" t="s">
        <v>425</v>
      </c>
      <c r="C29" s="230">
        <f>ROUND(C21*F27*'数据-取费表'!B21/'数据-取费表'!B20,4)</f>
        <v>6.0000000000000001E-3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28128</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19</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v>
      </c>
      <c r="D36" s="212"/>
      <c r="E36" s="212"/>
      <c r="F36" s="251">
        <f>'数据-取费表'!B34</f>
        <v>0.05</v>
      </c>
      <c r="G36" s="252" t="s">
        <v>35</v>
      </c>
    </row>
    <row r="37" spans="1:7" s="250" customFormat="1" ht="13.5" customHeight="1">
      <c r="A37" s="734" t="s">
        <v>353</v>
      </c>
      <c r="B37" s="207" t="s">
        <v>91</v>
      </c>
      <c r="C37" s="241">
        <f>ROUND(E37*D37*F34/10000,0)</f>
        <v>1</v>
      </c>
      <c r="D37" s="209">
        <f>'数据-汇总表'!E3</f>
        <v>63.97</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0</v>
      </c>
      <c r="D41" s="227">
        <f ca="1">C44</f>
        <v>5.0000000000000001E-4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0</v>
      </c>
      <c r="D42" s="230"/>
      <c r="E42" s="230"/>
      <c r="F42" s="231"/>
      <c r="G42" s="3344" t="s">
        <v>94</v>
      </c>
    </row>
    <row r="43" spans="1:7" ht="13.5" customHeight="1">
      <c r="A43" s="734" t="s">
        <v>347</v>
      </c>
      <c r="B43" s="207" t="s">
        <v>426</v>
      </c>
      <c r="C43" s="230">
        <f ca="1">ROUND(IF('数据-取费表'!B22&lt;=1,C39*F22*'数据-取费表'!B21/2,C39*(POWER((1+F22),'数据-取费表'!B21/2)-1)),0)</f>
        <v>0</v>
      </c>
      <c r="D43" s="230"/>
      <c r="E43" s="230"/>
      <c r="F43" s="231"/>
      <c r="G43" s="3345"/>
    </row>
    <row r="44" spans="1:7" ht="13.5" customHeight="1">
      <c r="A44" s="734" t="s">
        <v>348</v>
      </c>
      <c r="B44" s="207" t="s">
        <v>428</v>
      </c>
      <c r="C44" s="230">
        <f ca="1">ROUND(IF('数据-取费表'!B22&lt;=1,C40*F22*'数据-取费表'!B21/2,C40*(POWER((1+F22),'数据-取费表'!B21/2)-1)),4)</f>
        <v>5.0000000000000001E-4</v>
      </c>
      <c r="D44" s="230"/>
      <c r="E44" s="230"/>
      <c r="F44" s="231"/>
      <c r="G44" s="3346"/>
    </row>
    <row r="45" spans="1:7" s="206" customFormat="1" ht="13.5" customHeight="1">
      <c r="A45" s="731" t="s">
        <v>341</v>
      </c>
      <c r="B45" s="236" t="s">
        <v>85</v>
      </c>
      <c r="C45" s="237">
        <f>C46</f>
        <v>4</v>
      </c>
      <c r="D45" s="227">
        <f>C47</f>
        <v>6.0000000000000001E-3</v>
      </c>
      <c r="E45" s="228" t="s">
        <v>102</v>
      </c>
      <c r="F45" s="238"/>
      <c r="G45" s="239" t="s">
        <v>434</v>
      </c>
    </row>
    <row r="46" spans="1:7" s="206" customFormat="1" ht="13.5" customHeight="1">
      <c r="A46" s="734" t="s">
        <v>349</v>
      </c>
      <c r="B46" s="240" t="s">
        <v>427</v>
      </c>
      <c r="C46" s="241">
        <f>ROUND((C33+C39)*F27,0)</f>
        <v>4</v>
      </c>
      <c r="D46" s="255"/>
      <c r="E46" s="228"/>
      <c r="F46" s="238"/>
      <c r="G46" s="239"/>
    </row>
    <row r="47" spans="1:7" s="206" customFormat="1" ht="13.5" customHeight="1">
      <c r="A47" s="734" t="s">
        <v>347</v>
      </c>
      <c r="B47" s="240" t="s">
        <v>429</v>
      </c>
      <c r="C47" s="230">
        <f>ROUND(C40*F27,4)</f>
        <v>6.0000000000000001E-3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29</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20</v>
      </c>
      <c r="D51" s="224"/>
      <c r="E51" s="224"/>
      <c r="F51" s="256"/>
      <c r="G51" s="226" t="s">
        <v>37</v>
      </c>
    </row>
    <row r="52" spans="1:7" s="200" customFormat="1" ht="16.5" thickBot="1">
      <c r="A52" s="257" t="s">
        <v>38</v>
      </c>
      <c r="B52" s="258"/>
      <c r="C52" s="259">
        <f ca="1">C31+C51</f>
        <v>28148</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67"/>
      <c r="C2" s="3167"/>
      <c r="D2" s="3167"/>
      <c r="E2" s="3167"/>
    </row>
    <row r="3" spans="1:5" ht="18">
      <c r="A3" s="3168" t="str">
        <f>IF(项目基本情况!B9="房地产市场价值","估价结果一览表（市场价值不需“结果表-1”）","估价结果一览表")</f>
        <v>估价结果一览表（市场价值不需“结果表-1”）</v>
      </c>
      <c r="B3" s="3168"/>
      <c r="C3" s="3168"/>
      <c r="D3" s="3168"/>
      <c r="E3" s="3168"/>
    </row>
    <row r="4" spans="1:5" ht="19.5" thickBot="1">
      <c r="A4" s="1391"/>
      <c r="B4" s="3166" t="s">
        <v>917</v>
      </c>
      <c r="C4" s="3166"/>
      <c r="D4" s="3166"/>
      <c r="E4" s="1391"/>
    </row>
    <row r="5" spans="1:5" ht="16.5" thickTop="1">
      <c r="B5" s="3164" t="s">
        <v>909</v>
      </c>
      <c r="C5" s="1392" t="s">
        <v>910</v>
      </c>
      <c r="D5" s="797" t="e">
        <f ca="1">结果表!H101</f>
        <v>#REF!</v>
      </c>
    </row>
    <row r="6" spans="1:5" ht="15.75">
      <c r="B6" s="3164"/>
      <c r="C6" s="1392" t="s">
        <v>911</v>
      </c>
      <c r="D6" s="797" t="e">
        <f ca="1">NUMBERSTRING(INT(D5*10000),2)&amp;"元整"</f>
        <v>#REF!</v>
      </c>
    </row>
    <row r="7" spans="1:5" ht="15.75">
      <c r="B7" s="3169"/>
      <c r="C7" s="1393" t="s">
        <v>912</v>
      </c>
      <c r="D7" s="798" t="e">
        <f ca="1">结果表!H102</f>
        <v>#REF!</v>
      </c>
    </row>
    <row r="8" spans="1:5" ht="15.75">
      <c r="B8" s="3170" t="str">
        <f>结果表!E103</f>
        <v>2.估价师知悉的法定优先受偿款</v>
      </c>
      <c r="C8" s="1394" t="s">
        <v>913</v>
      </c>
      <c r="D8" s="798">
        <f>结果表!H103</f>
        <v>0</v>
      </c>
    </row>
    <row r="9" spans="1:5" ht="15.75">
      <c r="B9" s="3172"/>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3" t="str">
        <f>结果表!E107</f>
        <v>3.房地产抵押价值</v>
      </c>
      <c r="C13" s="1397" t="s">
        <v>910</v>
      </c>
      <c r="D13" s="800" t="e">
        <f ca="1">结果表!H107</f>
        <v>#REF!</v>
      </c>
    </row>
    <row r="14" spans="1:5" ht="15.75">
      <c r="B14" s="3164"/>
      <c r="C14" s="1392" t="s">
        <v>911</v>
      </c>
      <c r="D14" s="797" t="e">
        <f ca="1">NUMBERSTRING(INT(D13*10000),2)&amp;"元整"</f>
        <v>#REF!</v>
      </c>
    </row>
    <row r="15" spans="1:5" ht="15">
      <c r="B15" s="3169"/>
      <c r="C15" s="1393" t="s">
        <v>921</v>
      </c>
      <c r="D15" s="806" t="e">
        <f ca="1">结果表!H108</f>
        <v>#REF!</v>
      </c>
    </row>
    <row r="16" spans="1:5" ht="15">
      <c r="B16" s="3170" t="str">
        <f>结果表!E109</f>
        <v>——</v>
      </c>
      <c r="C16" s="1397" t="s">
        <v>922</v>
      </c>
      <c r="D16" s="1398" t="str">
        <f>结果表!H109</f>
        <v>——</v>
      </c>
    </row>
    <row r="17" spans="1:5" ht="15.75">
      <c r="B17" s="3171"/>
      <c r="C17" s="1392" t="s">
        <v>923</v>
      </c>
      <c r="D17" s="797" t="e">
        <f>NUMBERSTRING(INT(D16*10000),2)&amp;"元整"</f>
        <v>#VALUE!</v>
      </c>
    </row>
    <row r="18" spans="1:5" ht="15">
      <c r="B18" s="3172"/>
      <c r="C18" s="1393" t="s">
        <v>912</v>
      </c>
      <c r="D18" s="806" t="str">
        <f>结果表!H110</f>
        <v>——</v>
      </c>
    </row>
    <row r="19" spans="1:5" ht="15.75">
      <c r="B19" s="3163" t="str">
        <f>结果表!E111</f>
        <v>——</v>
      </c>
      <c r="C19" s="1397" t="s">
        <v>910</v>
      </c>
      <c r="D19" s="798" t="str">
        <f>结果表!H111</f>
        <v>——</v>
      </c>
    </row>
    <row r="20" spans="1:5" ht="15.75">
      <c r="B20" s="3164"/>
      <c r="C20" s="1392" t="s">
        <v>923</v>
      </c>
      <c r="D20" s="797" t="e">
        <f>NUMBERSTRING(INT(D19*10000),2)&amp;"元整"</f>
        <v>#VALUE!</v>
      </c>
    </row>
    <row r="21" spans="1:5" ht="15.75" thickBot="1">
      <c r="B21" s="3165"/>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79" t="s">
        <v>3181</v>
      </c>
      <c r="B1" s="3479"/>
    </row>
    <row r="2" spans="1:7" ht="14.25" thickBot="1">
      <c r="A2" s="2968"/>
      <c r="B2" s="2968"/>
    </row>
    <row r="3" spans="1:7" ht="14.25" thickBot="1">
      <c r="A3" s="2968"/>
      <c r="B3" s="2968"/>
      <c r="C3" s="2969" t="s">
        <v>2811</v>
      </c>
      <c r="D3" s="2969" t="s">
        <v>2867</v>
      </c>
      <c r="E3" s="2969" t="s">
        <v>2813</v>
      </c>
      <c r="F3" s="2969" t="s">
        <v>2868</v>
      </c>
      <c r="G3" s="2969" t="s">
        <v>2631</v>
      </c>
    </row>
    <row r="4" spans="1:7" ht="14.2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4.2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4.2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4.2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4.2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4.2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4.2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4.2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4.2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4.2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4.2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ht="14.25">
      <c r="A1" s="3480" t="s">
        <v>3232</v>
      </c>
      <c r="B1" s="3480"/>
      <c r="C1" s="3480"/>
      <c r="D1" s="3480"/>
      <c r="E1" s="3480"/>
      <c r="F1" s="3481"/>
    </row>
    <row r="2" spans="1:6" ht="14.25">
      <c r="A2" s="3002" t="s">
        <v>3233</v>
      </c>
    </row>
    <row r="3" spans="1:6" ht="14.25">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7">
        <f>基准地价修正!G23</f>
        <v>45812</v>
      </c>
      <c r="B1" s="2929" t="s">
        <v>3378</v>
      </c>
      <c r="C1" s="2930"/>
      <c r="D1" s="2930"/>
      <c r="E1" s="2930"/>
      <c r="F1" s="2930"/>
      <c r="G1" s="2930"/>
      <c r="H1" s="2930"/>
      <c r="I1" s="2930"/>
      <c r="J1" s="2896"/>
      <c r="K1" s="2930" t="s">
        <v>454</v>
      </c>
      <c r="L1" s="2930"/>
      <c r="M1" s="2930"/>
      <c r="N1" s="2930"/>
      <c r="O1" s="2930"/>
      <c r="P1" s="2930"/>
      <c r="Q1" s="2896"/>
      <c r="R1" s="3482" t="s">
        <v>456</v>
      </c>
      <c r="S1" s="3483"/>
      <c r="T1" s="3483"/>
      <c r="U1" s="3483"/>
      <c r="V1" s="3483"/>
      <c r="W1" s="3483"/>
      <c r="X1" s="2896"/>
      <c r="Y1" s="3482" t="s">
        <v>457</v>
      </c>
      <c r="Z1" s="3483"/>
      <c r="AA1" s="3483"/>
      <c r="AB1" s="3483"/>
      <c r="AC1" s="3483"/>
      <c r="AD1" s="3483"/>
    </row>
    <row r="2" spans="1:44" s="2009" customFormat="1" ht="14.25" thickBot="1">
      <c r="B2" s="2881"/>
      <c r="C2" s="2882"/>
      <c r="D2" s="2010" t="s">
        <v>2810</v>
      </c>
      <c r="E2" s="2011" t="s">
        <v>2811</v>
      </c>
      <c r="F2" s="2011" t="s">
        <v>2812</v>
      </c>
      <c r="G2" s="2011" t="s">
        <v>2813</v>
      </c>
      <c r="H2" s="2011" t="s">
        <v>2814</v>
      </c>
      <c r="I2" s="2011" t="s">
        <v>2631</v>
      </c>
      <c r="J2" s="2883"/>
      <c r="K2" s="2010" t="s">
        <v>2810</v>
      </c>
      <c r="L2" s="2011" t="s">
        <v>2811</v>
      </c>
      <c r="M2" s="2011" t="s">
        <v>2812</v>
      </c>
      <c r="N2" s="2011" t="s">
        <v>2813</v>
      </c>
      <c r="O2" s="2011" t="s">
        <v>2815</v>
      </c>
      <c r="P2" s="2011" t="s">
        <v>2631</v>
      </c>
      <c r="Q2" s="2883"/>
      <c r="R2" s="2010" t="s">
        <v>2810</v>
      </c>
      <c r="S2" s="2011" t="s">
        <v>2811</v>
      </c>
      <c r="T2" s="2011" t="s">
        <v>2812</v>
      </c>
      <c r="U2" s="2011" t="s">
        <v>2816</v>
      </c>
      <c r="V2" s="2011" t="s">
        <v>2817</v>
      </c>
      <c r="W2" s="2011" t="s">
        <v>2631</v>
      </c>
      <c r="X2" s="2883"/>
      <c r="Y2" s="2010" t="s">
        <v>2810</v>
      </c>
      <c r="Z2" s="2011" t="s">
        <v>2811</v>
      </c>
      <c r="AA2" s="2011" t="s">
        <v>2812</v>
      </c>
      <c r="AB2" s="2011" t="s">
        <v>2818</v>
      </c>
      <c r="AC2" s="2011" t="s">
        <v>2817</v>
      </c>
      <c r="AD2" s="2011" t="s">
        <v>2631</v>
      </c>
      <c r="AF2" t="s">
        <v>3405</v>
      </c>
      <c r="AG2" t="s">
        <v>673</v>
      </c>
      <c r="AH2" t="s">
        <v>21</v>
      </c>
      <c r="AI2" t="s">
        <v>3406</v>
      </c>
      <c r="AJ2" t="s">
        <v>3</v>
      </c>
      <c r="AK2" t="s">
        <v>3407</v>
      </c>
      <c r="AM2" t="s">
        <v>3405</v>
      </c>
      <c r="AN2" t="s">
        <v>673</v>
      </c>
      <c r="AO2" t="s">
        <v>21</v>
      </c>
      <c r="AP2" t="s">
        <v>3406</v>
      </c>
      <c r="AQ2" t="s">
        <v>3</v>
      </c>
      <c r="AR2" t="s">
        <v>3407</v>
      </c>
    </row>
    <row r="3" spans="1:44" s="2886" customFormat="1" ht="12.75">
      <c r="A3" s="2884" t="s">
        <v>2819</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44" s="2044" customFormat="1">
      <c r="A5" s="2039" t="s">
        <v>3404</v>
      </c>
      <c r="B5" s="2030">
        <v>2025</v>
      </c>
      <c r="C5" s="2041">
        <v>4</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 t="shared" ref="P5:P11" si="10">M5</f>
        <v>0</v>
      </c>
      <c r="Q5" s="2906"/>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6"/>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4" customFormat="1" ht="12.75">
      <c r="A6" s="2039" t="s">
        <v>3403</v>
      </c>
      <c r="B6" s="2030">
        <v>2025</v>
      </c>
      <c r="C6" s="2041">
        <v>3</v>
      </c>
      <c r="D6" s="2006">
        <v>0</v>
      </c>
      <c r="E6" s="2006">
        <v>0</v>
      </c>
      <c r="F6" s="2006">
        <v>0</v>
      </c>
      <c r="G6" s="2006">
        <v>0</v>
      </c>
      <c r="H6" s="2006">
        <v>0</v>
      </c>
      <c r="I6" s="2007">
        <f t="shared" ref="I6" si="19">F6</f>
        <v>0</v>
      </c>
      <c r="J6" s="2906"/>
      <c r="K6" s="2042">
        <f t="shared" ref="K6" si="20">D6/100</f>
        <v>0</v>
      </c>
      <c r="L6" s="2027">
        <f t="shared" ref="L6" si="21">E6/100</f>
        <v>0</v>
      </c>
      <c r="M6" s="2027">
        <f t="shared" ref="M6" si="22">F6/100</f>
        <v>0</v>
      </c>
      <c r="N6" s="2027">
        <f t="shared" ref="N6" si="23">G6/100</f>
        <v>0</v>
      </c>
      <c r="O6" s="2027">
        <f t="shared" ref="O6" si="24">H6/100</f>
        <v>0</v>
      </c>
      <c r="P6" s="2027">
        <f t="shared" si="10"/>
        <v>0</v>
      </c>
      <c r="Q6" s="2906"/>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6"/>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3402</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4" customFormat="1" ht="12.75">
      <c r="A8" s="2039" t="s">
        <v>3410</v>
      </c>
      <c r="B8" s="2030">
        <v>2025</v>
      </c>
      <c r="C8" s="2041">
        <v>1</v>
      </c>
      <c r="D8" s="2006">
        <v>0.56999999999999995</v>
      </c>
      <c r="E8" s="2006">
        <v>-0.56999999999999995</v>
      </c>
      <c r="F8" s="2006">
        <v>-0.9</v>
      </c>
      <c r="G8" s="2006">
        <v>1.1200000000000001</v>
      </c>
      <c r="H8" s="2006">
        <v>0.42</v>
      </c>
      <c r="I8" s="2007">
        <f t="shared" ref="I8" si="54">F8</f>
        <v>-0.9</v>
      </c>
      <c r="J8" s="2906"/>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6"/>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6"/>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4" customFormat="1" ht="12.75">
      <c r="A9" s="2039" t="s">
        <v>3409</v>
      </c>
      <c r="B9" s="2030">
        <v>2024</v>
      </c>
      <c r="C9" s="2041">
        <v>4</v>
      </c>
      <c r="D9" s="2006">
        <v>-1.02</v>
      </c>
      <c r="E9" s="2006">
        <v>-0.48</v>
      </c>
      <c r="F9" s="2006">
        <v>-0.75</v>
      </c>
      <c r="G9" s="2006">
        <v>-1.05</v>
      </c>
      <c r="H9" s="2006">
        <v>0.08</v>
      </c>
      <c r="I9" s="2007">
        <f t="shared" ref="I9" si="65">F9</f>
        <v>-0.75</v>
      </c>
      <c r="J9" s="2906"/>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6"/>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6"/>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4" customFormat="1" ht="12.75">
      <c r="A10" s="2039" t="s">
        <v>3382</v>
      </c>
      <c r="B10" s="2030">
        <v>2024</v>
      </c>
      <c r="C10" s="2041">
        <v>3</v>
      </c>
      <c r="D10" s="2006">
        <v>-1.19</v>
      </c>
      <c r="E10" s="2006">
        <v>-0.47</v>
      </c>
      <c r="F10" s="2006">
        <v>-0.28999999999999998</v>
      </c>
      <c r="G10" s="2006">
        <v>-0.74</v>
      </c>
      <c r="H10" s="2006">
        <v>-0.21</v>
      </c>
      <c r="I10" s="2007">
        <f t="shared" ref="I10" si="76">F10</f>
        <v>-0.28999999999999998</v>
      </c>
      <c r="J10" s="2906"/>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6"/>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6"/>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4" customFormat="1" ht="12.75">
      <c r="A11" s="2905" t="s">
        <v>3376</v>
      </c>
      <c r="B11" s="2030">
        <v>2024</v>
      </c>
      <c r="C11" s="2041">
        <v>2</v>
      </c>
      <c r="D11" s="2006">
        <v>-0.59</v>
      </c>
      <c r="E11" s="2006">
        <v>-0.21</v>
      </c>
      <c r="F11" s="2006">
        <v>-1.38</v>
      </c>
      <c r="G11" s="2006">
        <v>-1.24</v>
      </c>
      <c r="H11" s="2917">
        <v>0.34</v>
      </c>
      <c r="I11" s="2007">
        <f t="shared" ref="I11:I24" si="87">F11</f>
        <v>-1.38</v>
      </c>
      <c r="J11" s="2906"/>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6"/>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6"/>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4" customFormat="1" ht="12.75">
      <c r="A12" s="2905" t="s">
        <v>3375</v>
      </c>
      <c r="B12" s="2030">
        <v>2024</v>
      </c>
      <c r="C12" s="2041">
        <v>1</v>
      </c>
      <c r="D12" s="2006">
        <v>0.08</v>
      </c>
      <c r="E12" s="2006">
        <v>0.46</v>
      </c>
      <c r="F12" s="2006">
        <v>-0.16</v>
      </c>
      <c r="G12" s="2006">
        <v>0.26</v>
      </c>
      <c r="H12" s="2917">
        <v>0.59</v>
      </c>
      <c r="I12" s="2007">
        <f t="shared" si="87"/>
        <v>-0.16</v>
      </c>
      <c r="J12" s="2906"/>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6"/>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6"/>
      <c r="Y12" s="2027"/>
      <c r="Z12" s="2027"/>
      <c r="AA12" s="2027"/>
      <c r="AB12" s="2027"/>
      <c r="AC12" s="2027"/>
      <c r="AD12" s="2027"/>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4" customFormat="1" ht="12.75">
      <c r="A13" s="2905" t="s">
        <v>3371</v>
      </c>
      <c r="B13" s="2030">
        <v>2023</v>
      </c>
      <c r="C13" s="2041">
        <v>4</v>
      </c>
      <c r="D13" s="2006">
        <v>0.19</v>
      </c>
      <c r="E13" s="2006">
        <v>0.24</v>
      </c>
      <c r="F13" s="2006">
        <v>-0.16</v>
      </c>
      <c r="G13" s="2006">
        <v>0.17</v>
      </c>
      <c r="H13" s="2917">
        <v>0.61</v>
      </c>
      <c r="I13" s="2007">
        <f>F13</f>
        <v>-0.16</v>
      </c>
      <c r="J13" s="2906"/>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6"/>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6"/>
      <c r="Y13" s="2027"/>
      <c r="Z13" s="2027"/>
      <c r="AA13" s="2027"/>
      <c r="AB13" s="2027"/>
      <c r="AC13" s="2027"/>
      <c r="AD13" s="2027"/>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4" customFormat="1" ht="12.75">
      <c r="A14" s="2905" t="s">
        <v>3370</v>
      </c>
      <c r="B14" s="2030">
        <v>2023</v>
      </c>
      <c r="C14" s="2041">
        <v>3</v>
      </c>
      <c r="D14" s="2006">
        <v>0.25</v>
      </c>
      <c r="E14" s="2006">
        <v>0.5</v>
      </c>
      <c r="F14" s="2006">
        <v>0.31</v>
      </c>
      <c r="G14" s="2006">
        <v>0.21</v>
      </c>
      <c r="H14" s="2917">
        <v>0.43</v>
      </c>
      <c r="I14" s="2007">
        <f t="shared" si="87"/>
        <v>0.31</v>
      </c>
      <c r="J14" s="2906"/>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6"/>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6"/>
      <c r="Y14" s="2027"/>
      <c r="Z14" s="2027"/>
      <c r="AA14" s="2027"/>
      <c r="AB14" s="2027"/>
      <c r="AC14" s="2027"/>
      <c r="AD14" s="2027"/>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4" customFormat="1" ht="12.75">
      <c r="A15" s="2905" t="s">
        <v>3368</v>
      </c>
      <c r="B15" s="2030">
        <v>2023</v>
      </c>
      <c r="C15" s="2041">
        <v>2</v>
      </c>
      <c r="D15" s="2006">
        <v>0.91</v>
      </c>
      <c r="E15" s="2006">
        <v>0.66</v>
      </c>
      <c r="F15" s="2006">
        <v>0.47</v>
      </c>
      <c r="G15" s="2006">
        <v>0.96</v>
      </c>
      <c r="H15" s="2917">
        <v>0.71</v>
      </c>
      <c r="I15" s="2007">
        <f t="shared" si="87"/>
        <v>0.47</v>
      </c>
      <c r="J15" s="2906"/>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6"/>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6"/>
      <c r="Y15" s="2027"/>
      <c r="Z15" s="2027"/>
      <c r="AA15" s="2027"/>
      <c r="AB15" s="2027"/>
      <c r="AC15" s="2027"/>
      <c r="AD15" s="2027"/>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4" customFormat="1" ht="12.75">
      <c r="A16" s="2905" t="s">
        <v>3367</v>
      </c>
      <c r="B16" s="2030">
        <v>2023</v>
      </c>
      <c r="C16" s="2041">
        <v>1</v>
      </c>
      <c r="D16" s="2006">
        <v>0.89</v>
      </c>
      <c r="E16" s="2006">
        <v>0.74</v>
      </c>
      <c r="F16" s="2006">
        <v>0.56999999999999995</v>
      </c>
      <c r="G16" s="2006">
        <v>0.92</v>
      </c>
      <c r="H16" s="2917">
        <v>0.5</v>
      </c>
      <c r="I16" s="2007">
        <f t="shared" si="87"/>
        <v>0.56999999999999995</v>
      </c>
      <c r="J16" s="2906"/>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6"/>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6"/>
      <c r="Y16" s="2027"/>
      <c r="Z16" s="2027"/>
      <c r="AA16" s="2027"/>
      <c r="AB16" s="2027"/>
      <c r="AC16" s="2027"/>
      <c r="AD16" s="2027"/>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4" customFormat="1" ht="12.75">
      <c r="A17" s="2905" t="s">
        <v>3366</v>
      </c>
      <c r="B17" s="2030">
        <v>2022</v>
      </c>
      <c r="C17" s="2041">
        <v>4</v>
      </c>
      <c r="D17" s="2006">
        <v>0.62</v>
      </c>
      <c r="E17" s="2006">
        <v>0.2</v>
      </c>
      <c r="F17" s="2006">
        <v>0.11</v>
      </c>
      <c r="G17" s="2006">
        <v>0.69</v>
      </c>
      <c r="H17" s="2917">
        <v>0.53</v>
      </c>
      <c r="I17" s="2007">
        <f t="shared" si="87"/>
        <v>0.11</v>
      </c>
      <c r="J17" s="2906"/>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6"/>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6"/>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4" customFormat="1" ht="12.75">
      <c r="A18" s="2905" t="s">
        <v>3364</v>
      </c>
      <c r="B18" s="2030">
        <v>2022</v>
      </c>
      <c r="C18" s="2041">
        <v>3</v>
      </c>
      <c r="D18" s="2006">
        <v>0.66</v>
      </c>
      <c r="E18" s="2006">
        <v>0.32</v>
      </c>
      <c r="F18" s="2006">
        <v>0.23</v>
      </c>
      <c r="G18" s="2006">
        <v>0.72</v>
      </c>
      <c r="H18" s="2917">
        <v>0.63</v>
      </c>
      <c r="I18" s="2007">
        <f t="shared" si="87"/>
        <v>0.23</v>
      </c>
      <c r="J18" s="2906"/>
      <c r="K18" s="2042">
        <f t="shared" si="88"/>
        <v>6.6E-3</v>
      </c>
      <c r="L18" s="2027">
        <f t="shared" si="88"/>
        <v>3.2000000000000002E-3</v>
      </c>
      <c r="M18" s="2027">
        <f t="shared" si="88"/>
        <v>2.3E-3</v>
      </c>
      <c r="N18" s="2027">
        <f t="shared" si="88"/>
        <v>7.1999999999999998E-3</v>
      </c>
      <c r="O18" s="2027">
        <f t="shared" si="88"/>
        <v>6.3E-3</v>
      </c>
      <c r="P18" s="2027">
        <f t="shared" si="108"/>
        <v>2.3E-3</v>
      </c>
      <c r="Q18" s="2906"/>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6"/>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4" customFormat="1" ht="12.75">
      <c r="A19" s="2905" t="s">
        <v>3355</v>
      </c>
      <c r="B19" s="2030">
        <v>2022</v>
      </c>
      <c r="C19" s="2041">
        <v>2</v>
      </c>
      <c r="D19" s="2006">
        <v>0.93</v>
      </c>
      <c r="E19" s="2006">
        <v>0.15</v>
      </c>
      <c r="F19" s="2006">
        <v>0.01</v>
      </c>
      <c r="G19" s="2006">
        <v>1.05</v>
      </c>
      <c r="H19" s="2917">
        <v>1.08</v>
      </c>
      <c r="I19" s="2007">
        <f t="shared" si="87"/>
        <v>0.01</v>
      </c>
      <c r="J19" s="2906"/>
      <c r="K19" s="2042">
        <f t="shared" si="88"/>
        <v>9.300000000000001E-3</v>
      </c>
      <c r="L19" s="2027">
        <f t="shared" si="88"/>
        <v>1.5E-3</v>
      </c>
      <c r="M19" s="2027">
        <f t="shared" si="88"/>
        <v>1E-4</v>
      </c>
      <c r="N19" s="2027">
        <f t="shared" si="88"/>
        <v>1.0500000000000001E-2</v>
      </c>
      <c r="O19" s="2027">
        <f t="shared" si="88"/>
        <v>1.0800000000000001E-2</v>
      </c>
      <c r="P19" s="2027">
        <f t="shared" si="108"/>
        <v>1E-4</v>
      </c>
      <c r="Q19" s="2906"/>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6"/>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4" customFormat="1" ht="12.75">
      <c r="A20" s="2905" t="s">
        <v>2820</v>
      </c>
      <c r="B20" s="2030">
        <v>2022</v>
      </c>
      <c r="C20" s="2041">
        <v>1</v>
      </c>
      <c r="D20" s="2006">
        <v>0.89</v>
      </c>
      <c r="E20" s="2006">
        <v>0.44</v>
      </c>
      <c r="F20" s="2006">
        <v>0.37</v>
      </c>
      <c r="G20" s="2006">
        <v>0.96</v>
      </c>
      <c r="H20" s="2917">
        <v>0.64</v>
      </c>
      <c r="I20" s="2007">
        <f t="shared" si="87"/>
        <v>0.37</v>
      </c>
      <c r="J20" s="2906"/>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6"/>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6"/>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4" customFormat="1" ht="12.75">
      <c r="A21" s="2905" t="s">
        <v>2821</v>
      </c>
      <c r="B21" s="2030">
        <v>2021</v>
      </c>
      <c r="C21" s="2041">
        <v>4</v>
      </c>
      <c r="D21" s="2006">
        <v>1.03</v>
      </c>
      <c r="E21" s="2006">
        <v>0.24</v>
      </c>
      <c r="F21" s="2006">
        <v>7.0000000000000007E-2</v>
      </c>
      <c r="G21" s="2006">
        <v>1.17</v>
      </c>
      <c r="H21" s="2917">
        <v>0.55000000000000004</v>
      </c>
      <c r="I21" s="2007">
        <f t="shared" si="87"/>
        <v>7.0000000000000007E-2</v>
      </c>
      <c r="J21" s="2906"/>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6"/>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6"/>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4" customFormat="1" ht="12.75">
      <c r="A22" s="2905" t="s">
        <v>2822</v>
      </c>
      <c r="B22" s="2030">
        <v>2021</v>
      </c>
      <c r="C22" s="2041">
        <v>3</v>
      </c>
      <c r="D22" s="2006">
        <v>0.47</v>
      </c>
      <c r="E22" s="2006">
        <v>0.41</v>
      </c>
      <c r="F22" s="2006">
        <v>0.24</v>
      </c>
      <c r="G22" s="2006">
        <v>0.48</v>
      </c>
      <c r="H22" s="2917">
        <v>0.48</v>
      </c>
      <c r="I22" s="2007">
        <f t="shared" si="87"/>
        <v>0.24</v>
      </c>
      <c r="J22" s="2906"/>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6"/>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6"/>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4" customFormat="1" ht="12.75">
      <c r="A23" s="2905" t="s">
        <v>2823</v>
      </c>
      <c r="B23" s="2030">
        <v>2021</v>
      </c>
      <c r="C23" s="2041">
        <v>2</v>
      </c>
      <c r="D23" s="2006">
        <v>0.92</v>
      </c>
      <c r="E23" s="2006">
        <v>0.72</v>
      </c>
      <c r="F23" s="2006">
        <v>0.41</v>
      </c>
      <c r="G23" s="2006">
        <v>0.95</v>
      </c>
      <c r="H23" s="2917">
        <v>1.01</v>
      </c>
      <c r="I23" s="2007">
        <f t="shared" si="87"/>
        <v>0.41</v>
      </c>
      <c r="J23" s="2906"/>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6"/>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6"/>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4.25" thickBot="1">
      <c r="A24" s="2918" t="s">
        <v>2824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4.25" thickTop="1"/>
    <row r="26" spans="1:44">
      <c r="A26" s="3143" t="s">
        <v>3381</v>
      </c>
    </row>
    <row r="27" spans="1:44">
      <c r="I27" s="1405" t="s">
        <v>2825</v>
      </c>
    </row>
    <row r="29" spans="1:44" s="2008" customFormat="1" ht="12.75">
      <c r="B29" s="2929" t="s">
        <v>3379</v>
      </c>
      <c r="C29" s="2930"/>
      <c r="D29" s="2930"/>
      <c r="E29" s="2930"/>
      <c r="F29" s="2930"/>
      <c r="G29" s="2930"/>
      <c r="H29" s="2930"/>
      <c r="I29" s="2930"/>
      <c r="J29" s="2896"/>
      <c r="K29" s="2930" t="s">
        <v>2826</v>
      </c>
      <c r="L29" s="2930"/>
      <c r="M29" s="2930"/>
      <c r="N29" s="2930"/>
      <c r="O29" s="2930"/>
      <c r="P29" s="2930"/>
      <c r="Q29" s="2896"/>
      <c r="R29" s="3482" t="s">
        <v>2827</v>
      </c>
      <c r="S29" s="3483"/>
      <c r="T29" s="3483"/>
      <c r="U29" s="3483"/>
      <c r="V29" s="3483"/>
      <c r="W29" s="3483"/>
      <c r="X29" s="2896"/>
      <c r="Y29" s="3482" t="s">
        <v>2828</v>
      </c>
      <c r="Z29" s="3483"/>
      <c r="AA29" s="3483"/>
      <c r="AB29" s="3483"/>
      <c r="AC29" s="3483"/>
      <c r="AD29" s="3483"/>
    </row>
    <row r="30" spans="1:44" s="2009" customFormat="1" ht="14.25" thickBot="1">
      <c r="B30" s="2881"/>
      <c r="C30" s="2882"/>
      <c r="D30" s="2010" t="s">
        <v>2829</v>
      </c>
      <c r="E30" s="2011" t="s">
        <v>2830</v>
      </c>
      <c r="F30" s="2011" t="s">
        <v>2831</v>
      </c>
      <c r="G30" s="2011" t="s">
        <v>2832</v>
      </c>
      <c r="H30" s="2011"/>
      <c r="I30" s="2011" t="s">
        <v>2833</v>
      </c>
      <c r="J30" s="2883"/>
      <c r="K30" s="2010" t="s">
        <v>2829</v>
      </c>
      <c r="L30" s="2011" t="s">
        <v>2830</v>
      </c>
      <c r="M30" s="2011" t="s">
        <v>2831</v>
      </c>
      <c r="N30" s="2011" t="s">
        <v>2832</v>
      </c>
      <c r="O30" s="2011"/>
      <c r="P30" s="2011" t="s">
        <v>2833</v>
      </c>
      <c r="Q30" s="2883"/>
      <c r="R30" s="2010" t="s">
        <v>2829</v>
      </c>
      <c r="S30" s="2011" t="s">
        <v>2830</v>
      </c>
      <c r="T30" s="2011" t="s">
        <v>2831</v>
      </c>
      <c r="U30" s="2011" t="s">
        <v>2832</v>
      </c>
      <c r="V30" s="2011"/>
      <c r="W30" s="2011" t="s">
        <v>2833</v>
      </c>
      <c r="X30" s="2883"/>
      <c r="Y30" s="2010" t="s">
        <v>2829</v>
      </c>
      <c r="Z30" s="2011" t="s">
        <v>2830</v>
      </c>
      <c r="AA30" s="2011" t="s">
        <v>2831</v>
      </c>
      <c r="AB30" s="2011" t="s">
        <v>2832</v>
      </c>
      <c r="AC30" s="2011"/>
      <c r="AD30" s="2011" t="s">
        <v>2833</v>
      </c>
      <c r="AG30" t="s">
        <v>673</v>
      </c>
      <c r="AH30" t="s">
        <v>21</v>
      </c>
      <c r="AI30" t="s">
        <v>3406</v>
      </c>
      <c r="AJ30"/>
      <c r="AK30" t="s">
        <v>3407</v>
      </c>
      <c r="AN30" t="s">
        <v>673</v>
      </c>
      <c r="AO30" t="s">
        <v>21</v>
      </c>
      <c r="AP30" t="s">
        <v>3406</v>
      </c>
      <c r="AQ30"/>
      <c r="AR30" t="s">
        <v>3407</v>
      </c>
    </row>
    <row r="31" spans="1:44" s="2886" customFormat="1" ht="12.75">
      <c r="A31" s="2884" t="s">
        <v>2834</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8" customFormat="1" ht="12.75">
      <c r="B32" s="2024"/>
      <c r="J32" s="2896"/>
      <c r="K32" s="2897"/>
      <c r="L32" s="2898"/>
      <c r="M32" s="2898"/>
      <c r="N32" s="2898"/>
      <c r="O32" s="2898"/>
      <c r="P32" s="2898"/>
      <c r="Q32" s="2896"/>
      <c r="R32" s="2026"/>
      <c r="S32" s="2899"/>
      <c r="T32" s="2900"/>
      <c r="U32" s="2026"/>
      <c r="V32" s="2901"/>
      <c r="W32" s="2026"/>
      <c r="X32" s="2896"/>
      <c r="Y32" s="2027"/>
      <c r="Z32" s="2902"/>
      <c r="AA32" s="2903"/>
      <c r="AB32" s="2027"/>
      <c r="AC32" s="2904"/>
      <c r="AD32" s="2027"/>
    </row>
    <row r="33" spans="1:44" s="2044" customFormat="1">
      <c r="A33" s="2039" t="s">
        <v>3404</v>
      </c>
      <c r="B33" s="2030">
        <v>2025</v>
      </c>
      <c r="C33" s="2041">
        <v>4</v>
      </c>
      <c r="D33" s="2006"/>
      <c r="E33" s="2006">
        <v>0</v>
      </c>
      <c r="F33" s="2006">
        <v>0</v>
      </c>
      <c r="G33" s="2006">
        <v>0</v>
      </c>
      <c r="H33" s="2006"/>
      <c r="I33" s="2007">
        <f t="shared" ref="I33" si="119">F33</f>
        <v>0</v>
      </c>
      <c r="J33" s="2906"/>
      <c r="K33" s="2042"/>
      <c r="L33" s="2027">
        <f t="shared" ref="L33" si="120">E33/100</f>
        <v>0</v>
      </c>
      <c r="M33" s="2027">
        <f t="shared" ref="M33" si="121">F33/100</f>
        <v>0</v>
      </c>
      <c r="N33" s="2027">
        <f t="shared" ref="N33" si="122">G33/100</f>
        <v>0</v>
      </c>
      <c r="O33" s="2027"/>
      <c r="P33" s="2027">
        <f t="shared" ref="P33:P39" si="123">M33</f>
        <v>0</v>
      </c>
      <c r="Q33" s="2906"/>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6"/>
      <c r="Y33" s="2027"/>
      <c r="Z33" s="2902">
        <f t="shared" ref="Z33" si="125">IF(E33=0,0,ROUND(AVERAGE(E33:E46)/100,4))</f>
        <v>0</v>
      </c>
      <c r="AA33" s="2902">
        <f t="shared" ref="AA33" si="126">IF(F33=0,0,ROUND(AVERAGE(F33:F46)/100,4))</f>
        <v>0</v>
      </c>
      <c r="AB33" s="2902">
        <f t="shared" ref="AB33" si="127">IF(G33=0,0,ROUND(AVERAGE(G33:G46)/100,4))</f>
        <v>0</v>
      </c>
      <c r="AC33" s="2904"/>
      <c r="AD33" s="2027">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4" customFormat="1" ht="12.75">
      <c r="A34" s="2039" t="s">
        <v>3403</v>
      </c>
      <c r="B34" s="2030">
        <v>2025</v>
      </c>
      <c r="C34" s="2041">
        <v>3</v>
      </c>
      <c r="D34" s="2006"/>
      <c r="E34" s="2006">
        <v>0</v>
      </c>
      <c r="F34" s="2006">
        <v>0</v>
      </c>
      <c r="G34" s="2006">
        <v>0</v>
      </c>
      <c r="H34" s="2006"/>
      <c r="I34" s="2007">
        <f t="shared" ref="I34" si="133">F34</f>
        <v>0</v>
      </c>
      <c r="J34" s="2906"/>
      <c r="K34" s="2042"/>
      <c r="L34" s="2027">
        <f t="shared" ref="L34" si="134">E34/100</f>
        <v>0</v>
      </c>
      <c r="M34" s="2027">
        <f t="shared" ref="M34" si="135">F34/100</f>
        <v>0</v>
      </c>
      <c r="N34" s="2027">
        <f t="shared" ref="N34" si="136">G34/100</f>
        <v>0</v>
      </c>
      <c r="O34" s="2027"/>
      <c r="P34" s="2027">
        <f t="shared" si="123"/>
        <v>0</v>
      </c>
      <c r="Q34" s="2906"/>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6"/>
      <c r="Y34" s="2027"/>
      <c r="Z34" s="2902">
        <f t="shared" ref="Z34" si="137">IF(E34=0,0,ROUND(AVERAGE(E34:E47)/100,4))</f>
        <v>0</v>
      </c>
      <c r="AA34" s="2902">
        <f t="shared" ref="AA34" si="138">IF(F34=0,0,ROUND(AVERAGE(F34:F47)/100,4))</f>
        <v>0</v>
      </c>
      <c r="AB34" s="2902">
        <f t="shared" ref="AB34" si="139">IF(G34=0,0,ROUND(AVERAGE(G34:G47)/100,4))</f>
        <v>0</v>
      </c>
      <c r="AC34" s="2904"/>
      <c r="AD34" s="2027">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2.75">
      <c r="A35" s="2907" t="s">
        <v>3411</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4" customFormat="1" ht="12.75">
      <c r="A36" s="2039" t="s">
        <v>3408</v>
      </c>
      <c r="B36" s="2030">
        <v>2025</v>
      </c>
      <c r="C36" s="2041">
        <v>1</v>
      </c>
      <c r="D36" s="2006"/>
      <c r="E36" s="2006">
        <v>-1.47</v>
      </c>
      <c r="F36" s="2006">
        <v>-0.98</v>
      </c>
      <c r="G36" s="2006">
        <v>-0.51</v>
      </c>
      <c r="H36" s="2006"/>
      <c r="I36" s="2007">
        <f t="shared" ref="I36" si="152">F36</f>
        <v>-0.98</v>
      </c>
      <c r="J36" s="2906"/>
      <c r="K36" s="2042"/>
      <c r="L36" s="2027">
        <f t="shared" ref="L36" si="153">E36/100</f>
        <v>-1.47E-2</v>
      </c>
      <c r="M36" s="2027">
        <f t="shared" ref="M36" si="154">F36/100</f>
        <v>-9.7999999999999997E-3</v>
      </c>
      <c r="N36" s="2027">
        <f t="shared" ref="N36" si="155">G36/100</f>
        <v>-5.1000000000000004E-3</v>
      </c>
      <c r="O36" s="2027"/>
      <c r="P36" s="2027">
        <f t="shared" si="123"/>
        <v>-9.7999999999999997E-3</v>
      </c>
      <c r="Q36" s="2906"/>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6"/>
      <c r="Y36" s="2027"/>
      <c r="Z36" s="2902">
        <f t="shared" ref="Z36" si="156">IF(E36=0,0,ROUND(AVERAGE(E36:E49)/100,4))</f>
        <v>4.0000000000000002E-4</v>
      </c>
      <c r="AA36" s="2902">
        <f t="shared" ref="AA36" si="157">IF(F36=0,0,ROUND(AVERAGE(F36:F49)/100,4))</f>
        <v>0</v>
      </c>
      <c r="AB36" s="2902">
        <f t="shared" ref="AB36" si="158">IF(G36=0,0,ROUND(AVERAGE(G36:G49)/100,4))</f>
        <v>1E-3</v>
      </c>
      <c r="AC36" s="2904"/>
      <c r="AD36" s="2027">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4" customFormat="1" ht="12.75">
      <c r="A37" s="2039" t="s">
        <v>3409</v>
      </c>
      <c r="B37" s="2030">
        <v>2024</v>
      </c>
      <c r="C37" s="2041">
        <v>4</v>
      </c>
      <c r="D37" s="2006"/>
      <c r="E37" s="2006">
        <v>-0.61</v>
      </c>
      <c r="F37" s="2006">
        <v>-0.71</v>
      </c>
      <c r="G37" s="2006">
        <v>-0.88</v>
      </c>
      <c r="H37" s="2006"/>
      <c r="I37" s="2007">
        <f t="shared" ref="I37" si="162">F37</f>
        <v>-0.71</v>
      </c>
      <c r="J37" s="2906"/>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6"/>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6"/>
      <c r="Y37" s="2027"/>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7">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4" customFormat="1" ht="12.75">
      <c r="A38" s="2039" t="s">
        <v>3373</v>
      </c>
      <c r="B38" s="2030">
        <v>2024</v>
      </c>
      <c r="C38" s="2041">
        <v>3</v>
      </c>
      <c r="D38" s="2006"/>
      <c r="E38" s="2006">
        <v>-0.66</v>
      </c>
      <c r="F38" s="2006">
        <v>-0.52</v>
      </c>
      <c r="G38" s="2006">
        <v>-2.87</v>
      </c>
      <c r="H38" s="2006"/>
      <c r="I38" s="2007">
        <f t="shared" ref="I38" si="169">F38</f>
        <v>-0.52</v>
      </c>
      <c r="J38" s="2906"/>
      <c r="K38" s="2042"/>
      <c r="L38" s="2027">
        <f t="shared" ref="L38" si="170">E38/100</f>
        <v>-6.6E-3</v>
      </c>
      <c r="M38" s="2027">
        <f t="shared" ref="M38" si="171">F38/100</f>
        <v>-5.1999999999999998E-3</v>
      </c>
      <c r="N38" s="2027">
        <f t="shared" ref="N38" si="172">G38/100</f>
        <v>-2.87E-2</v>
      </c>
      <c r="O38" s="2027"/>
      <c r="P38" s="2027">
        <f t="shared" si="123"/>
        <v>-5.1999999999999998E-3</v>
      </c>
      <c r="Q38" s="2906"/>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6"/>
      <c r="Y38" s="2027"/>
      <c r="Z38" s="2902">
        <f t="shared" ref="Z38:AB39" si="173">IF(E38=0,0,ROUND(AVERAGE(E38:E51)/100,4))</f>
        <v>2.5999999999999999E-3</v>
      </c>
      <c r="AA38" s="2902">
        <f t="shared" si="173"/>
        <v>1.6999999999999999E-3</v>
      </c>
      <c r="AB38" s="2902">
        <f t="shared" si="173"/>
        <v>3.3999999999999998E-3</v>
      </c>
      <c r="AC38" s="2904"/>
      <c r="AD38" s="2027">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4" customFormat="1" ht="12.75">
      <c r="A39" s="2905" t="s">
        <v>3377</v>
      </c>
      <c r="B39" s="2030">
        <v>2024</v>
      </c>
      <c r="C39" s="2041">
        <v>2</v>
      </c>
      <c r="D39" s="2006"/>
      <c r="E39" s="2006">
        <v>-0.31</v>
      </c>
      <c r="F39" s="2006">
        <v>-0.39</v>
      </c>
      <c r="G39" s="2006">
        <v>1.23</v>
      </c>
      <c r="H39" s="2917"/>
      <c r="I39" s="2007">
        <f t="shared" ref="I39:I52" si="174">F39</f>
        <v>-0.39</v>
      </c>
      <c r="J39" s="2906"/>
      <c r="K39" s="2042"/>
      <c r="L39" s="2027">
        <f t="shared" ref="L39:N52" si="175">E39/100</f>
        <v>-3.0999999999999999E-3</v>
      </c>
      <c r="M39" s="2027">
        <f t="shared" si="175"/>
        <v>-3.9000000000000003E-3</v>
      </c>
      <c r="N39" s="2027">
        <f t="shared" si="175"/>
        <v>1.23E-2</v>
      </c>
      <c r="O39" s="2027"/>
      <c r="P39" s="2027">
        <f t="shared" si="123"/>
        <v>-3.9000000000000003E-3</v>
      </c>
      <c r="Q39" s="2906"/>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6"/>
      <c r="Y39" s="2027"/>
      <c r="Z39" s="2902">
        <f t="shared" si="173"/>
        <v>3.3E-3</v>
      </c>
      <c r="AA39" s="2903">
        <f t="shared" si="173"/>
        <v>2.3999999999999998E-3</v>
      </c>
      <c r="AB39" s="2027">
        <f t="shared" si="173"/>
        <v>6.1999999999999998E-3</v>
      </c>
      <c r="AC39" s="2904"/>
      <c r="AD39" s="2027">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4" customFormat="1" ht="12.75">
      <c r="A40" s="2905" t="s">
        <v>3374</v>
      </c>
      <c r="B40" s="2030">
        <v>2024</v>
      </c>
      <c r="C40" s="2041">
        <v>1</v>
      </c>
      <c r="D40" s="2006"/>
      <c r="E40" s="2006">
        <v>0.25</v>
      </c>
      <c r="F40" s="2006">
        <v>0.4</v>
      </c>
      <c r="G40" s="2006">
        <v>-0.63</v>
      </c>
      <c r="H40" s="2917"/>
      <c r="I40" s="2007">
        <f t="shared" ref="I40:I41" si="176">F40</f>
        <v>0.4</v>
      </c>
      <c r="J40" s="2906"/>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6"/>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6"/>
      <c r="Y40" s="2027"/>
      <c r="Z40" s="2902"/>
      <c r="AA40" s="2903"/>
      <c r="AB40" s="2027"/>
      <c r="AC40" s="2904"/>
      <c r="AD40" s="2027"/>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4" customFormat="1" ht="12.75">
      <c r="A41" s="2905" t="s">
        <v>3372</v>
      </c>
      <c r="B41" s="2030">
        <v>2023</v>
      </c>
      <c r="C41" s="2041">
        <v>4</v>
      </c>
      <c r="D41" s="2006"/>
      <c r="E41" s="2006">
        <v>7.0000000000000007E-2</v>
      </c>
      <c r="F41" s="2006">
        <v>0.09</v>
      </c>
      <c r="G41" s="2006">
        <v>0.03</v>
      </c>
      <c r="H41" s="2917"/>
      <c r="I41" s="2007">
        <f t="shared" si="176"/>
        <v>0.09</v>
      </c>
      <c r="J41" s="2906"/>
      <c r="K41" s="2042"/>
      <c r="L41" s="2027">
        <f t="shared" si="175"/>
        <v>7.000000000000001E-4</v>
      </c>
      <c r="M41" s="2027">
        <f t="shared" si="175"/>
        <v>8.9999999999999998E-4</v>
      </c>
      <c r="N41" s="2027">
        <f t="shared" si="175"/>
        <v>2.9999999999999997E-4</v>
      </c>
      <c r="O41" s="2027"/>
      <c r="P41" s="2027">
        <f t="shared" ref="P41" si="182">M41</f>
        <v>8.9999999999999998E-4</v>
      </c>
      <c r="Q41" s="2906"/>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6"/>
      <c r="Y41" s="2027"/>
      <c r="Z41" s="2902"/>
      <c r="AA41" s="2903"/>
      <c r="AB41" s="2027"/>
      <c r="AC41" s="2904"/>
      <c r="AD41" s="2027"/>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4" customFormat="1" ht="12.75">
      <c r="A42" s="2905" t="s">
        <v>3370</v>
      </c>
      <c r="B42" s="2030">
        <v>2023</v>
      </c>
      <c r="C42" s="2041">
        <v>3</v>
      </c>
      <c r="D42" s="2006"/>
      <c r="E42" s="2006">
        <v>0.35</v>
      </c>
      <c r="F42" s="2006">
        <v>0.17</v>
      </c>
      <c r="G42" s="2006">
        <v>0.52</v>
      </c>
      <c r="H42" s="2917"/>
      <c r="I42" s="2007">
        <f t="shared" si="174"/>
        <v>0.17</v>
      </c>
      <c r="J42" s="2906"/>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6"/>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6"/>
      <c r="Y42" s="2027"/>
      <c r="Z42" s="2902"/>
      <c r="AA42" s="2903"/>
      <c r="AB42" s="2027"/>
      <c r="AC42" s="2904"/>
      <c r="AD42" s="2027"/>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4" customFormat="1" ht="12.75">
      <c r="A43" s="2905" t="s">
        <v>3369</v>
      </c>
      <c r="B43" s="2030">
        <v>2023</v>
      </c>
      <c r="C43" s="2041">
        <v>2</v>
      </c>
      <c r="D43" s="2006"/>
      <c r="E43" s="2006">
        <v>0.5</v>
      </c>
      <c r="F43" s="2006">
        <v>0.45</v>
      </c>
      <c r="G43" s="2006">
        <v>0.89</v>
      </c>
      <c r="H43" s="2917"/>
      <c r="I43" s="2007">
        <f t="shared" si="174"/>
        <v>0.45</v>
      </c>
      <c r="J43" s="2906"/>
      <c r="K43" s="2042"/>
      <c r="L43" s="2027">
        <f t="shared" si="184"/>
        <v>5.0000000000000001E-3</v>
      </c>
      <c r="M43" s="2027">
        <f t="shared" si="185"/>
        <v>4.5000000000000005E-3</v>
      </c>
      <c r="N43" s="2027">
        <f t="shared" si="186"/>
        <v>8.8999999999999999E-3</v>
      </c>
      <c r="O43" s="2027"/>
      <c r="P43" s="2027">
        <f t="shared" si="187"/>
        <v>4.5000000000000005E-3</v>
      </c>
      <c r="Q43" s="2906"/>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6"/>
      <c r="Y43" s="2027"/>
      <c r="Z43" s="2902"/>
      <c r="AA43" s="2903"/>
      <c r="AB43" s="2027"/>
      <c r="AC43" s="2904"/>
      <c r="AD43" s="2027"/>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4" customFormat="1" ht="12.75">
      <c r="A44" s="2905" t="s">
        <v>3367</v>
      </c>
      <c r="B44" s="2030">
        <v>2023</v>
      </c>
      <c r="C44" s="2041">
        <v>1</v>
      </c>
      <c r="D44" s="2006"/>
      <c r="E44" s="2006">
        <v>0.55000000000000004</v>
      </c>
      <c r="F44" s="2006">
        <v>0.59</v>
      </c>
      <c r="G44" s="2006">
        <v>0.64</v>
      </c>
      <c r="H44" s="2917"/>
      <c r="I44" s="2007">
        <f t="shared" si="174"/>
        <v>0.59</v>
      </c>
      <c r="J44" s="2906"/>
      <c r="K44" s="2042"/>
      <c r="L44" s="2027">
        <f t="shared" si="184"/>
        <v>5.5000000000000005E-3</v>
      </c>
      <c r="M44" s="2027">
        <f t="shared" si="185"/>
        <v>5.8999999999999999E-3</v>
      </c>
      <c r="N44" s="2027">
        <f t="shared" si="186"/>
        <v>6.4000000000000003E-3</v>
      </c>
      <c r="O44" s="2027"/>
      <c r="P44" s="2027">
        <f t="shared" si="187"/>
        <v>5.8999999999999999E-3</v>
      </c>
      <c r="Q44" s="2906"/>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6"/>
      <c r="Y44" s="2027"/>
      <c r="Z44" s="2902"/>
      <c r="AA44" s="2903"/>
      <c r="AB44" s="2027"/>
      <c r="AC44" s="2904"/>
      <c r="AD44" s="2027"/>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4" customFormat="1" ht="12.75">
      <c r="A45" s="2905" t="s">
        <v>3366</v>
      </c>
      <c r="B45" s="2030">
        <v>2022</v>
      </c>
      <c r="C45" s="2041">
        <v>4</v>
      </c>
      <c r="D45" s="2006"/>
      <c r="E45" s="2006">
        <v>0.45</v>
      </c>
      <c r="F45" s="2006">
        <v>0.2</v>
      </c>
      <c r="G45" s="2006">
        <v>0.38</v>
      </c>
      <c r="H45" s="2917"/>
      <c r="I45" s="2007">
        <f t="shared" si="174"/>
        <v>0.2</v>
      </c>
      <c r="J45" s="2906"/>
      <c r="K45" s="2042"/>
      <c r="L45" s="2027">
        <f t="shared" si="175"/>
        <v>4.5000000000000005E-3</v>
      </c>
      <c r="M45" s="2027">
        <f t="shared" si="175"/>
        <v>2E-3</v>
      </c>
      <c r="N45" s="2027">
        <f t="shared" si="175"/>
        <v>3.8E-3</v>
      </c>
      <c r="O45" s="2027"/>
      <c r="P45" s="2027">
        <f t="shared" ref="P45:P52" si="189">M45</f>
        <v>2E-3</v>
      </c>
      <c r="Q45" s="2906"/>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6"/>
      <c r="Y45" s="2027"/>
      <c r="Z45" s="2902">
        <f t="shared" ref="Z45:AD52" si="191">IF(E45=0,0,ROUND(AVERAGE(E45:E53)/100,4))</f>
        <v>4.0000000000000001E-3</v>
      </c>
      <c r="AA45" s="2903">
        <f t="shared" si="191"/>
        <v>2.5999999999999999E-3</v>
      </c>
      <c r="AB45" s="2027">
        <f t="shared" si="191"/>
        <v>7.4000000000000003E-3</v>
      </c>
      <c r="AC45" s="2904"/>
      <c r="AD45" s="2027">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4" customFormat="1" ht="12.75">
      <c r="A46" s="2905" t="s">
        <v>3365</v>
      </c>
      <c r="B46" s="2030">
        <v>2022</v>
      </c>
      <c r="C46" s="2041">
        <v>3</v>
      </c>
      <c r="D46" s="2006"/>
      <c r="E46" s="2006">
        <v>0.3</v>
      </c>
      <c r="F46" s="2006">
        <v>0.28999999999999998</v>
      </c>
      <c r="G46" s="2006">
        <v>0.83</v>
      </c>
      <c r="H46" s="2917"/>
      <c r="I46" s="2007">
        <f t="shared" si="174"/>
        <v>0.28999999999999998</v>
      </c>
      <c r="J46" s="2906"/>
      <c r="K46" s="2042"/>
      <c r="L46" s="2027">
        <f t="shared" si="175"/>
        <v>3.0000000000000001E-3</v>
      </c>
      <c r="M46" s="2027">
        <f t="shared" si="175"/>
        <v>2.8999999999999998E-3</v>
      </c>
      <c r="N46" s="2027">
        <f t="shared" si="175"/>
        <v>8.3000000000000001E-3</v>
      </c>
      <c r="O46" s="2027"/>
      <c r="P46" s="2027">
        <f t="shared" si="189"/>
        <v>2.8999999999999998E-3</v>
      </c>
      <c r="Q46" s="2906"/>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6"/>
      <c r="Y46" s="2027"/>
      <c r="Z46" s="2902">
        <f t="shared" si="191"/>
        <v>3.8999999999999998E-3</v>
      </c>
      <c r="AA46" s="2903">
        <f t="shared" si="191"/>
        <v>2.7000000000000001E-3</v>
      </c>
      <c r="AB46" s="2027">
        <f t="shared" si="191"/>
        <v>7.9000000000000008E-3</v>
      </c>
      <c r="AC46" s="2904"/>
      <c r="AD46" s="2027">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4" customFormat="1" ht="12.75">
      <c r="A47" s="2905" t="s">
        <v>3355</v>
      </c>
      <c r="B47" s="2030">
        <v>2022</v>
      </c>
      <c r="C47" s="2041">
        <v>2</v>
      </c>
      <c r="D47" s="2006"/>
      <c r="E47" s="2006">
        <v>-0.11</v>
      </c>
      <c r="F47" s="2006">
        <v>-0.13</v>
      </c>
      <c r="G47" s="2006">
        <v>0.53</v>
      </c>
      <c r="H47" s="2917"/>
      <c r="I47" s="2007">
        <f t="shared" si="174"/>
        <v>-0.13</v>
      </c>
      <c r="J47" s="2906"/>
      <c r="K47" s="2042"/>
      <c r="L47" s="2027">
        <f t="shared" si="175"/>
        <v>-1.1000000000000001E-3</v>
      </c>
      <c r="M47" s="2027">
        <f t="shared" si="175"/>
        <v>-1.2999999999999999E-3</v>
      </c>
      <c r="N47" s="2027">
        <f t="shared" si="175"/>
        <v>5.3E-3</v>
      </c>
      <c r="O47" s="2027"/>
      <c r="P47" s="2027">
        <f t="shared" si="189"/>
        <v>-1.2999999999999999E-3</v>
      </c>
      <c r="Q47" s="2906"/>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6"/>
      <c r="Y47" s="2027"/>
      <c r="Z47" s="2902">
        <f t="shared" si="191"/>
        <v>4.1000000000000003E-3</v>
      </c>
      <c r="AA47" s="2903">
        <f t="shared" si="191"/>
        <v>2.7000000000000001E-3</v>
      </c>
      <c r="AB47" s="2027">
        <f t="shared" si="191"/>
        <v>7.9000000000000008E-3</v>
      </c>
      <c r="AC47" s="2904"/>
      <c r="AD47" s="2027">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4" customFormat="1" ht="12.75">
      <c r="A48" s="2905" t="s">
        <v>2835</v>
      </c>
      <c r="B48" s="2030">
        <v>2022</v>
      </c>
      <c r="C48" s="2041">
        <v>1</v>
      </c>
      <c r="D48" s="2006"/>
      <c r="E48" s="2006">
        <v>0.6</v>
      </c>
      <c r="F48" s="2006">
        <v>0.45</v>
      </c>
      <c r="G48" s="2006">
        <v>0.53</v>
      </c>
      <c r="H48" s="2917"/>
      <c r="I48" s="2007">
        <f t="shared" si="174"/>
        <v>0.45</v>
      </c>
      <c r="J48" s="2906"/>
      <c r="K48" s="2042"/>
      <c r="L48" s="2027">
        <f t="shared" si="175"/>
        <v>6.0000000000000001E-3</v>
      </c>
      <c r="M48" s="2027">
        <f t="shared" si="175"/>
        <v>4.5000000000000005E-3</v>
      </c>
      <c r="N48" s="2027">
        <f t="shared" si="175"/>
        <v>5.3E-3</v>
      </c>
      <c r="O48" s="2027"/>
      <c r="P48" s="2027">
        <f t="shared" si="189"/>
        <v>4.5000000000000005E-3</v>
      </c>
      <c r="Q48" s="2906"/>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6"/>
      <c r="Y48" s="2027"/>
      <c r="Z48" s="2902">
        <f t="shared" si="191"/>
        <v>5.1000000000000004E-3</v>
      </c>
      <c r="AA48" s="2903">
        <f t="shared" si="191"/>
        <v>3.5000000000000001E-3</v>
      </c>
      <c r="AB48" s="2027">
        <f t="shared" si="191"/>
        <v>8.3999999999999995E-3</v>
      </c>
      <c r="AC48" s="2904"/>
      <c r="AD48" s="2027">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4" customFormat="1" ht="12.75">
      <c r="A49" s="2905" t="s">
        <v>2836</v>
      </c>
      <c r="B49" s="2030">
        <v>2021</v>
      </c>
      <c r="C49" s="2041">
        <v>4</v>
      </c>
      <c r="D49" s="2006"/>
      <c r="E49" s="2006">
        <v>0.57999999999999996</v>
      </c>
      <c r="F49" s="2006">
        <v>0.08</v>
      </c>
      <c r="G49" s="2006">
        <v>0.68</v>
      </c>
      <c r="H49" s="2917"/>
      <c r="I49" s="2007">
        <f t="shared" si="174"/>
        <v>0.08</v>
      </c>
      <c r="J49" s="2906"/>
      <c r="K49" s="2042"/>
      <c r="L49" s="2027">
        <f t="shared" si="175"/>
        <v>5.7999999999999996E-3</v>
      </c>
      <c r="M49" s="2027">
        <f t="shared" si="175"/>
        <v>8.0000000000000004E-4</v>
      </c>
      <c r="N49" s="2027">
        <f t="shared" si="175"/>
        <v>6.8000000000000005E-3</v>
      </c>
      <c r="O49" s="2027"/>
      <c r="P49" s="2027">
        <f t="shared" si="189"/>
        <v>8.0000000000000004E-4</v>
      </c>
      <c r="Q49" s="2906"/>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6"/>
      <c r="Y49" s="2027"/>
      <c r="Z49" s="2902">
        <f t="shared" si="191"/>
        <v>4.8999999999999998E-3</v>
      </c>
      <c r="AA49" s="2903">
        <f t="shared" si="191"/>
        <v>3.3E-3</v>
      </c>
      <c r="AB49" s="2027">
        <f t="shared" si="191"/>
        <v>9.1999999999999998E-3</v>
      </c>
      <c r="AC49" s="2904"/>
      <c r="AD49" s="2027">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4" customFormat="1" ht="12.75">
      <c r="A50" s="2905" t="s">
        <v>2837</v>
      </c>
      <c r="B50" s="2030">
        <v>2021</v>
      </c>
      <c r="C50" s="2041">
        <v>3</v>
      </c>
      <c r="D50" s="2006"/>
      <c r="E50" s="2006">
        <v>0.47</v>
      </c>
      <c r="F50" s="2006">
        <v>0.28000000000000003</v>
      </c>
      <c r="G50" s="2006">
        <v>0.91</v>
      </c>
      <c r="H50" s="2917"/>
      <c r="I50" s="2007">
        <f t="shared" si="174"/>
        <v>0.28000000000000003</v>
      </c>
      <c r="J50" s="2906"/>
      <c r="K50" s="2042"/>
      <c r="L50" s="2027">
        <f t="shared" si="175"/>
        <v>4.6999999999999993E-3</v>
      </c>
      <c r="M50" s="2027">
        <f t="shared" si="175"/>
        <v>2.8000000000000004E-3</v>
      </c>
      <c r="N50" s="2027">
        <f t="shared" si="175"/>
        <v>9.1000000000000004E-3</v>
      </c>
      <c r="O50" s="2027"/>
      <c r="P50" s="2027">
        <f t="shared" si="189"/>
        <v>2.8000000000000004E-3</v>
      </c>
      <c r="Q50" s="2906"/>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6"/>
      <c r="Y50" s="2027"/>
      <c r="Z50" s="2902">
        <f t="shared" si="191"/>
        <v>4.5999999999999999E-3</v>
      </c>
      <c r="AA50" s="2903">
        <f t="shared" si="191"/>
        <v>4.1000000000000003E-3</v>
      </c>
      <c r="AB50" s="2027">
        <f t="shared" si="191"/>
        <v>0.01</v>
      </c>
      <c r="AC50" s="2904"/>
      <c r="AD50" s="2027">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4" customFormat="1" ht="12.75">
      <c r="A51" s="2905" t="s">
        <v>2838</v>
      </c>
      <c r="B51" s="2030">
        <v>2021</v>
      </c>
      <c r="C51" s="2041">
        <v>2</v>
      </c>
      <c r="D51" s="2006"/>
      <c r="E51" s="2006">
        <v>0.55000000000000004</v>
      </c>
      <c r="F51" s="2006">
        <v>0.46</v>
      </c>
      <c r="G51" s="2006">
        <v>1.1000000000000001</v>
      </c>
      <c r="H51" s="2917"/>
      <c r="I51" s="2007">
        <f t="shared" si="174"/>
        <v>0.46</v>
      </c>
      <c r="J51" s="2906"/>
      <c r="K51" s="2042"/>
      <c r="L51" s="2027">
        <f t="shared" si="175"/>
        <v>5.5000000000000005E-3</v>
      </c>
      <c r="M51" s="2027">
        <f t="shared" si="175"/>
        <v>4.5999999999999999E-3</v>
      </c>
      <c r="N51" s="2027">
        <f t="shared" si="175"/>
        <v>1.1000000000000001E-2</v>
      </c>
      <c r="O51" s="2027"/>
      <c r="P51" s="2027">
        <f t="shared" si="189"/>
        <v>4.5999999999999999E-3</v>
      </c>
      <c r="Q51" s="2906"/>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6"/>
      <c r="Y51" s="2027"/>
      <c r="Z51" s="2902">
        <f t="shared" si="191"/>
        <v>4.4999999999999997E-3</v>
      </c>
      <c r="AA51" s="2903">
        <f t="shared" si="191"/>
        <v>4.7000000000000002E-3</v>
      </c>
      <c r="AB51" s="2027">
        <f t="shared" si="191"/>
        <v>1.04E-2</v>
      </c>
      <c r="AC51" s="2904"/>
      <c r="AD51" s="2027">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4.25" thickBot="1">
      <c r="A52" s="2918" t="s">
        <v>2824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4.25" thickTop="1"/>
    <row r="54" spans="1:44">
      <c r="A54" s="3143"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87" t="s">
        <v>452</v>
      </c>
      <c r="C1" s="3487"/>
      <c r="D1" s="3487"/>
      <c r="E1" s="3487"/>
      <c r="F1" s="3487"/>
      <c r="G1" s="3483" t="s">
        <v>453</v>
      </c>
      <c r="H1" s="3483"/>
      <c r="I1" s="3483"/>
      <c r="J1" s="3483"/>
      <c r="K1" s="3483"/>
      <c r="L1" s="3483"/>
      <c r="N1" s="3483" t="s">
        <v>454</v>
      </c>
      <c r="O1" s="3483"/>
      <c r="P1" s="3483"/>
      <c r="Q1" s="3483"/>
      <c r="S1" s="3483" t="s">
        <v>455</v>
      </c>
      <c r="T1" s="3483"/>
      <c r="U1" s="3483"/>
      <c r="V1" s="3483"/>
      <c r="X1" s="3482" t="s">
        <v>456</v>
      </c>
      <c r="Y1" s="3483"/>
      <c r="Z1" s="3483"/>
      <c r="AA1" s="3483"/>
      <c r="AB1" s="3483"/>
      <c r="AD1" s="3482" t="s">
        <v>457</v>
      </c>
      <c r="AE1" s="3483"/>
      <c r="AF1" s="3483"/>
      <c r="AG1" s="3483"/>
      <c r="AH1" s="3483"/>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3363</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3360</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3361</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3362</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85">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85"/>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85"/>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92"/>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88">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85"/>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85"/>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92"/>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88">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85"/>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85"/>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86"/>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84">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85"/>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85"/>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86"/>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84">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85"/>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85"/>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86"/>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89">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90"/>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90"/>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91"/>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84">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85"/>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85"/>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86"/>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84">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85">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85">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86">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84">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85">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85">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86">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84">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85">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85">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86">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84">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85">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85">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86">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84">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85">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85">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86">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84">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85">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85">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86">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84">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85">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85">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86">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84">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85">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85">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86">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84">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85">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85">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86">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84">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85">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85">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86">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95" t="s">
        <v>2839</v>
      </c>
      <c r="B1" s="3495"/>
      <c r="C1" s="3495"/>
      <c r="D1" s="3495"/>
      <c r="E1" s="3495"/>
      <c r="F1" s="3495"/>
      <c r="G1" s="3496"/>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2"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493"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2" thickBot="1">
      <c r="A4" s="3494"/>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2"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2"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2"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2"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45812</v>
      </c>
      <c r="D1" s="1217" t="s">
        <v>603</v>
      </c>
      <c r="E1" s="1212">
        <f>'数据-取费表'!B22</f>
        <v>1</v>
      </c>
      <c r="F1" s="1217" t="s">
        <v>604</v>
      </c>
      <c r="G1" s="1213">
        <f ca="1">INDIRECT("d"&amp;$K$1)/100</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D22EB-4856-48DC-9280-837E3D9B2186}">
  <sheetPr>
    <tabColor rgb="FFFFFF00"/>
  </sheetPr>
  <dimension ref="A1"/>
  <sheetViews>
    <sheetView workbookViewId="0">
      <selection activeCell="AC25" sqref="AC25"/>
    </sheetView>
  </sheetViews>
  <sheetFormatPr defaultRowHeight="13.5"/>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156D8-C56D-4CEE-9D40-86D36F4F4E53}">
  <dimension ref="B2:X59"/>
  <sheetViews>
    <sheetView workbookViewId="0">
      <selection activeCell="X6" sqref="B6:X7"/>
    </sheetView>
  </sheetViews>
  <sheetFormatPr defaultRowHeight="13.5"/>
  <cols>
    <col min="18" max="18" width="10.5" bestFit="1" customWidth="1"/>
    <col min="19" max="19" width="10.625" bestFit="1" customWidth="1"/>
    <col min="22" max="22" width="13.375" bestFit="1" customWidth="1"/>
  </cols>
  <sheetData>
    <row r="2" spans="2:24" ht="14.25" thickBot="1"/>
    <row r="3" spans="2:24" ht="43.5" thickBot="1">
      <c r="B3" s="3507">
        <v>1</v>
      </c>
      <c r="C3" s="3508" t="s">
        <v>3424</v>
      </c>
      <c r="D3" s="3507" t="s">
        <v>3425</v>
      </c>
      <c r="E3" s="3507" t="s">
        <v>3426</v>
      </c>
      <c r="F3" s="3507" t="s">
        <v>3427</v>
      </c>
      <c r="G3" s="3507" t="s">
        <v>3428</v>
      </c>
      <c r="H3" s="3507" t="s">
        <v>3429</v>
      </c>
      <c r="I3" s="3507" t="s">
        <v>3430</v>
      </c>
      <c r="J3" s="3507" t="s">
        <v>3431</v>
      </c>
      <c r="K3" s="3507">
        <v>59.91</v>
      </c>
      <c r="L3" s="3507" t="s">
        <v>3406</v>
      </c>
      <c r="M3" s="3507" t="s">
        <v>3432</v>
      </c>
      <c r="N3" s="3507">
        <v>2</v>
      </c>
      <c r="O3" s="3507">
        <v>2000</v>
      </c>
      <c r="P3" s="3507" t="s">
        <v>633</v>
      </c>
      <c r="Q3" s="3507" t="s">
        <v>633</v>
      </c>
      <c r="R3" s="3507" t="s">
        <v>633</v>
      </c>
      <c r="S3" s="3510">
        <v>47238</v>
      </c>
      <c r="T3" s="3507">
        <v>47322</v>
      </c>
      <c r="U3" s="3507">
        <v>2835061</v>
      </c>
      <c r="V3" s="3509">
        <v>45806</v>
      </c>
    </row>
    <row r="4" spans="2:24" ht="29.25" thickBot="1">
      <c r="B4" s="3514">
        <v>2</v>
      </c>
      <c r="C4" s="3515" t="s">
        <v>3424</v>
      </c>
      <c r="D4" s="3514" t="s">
        <v>3433</v>
      </c>
      <c r="E4" s="3514" t="s">
        <v>3434</v>
      </c>
      <c r="F4" s="3514" t="s">
        <v>3427</v>
      </c>
      <c r="G4" s="3514" t="s">
        <v>3435</v>
      </c>
      <c r="H4" s="3514" t="s">
        <v>3436</v>
      </c>
      <c r="I4" s="3514" t="s">
        <v>3430</v>
      </c>
      <c r="J4" s="3514" t="s">
        <v>3431</v>
      </c>
      <c r="K4" s="3514">
        <v>88.59</v>
      </c>
      <c r="L4" s="3514" t="s">
        <v>3406</v>
      </c>
      <c r="M4" s="3514">
        <v>12</v>
      </c>
      <c r="N4" s="3514">
        <v>5</v>
      </c>
      <c r="O4" s="3514">
        <v>1995</v>
      </c>
      <c r="P4" s="3514" t="s">
        <v>633</v>
      </c>
      <c r="Q4" s="3514" t="s">
        <v>633</v>
      </c>
      <c r="R4" s="3514" t="s">
        <v>633</v>
      </c>
      <c r="S4" s="3516">
        <v>53166</v>
      </c>
      <c r="T4" s="3514">
        <v>53210</v>
      </c>
      <c r="U4" s="3514">
        <v>4713874</v>
      </c>
      <c r="V4" s="3517">
        <v>45804</v>
      </c>
      <c r="W4" s="1405" t="s">
        <v>3485</v>
      </c>
      <c r="X4" s="1405" t="s">
        <v>3483</v>
      </c>
    </row>
    <row r="5" spans="2:24" ht="43.5" thickBot="1">
      <c r="B5" s="3518">
        <v>3</v>
      </c>
      <c r="C5" s="3519" t="s">
        <v>3424</v>
      </c>
      <c r="D5" s="3518" t="s">
        <v>3437</v>
      </c>
      <c r="E5" s="3518" t="s">
        <v>3438</v>
      </c>
      <c r="F5" s="3518" t="s">
        <v>3427</v>
      </c>
      <c r="G5" s="3518" t="s">
        <v>3439</v>
      </c>
      <c r="H5" s="3518" t="s">
        <v>3436</v>
      </c>
      <c r="I5" s="3518" t="s">
        <v>3430</v>
      </c>
      <c r="J5" s="3518" t="s">
        <v>3440</v>
      </c>
      <c r="K5" s="3518">
        <v>64.48</v>
      </c>
      <c r="L5" s="3518" t="s">
        <v>3406</v>
      </c>
      <c r="M5" s="3518">
        <v>18</v>
      </c>
      <c r="N5" s="3518">
        <v>17</v>
      </c>
      <c r="O5" s="3518">
        <v>1995</v>
      </c>
      <c r="P5" s="3518" t="s">
        <v>633</v>
      </c>
      <c r="Q5" s="3518" t="s">
        <v>633</v>
      </c>
      <c r="R5" s="3518" t="s">
        <v>633</v>
      </c>
      <c r="S5" s="3520">
        <v>45285</v>
      </c>
      <c r="T5" s="3518">
        <v>45308</v>
      </c>
      <c r="U5" s="3518">
        <v>2921460</v>
      </c>
      <c r="V5" s="3521">
        <v>45793</v>
      </c>
    </row>
    <row r="6" spans="2:24" ht="43.5" thickBot="1">
      <c r="B6" s="3514">
        <v>4</v>
      </c>
      <c r="C6" s="3515" t="s">
        <v>3424</v>
      </c>
      <c r="D6" s="3514" t="s">
        <v>3441</v>
      </c>
      <c r="E6" s="3514" t="s">
        <v>3442</v>
      </c>
      <c r="F6" s="3514" t="s">
        <v>3427</v>
      </c>
      <c r="G6" s="3514" t="s">
        <v>3443</v>
      </c>
      <c r="H6" s="3514" t="s">
        <v>3436</v>
      </c>
      <c r="I6" s="3514" t="s">
        <v>3430</v>
      </c>
      <c r="J6" s="3514" t="s">
        <v>3431</v>
      </c>
      <c r="K6" s="3514">
        <v>57.33</v>
      </c>
      <c r="L6" s="3514" t="s">
        <v>3406</v>
      </c>
      <c r="M6" s="3514">
        <v>18</v>
      </c>
      <c r="N6" s="3514">
        <v>10</v>
      </c>
      <c r="O6" s="3514">
        <v>1995</v>
      </c>
      <c r="P6" s="3514" t="s">
        <v>633</v>
      </c>
      <c r="Q6" s="3514" t="s">
        <v>633</v>
      </c>
      <c r="R6" s="3514" t="s">
        <v>633</v>
      </c>
      <c r="S6" s="3516">
        <v>61922</v>
      </c>
      <c r="T6" s="3514">
        <v>59753</v>
      </c>
      <c r="U6" s="3514">
        <v>3425639</v>
      </c>
      <c r="V6" s="3517">
        <v>45772</v>
      </c>
      <c r="W6" s="1405" t="s">
        <v>3487</v>
      </c>
      <c r="X6" s="1405" t="s">
        <v>3483</v>
      </c>
    </row>
    <row r="7" spans="2:24" ht="18" thickBot="1">
      <c r="B7" s="3514"/>
      <c r="C7" s="3515"/>
      <c r="D7" s="3514"/>
      <c r="E7" s="3514"/>
      <c r="F7" s="3514"/>
      <c r="G7" s="3514" t="s">
        <v>3479</v>
      </c>
      <c r="H7" s="3514"/>
      <c r="I7" s="3514"/>
      <c r="J7" s="3514"/>
      <c r="K7" s="3514">
        <v>61.55</v>
      </c>
      <c r="L7" s="3514"/>
      <c r="M7" s="3514">
        <v>18</v>
      </c>
      <c r="N7" s="3514">
        <v>2</v>
      </c>
      <c r="O7" s="3514"/>
      <c r="P7" s="3514"/>
      <c r="Q7" s="3514"/>
      <c r="R7" s="3514"/>
      <c r="S7" s="3516">
        <f>ROUND(U7/K7,0)</f>
        <v>60114</v>
      </c>
      <c r="T7" s="3514"/>
      <c r="U7" s="3514">
        <v>3700000</v>
      </c>
      <c r="V7" s="3517">
        <v>45760</v>
      </c>
      <c r="W7" s="1405" t="s">
        <v>3481</v>
      </c>
      <c r="X7" s="1405" t="s">
        <v>3483</v>
      </c>
    </row>
    <row r="8" spans="2:24" ht="43.5" thickBot="1">
      <c r="B8" s="3498">
        <v>5</v>
      </c>
      <c r="C8" s="3499" t="s">
        <v>3424</v>
      </c>
      <c r="D8" s="3498" t="s">
        <v>3444</v>
      </c>
      <c r="E8" s="3498" t="s">
        <v>3445</v>
      </c>
      <c r="F8" s="3498" t="s">
        <v>3427</v>
      </c>
      <c r="G8" s="3498" t="s">
        <v>3446</v>
      </c>
      <c r="H8" s="3498" t="s">
        <v>3436</v>
      </c>
      <c r="I8" s="3498" t="s">
        <v>3430</v>
      </c>
      <c r="J8" s="3498" t="s">
        <v>3440</v>
      </c>
      <c r="K8" s="3498">
        <v>49.66</v>
      </c>
      <c r="L8" s="3498" t="s">
        <v>3406</v>
      </c>
      <c r="M8" s="3498">
        <v>18</v>
      </c>
      <c r="N8" s="3498">
        <v>16</v>
      </c>
      <c r="O8" s="3498" t="s">
        <v>633</v>
      </c>
      <c r="P8" s="3498">
        <v>1994</v>
      </c>
      <c r="Q8" s="3498" t="s">
        <v>633</v>
      </c>
      <c r="R8" s="3498" t="s">
        <v>633</v>
      </c>
      <c r="S8" s="3512">
        <v>46114</v>
      </c>
      <c r="T8" s="3498">
        <v>46243</v>
      </c>
      <c r="U8" s="3498">
        <v>2296427</v>
      </c>
      <c r="V8" s="3500">
        <v>45736</v>
      </c>
    </row>
    <row r="9" spans="2:24" ht="43.5" thickBot="1">
      <c r="B9" s="3501">
        <v>6</v>
      </c>
      <c r="C9" s="3502" t="s">
        <v>3424</v>
      </c>
      <c r="D9" s="3501" t="s">
        <v>3447</v>
      </c>
      <c r="E9" s="3501" t="s">
        <v>3448</v>
      </c>
      <c r="F9" s="3501" t="s">
        <v>3427</v>
      </c>
      <c r="G9" s="3501" t="s">
        <v>3449</v>
      </c>
      <c r="H9" s="3501" t="s">
        <v>3436</v>
      </c>
      <c r="I9" s="3501" t="s">
        <v>3430</v>
      </c>
      <c r="J9" s="3501" t="s">
        <v>3431</v>
      </c>
      <c r="K9" s="3501">
        <v>49.06</v>
      </c>
      <c r="L9" s="3501" t="s">
        <v>3406</v>
      </c>
      <c r="M9" s="3501">
        <v>18</v>
      </c>
      <c r="N9" s="3501">
        <v>6</v>
      </c>
      <c r="O9" s="3501" t="s">
        <v>633</v>
      </c>
      <c r="P9" s="3501">
        <v>1994</v>
      </c>
      <c r="Q9" s="3501" t="s">
        <v>633</v>
      </c>
      <c r="R9" s="3501" t="s">
        <v>633</v>
      </c>
      <c r="S9" s="3511">
        <v>39747</v>
      </c>
      <c r="T9" s="3501">
        <v>40537</v>
      </c>
      <c r="U9" s="3501">
        <v>1988745</v>
      </c>
      <c r="V9" s="3503">
        <v>45724</v>
      </c>
    </row>
    <row r="10" spans="2:24" ht="43.5" thickBot="1">
      <c r="B10" s="3498">
        <v>7</v>
      </c>
      <c r="C10" s="3499" t="s">
        <v>3424</v>
      </c>
      <c r="D10" s="3498" t="s">
        <v>3450</v>
      </c>
      <c r="E10" s="3498" t="s">
        <v>3451</v>
      </c>
      <c r="F10" s="3498" t="s">
        <v>3427</v>
      </c>
      <c r="G10" s="3498" t="s">
        <v>3452</v>
      </c>
      <c r="H10" s="3498" t="s">
        <v>3429</v>
      </c>
      <c r="I10" s="3498" t="s">
        <v>3430</v>
      </c>
      <c r="J10" s="3498" t="s">
        <v>3431</v>
      </c>
      <c r="K10" s="3498">
        <v>86.52</v>
      </c>
      <c r="L10" s="3498" t="s">
        <v>3406</v>
      </c>
      <c r="M10" s="3498">
        <v>21</v>
      </c>
      <c r="N10" s="3498">
        <v>5</v>
      </c>
      <c r="O10" s="3498">
        <v>2000</v>
      </c>
      <c r="P10" s="3498" t="s">
        <v>633</v>
      </c>
      <c r="Q10" s="3498" t="s">
        <v>633</v>
      </c>
      <c r="R10" s="3498" t="s">
        <v>633</v>
      </c>
      <c r="S10" s="3512">
        <v>54901</v>
      </c>
      <c r="T10" s="3498">
        <v>54995</v>
      </c>
      <c r="U10" s="3498">
        <v>4758167</v>
      </c>
      <c r="V10" s="3500">
        <v>45715</v>
      </c>
    </row>
    <row r="11" spans="2:24" ht="29.25" thickBot="1">
      <c r="B11" s="3501">
        <v>8</v>
      </c>
      <c r="C11" s="3502" t="s">
        <v>3424</v>
      </c>
      <c r="D11" s="3501" t="s">
        <v>3453</v>
      </c>
      <c r="E11" s="3501" t="s">
        <v>3454</v>
      </c>
      <c r="F11" s="3501" t="s">
        <v>3427</v>
      </c>
      <c r="G11" s="3501" t="s">
        <v>3455</v>
      </c>
      <c r="H11" s="3501" t="s">
        <v>3436</v>
      </c>
      <c r="I11" s="3501" t="s">
        <v>3456</v>
      </c>
      <c r="J11" s="3501" t="s">
        <v>3440</v>
      </c>
      <c r="K11" s="3501">
        <v>59.25</v>
      </c>
      <c r="L11" s="3501" t="s">
        <v>3406</v>
      </c>
      <c r="M11" s="3501" t="s">
        <v>3457</v>
      </c>
      <c r="N11" s="3501">
        <v>3</v>
      </c>
      <c r="O11" s="3501">
        <v>1995</v>
      </c>
      <c r="P11" s="3501" t="s">
        <v>633</v>
      </c>
      <c r="Q11" s="3501" t="s">
        <v>633</v>
      </c>
      <c r="R11" s="3501" t="s">
        <v>633</v>
      </c>
      <c r="S11" s="3511">
        <v>44895</v>
      </c>
      <c r="T11" s="3501">
        <v>44990</v>
      </c>
      <c r="U11" s="3501">
        <v>2665658</v>
      </c>
      <c r="V11" s="3503">
        <v>45699</v>
      </c>
    </row>
    <row r="12" spans="2:24" ht="29.25" thickBot="1">
      <c r="B12" s="3498">
        <v>9</v>
      </c>
      <c r="C12" s="3499" t="s">
        <v>3424</v>
      </c>
      <c r="D12" s="3498" t="s">
        <v>3458</v>
      </c>
      <c r="E12" s="3498" t="s">
        <v>3459</v>
      </c>
      <c r="F12" s="3498" t="s">
        <v>3427</v>
      </c>
      <c r="G12" s="3498" t="s">
        <v>3460</v>
      </c>
      <c r="H12" s="3498" t="s">
        <v>3436</v>
      </c>
      <c r="I12" s="3498"/>
      <c r="J12" s="3498" t="s">
        <v>3431</v>
      </c>
      <c r="K12" s="3498">
        <v>68.7</v>
      </c>
      <c r="L12" s="3498" t="s">
        <v>3406</v>
      </c>
      <c r="M12" s="3498">
        <v>12</v>
      </c>
      <c r="N12" s="3498">
        <v>9</v>
      </c>
      <c r="O12" s="3498">
        <v>1995</v>
      </c>
      <c r="P12" s="3498" t="s">
        <v>633</v>
      </c>
      <c r="Q12" s="3498" t="s">
        <v>633</v>
      </c>
      <c r="R12" s="3498" t="s">
        <v>633</v>
      </c>
      <c r="S12" s="3512">
        <v>46434</v>
      </c>
      <c r="T12" s="3498">
        <v>46851</v>
      </c>
      <c r="U12" s="3498">
        <v>3218664</v>
      </c>
      <c r="V12" s="3500">
        <v>45632</v>
      </c>
    </row>
    <row r="13" spans="2:24" ht="43.5" thickBot="1">
      <c r="B13" s="3501">
        <v>10</v>
      </c>
      <c r="C13" s="3502" t="s">
        <v>3424</v>
      </c>
      <c r="D13" s="3501" t="s">
        <v>3461</v>
      </c>
      <c r="E13" s="3501" t="s">
        <v>3462</v>
      </c>
      <c r="F13" s="3501" t="s">
        <v>3427</v>
      </c>
      <c r="G13" s="3501" t="s">
        <v>3463</v>
      </c>
      <c r="H13" s="3501" t="s">
        <v>3436</v>
      </c>
      <c r="I13" s="3501" t="s">
        <v>3430</v>
      </c>
      <c r="J13" s="3501" t="s">
        <v>3431</v>
      </c>
      <c r="K13" s="3501">
        <v>50.3</v>
      </c>
      <c r="L13" s="3501" t="s">
        <v>3406</v>
      </c>
      <c r="M13" s="3501">
        <v>20</v>
      </c>
      <c r="N13" s="3501">
        <v>13</v>
      </c>
      <c r="O13" s="3501" t="s">
        <v>633</v>
      </c>
      <c r="P13" s="3501">
        <v>1994</v>
      </c>
      <c r="Q13" s="3501" t="s">
        <v>633</v>
      </c>
      <c r="R13" s="3501" t="s">
        <v>633</v>
      </c>
      <c r="S13" s="3511">
        <v>0</v>
      </c>
      <c r="T13" s="3501">
        <v>51000</v>
      </c>
      <c r="U13" s="3501">
        <v>2565300</v>
      </c>
      <c r="V13" s="3503">
        <v>45605</v>
      </c>
    </row>
    <row r="14" spans="2:24" ht="43.5" thickBot="1">
      <c r="B14" s="3498">
        <v>11</v>
      </c>
      <c r="C14" s="3499" t="s">
        <v>3424</v>
      </c>
      <c r="D14" s="3498" t="s">
        <v>3464</v>
      </c>
      <c r="E14" s="3498" t="s">
        <v>3465</v>
      </c>
      <c r="F14" s="3498" t="s">
        <v>3427</v>
      </c>
      <c r="G14" s="3498" t="s">
        <v>3466</v>
      </c>
      <c r="H14" s="3498" t="s">
        <v>3436</v>
      </c>
      <c r="I14" s="3498" t="s">
        <v>3430</v>
      </c>
      <c r="J14" s="3498" t="s">
        <v>3431</v>
      </c>
      <c r="K14" s="3498">
        <v>64.12</v>
      </c>
      <c r="L14" s="3498" t="s">
        <v>3406</v>
      </c>
      <c r="M14" s="3498">
        <v>18</v>
      </c>
      <c r="N14" s="3498">
        <v>12</v>
      </c>
      <c r="O14" s="3498">
        <v>1995</v>
      </c>
      <c r="P14" s="3498" t="s">
        <v>633</v>
      </c>
      <c r="Q14" s="3498" t="s">
        <v>633</v>
      </c>
      <c r="R14" s="3498" t="s">
        <v>633</v>
      </c>
      <c r="S14" s="3512">
        <v>60512</v>
      </c>
      <c r="T14" s="3498">
        <v>60689</v>
      </c>
      <c r="U14" s="3498">
        <v>3891379</v>
      </c>
      <c r="V14" s="3500">
        <v>45603</v>
      </c>
    </row>
    <row r="15" spans="2:24" ht="43.5" thickBot="1">
      <c r="B15" s="3501">
        <v>12</v>
      </c>
      <c r="C15" s="3502" t="s">
        <v>3424</v>
      </c>
      <c r="D15" s="3501" t="s">
        <v>3467</v>
      </c>
      <c r="E15" s="3501" t="s">
        <v>3468</v>
      </c>
      <c r="F15" s="3501" t="s">
        <v>3427</v>
      </c>
      <c r="G15" s="3501" t="s">
        <v>3469</v>
      </c>
      <c r="H15" s="3501" t="s">
        <v>3429</v>
      </c>
      <c r="I15" s="3501" t="s">
        <v>3430</v>
      </c>
      <c r="J15" s="3501" t="s">
        <v>3440</v>
      </c>
      <c r="K15" s="3501">
        <v>112.13</v>
      </c>
      <c r="L15" s="3501" t="s">
        <v>3406</v>
      </c>
      <c r="M15" s="3501">
        <v>7</v>
      </c>
      <c r="N15" s="3501">
        <v>1</v>
      </c>
      <c r="O15" s="3501">
        <v>1999</v>
      </c>
      <c r="P15" s="3501" t="s">
        <v>633</v>
      </c>
      <c r="Q15" s="3501" t="s">
        <v>633</v>
      </c>
      <c r="R15" s="3501" t="s">
        <v>633</v>
      </c>
      <c r="S15" s="3511">
        <v>59128</v>
      </c>
      <c r="T15" s="3501">
        <v>59215</v>
      </c>
      <c r="U15" s="3501">
        <v>6639778</v>
      </c>
      <c r="V15" s="3503">
        <v>45582</v>
      </c>
    </row>
    <row r="16" spans="2:24" ht="43.5" thickBot="1">
      <c r="B16" s="3504">
        <v>13</v>
      </c>
      <c r="C16" s="3505" t="s">
        <v>3424</v>
      </c>
      <c r="D16" s="3504" t="s">
        <v>3470</v>
      </c>
      <c r="E16" s="3504" t="s">
        <v>3471</v>
      </c>
      <c r="F16" s="3504" t="s">
        <v>3427</v>
      </c>
      <c r="G16" s="3504" t="s">
        <v>3472</v>
      </c>
      <c r="H16" s="3504" t="s">
        <v>3436</v>
      </c>
      <c r="I16" s="3504" t="s">
        <v>3430</v>
      </c>
      <c r="J16" s="3504" t="s">
        <v>3431</v>
      </c>
      <c r="K16" s="3504">
        <v>74.52</v>
      </c>
      <c r="L16" s="3504" t="s">
        <v>3406</v>
      </c>
      <c r="M16" s="3504">
        <v>6</v>
      </c>
      <c r="N16" s="3504">
        <v>6</v>
      </c>
      <c r="O16" s="3504">
        <v>1995</v>
      </c>
      <c r="P16" s="3504" t="s">
        <v>633</v>
      </c>
      <c r="Q16" s="3504" t="s">
        <v>633</v>
      </c>
      <c r="R16" s="3504" t="s">
        <v>633</v>
      </c>
      <c r="S16" s="3513">
        <v>46632</v>
      </c>
      <c r="T16" s="3504">
        <v>47320</v>
      </c>
      <c r="U16" s="3504">
        <v>3526286</v>
      </c>
      <c r="V16" s="3506">
        <v>45578</v>
      </c>
    </row>
    <row r="17" spans="2:22" ht="29.25" thickBot="1">
      <c r="B17" s="3501">
        <v>14</v>
      </c>
      <c r="C17" s="3502" t="s">
        <v>3424</v>
      </c>
      <c r="D17" s="3501" t="s">
        <v>3473</v>
      </c>
      <c r="E17" s="3501" t="s">
        <v>3474</v>
      </c>
      <c r="F17" s="3501" t="s">
        <v>3427</v>
      </c>
      <c r="G17" s="3501" t="s">
        <v>3475</v>
      </c>
      <c r="H17" s="3501" t="s">
        <v>3429</v>
      </c>
      <c r="I17" s="3501" t="s">
        <v>3430</v>
      </c>
      <c r="J17" s="3501" t="s">
        <v>3440</v>
      </c>
      <c r="K17" s="3501">
        <v>60.04</v>
      </c>
      <c r="L17" s="3501" t="s">
        <v>3406</v>
      </c>
      <c r="M17" s="3501">
        <v>21</v>
      </c>
      <c r="N17" s="3501">
        <v>5</v>
      </c>
      <c r="O17" s="3501">
        <v>2000</v>
      </c>
      <c r="P17" s="3501" t="s">
        <v>633</v>
      </c>
      <c r="Q17" s="3501" t="s">
        <v>633</v>
      </c>
      <c r="R17" s="3501" t="s">
        <v>633</v>
      </c>
      <c r="S17" s="3511">
        <v>51965</v>
      </c>
      <c r="T17" s="3501">
        <v>52091</v>
      </c>
      <c r="U17" s="3501">
        <v>3127544</v>
      </c>
      <c r="V17" s="3503">
        <v>45576</v>
      </c>
    </row>
    <row r="18" spans="2:22" ht="43.5" thickBot="1">
      <c r="B18" s="3498">
        <v>15</v>
      </c>
      <c r="C18" s="3499" t="s">
        <v>3424</v>
      </c>
      <c r="D18" s="3498" t="s">
        <v>3476</v>
      </c>
      <c r="E18" s="3498" t="s">
        <v>3477</v>
      </c>
      <c r="F18" s="3498" t="s">
        <v>3427</v>
      </c>
      <c r="G18" s="3498" t="s">
        <v>3478</v>
      </c>
      <c r="H18" s="3498" t="s">
        <v>3436</v>
      </c>
      <c r="I18" s="3498" t="s">
        <v>3430</v>
      </c>
      <c r="J18" s="3498" t="s">
        <v>3440</v>
      </c>
      <c r="K18" s="3498">
        <v>62.41</v>
      </c>
      <c r="L18" s="3498" t="s">
        <v>3406</v>
      </c>
      <c r="M18" s="3498">
        <v>6</v>
      </c>
      <c r="N18" s="3498">
        <v>1</v>
      </c>
      <c r="O18" s="3498">
        <v>1995</v>
      </c>
      <c r="P18" s="3498" t="s">
        <v>633</v>
      </c>
      <c r="Q18" s="3498" t="s">
        <v>633</v>
      </c>
      <c r="R18" s="3498" t="s">
        <v>633</v>
      </c>
      <c r="S18" s="3512">
        <v>42557</v>
      </c>
      <c r="T18" s="3498">
        <v>42732</v>
      </c>
      <c r="U18" s="3498">
        <v>2666904</v>
      </c>
      <c r="V18" s="3500">
        <v>45519</v>
      </c>
    </row>
    <row r="43" spans="18:21">
      <c r="R43" s="3497">
        <v>45827</v>
      </c>
      <c r="S43">
        <v>87</v>
      </c>
      <c r="T43">
        <v>8500</v>
      </c>
      <c r="U43">
        <f>T43/S43</f>
        <v>97.701149425287355</v>
      </c>
    </row>
    <row r="44" spans="18:21">
      <c r="R44" s="3497">
        <v>45816</v>
      </c>
      <c r="S44">
        <v>72.510000000000005</v>
      </c>
      <c r="T44">
        <v>6000</v>
      </c>
      <c r="U44">
        <f t="shared" ref="U44:U46" si="0">T44/S44</f>
        <v>82.747207281754228</v>
      </c>
    </row>
    <row r="45" spans="18:21">
      <c r="R45" s="3497">
        <v>45783</v>
      </c>
      <c r="S45">
        <v>48.08</v>
      </c>
      <c r="T45">
        <v>5500</v>
      </c>
      <c r="U45">
        <f t="shared" si="0"/>
        <v>114.39267886855242</v>
      </c>
    </row>
    <row r="46" spans="18:21">
      <c r="R46" s="3497">
        <v>45737</v>
      </c>
      <c r="S46">
        <v>57.09</v>
      </c>
      <c r="T46">
        <v>4200</v>
      </c>
      <c r="U46">
        <f t="shared" si="0"/>
        <v>73.568050446663165</v>
      </c>
    </row>
    <row r="47" spans="18:21">
      <c r="U47">
        <f>AVERAGE(U43:U46)</f>
        <v>92.102271505564289</v>
      </c>
    </row>
    <row r="50" spans="19:21">
      <c r="S50">
        <v>63.4</v>
      </c>
      <c r="T50">
        <v>6800</v>
      </c>
      <c r="U50">
        <f>T50/S50</f>
        <v>107.25552050473186</v>
      </c>
    </row>
    <row r="51" spans="19:21">
      <c r="S51">
        <v>64.319999999999993</v>
      </c>
      <c r="T51">
        <v>7190</v>
      </c>
      <c r="U51">
        <f t="shared" ref="U51:U55" si="1">T51/S51</f>
        <v>111.78482587064678</v>
      </c>
    </row>
    <row r="52" spans="19:21">
      <c r="S52">
        <v>62.82</v>
      </c>
      <c r="T52">
        <v>5600</v>
      </c>
      <c r="U52">
        <f t="shared" si="1"/>
        <v>89.143584845590581</v>
      </c>
    </row>
    <row r="53" spans="19:21">
      <c r="S53">
        <v>63.52</v>
      </c>
      <c r="T53">
        <v>6000</v>
      </c>
      <c r="U53">
        <f t="shared" si="1"/>
        <v>94.458438287153655</v>
      </c>
    </row>
    <row r="54" spans="19:21">
      <c r="S54">
        <v>49.66</v>
      </c>
      <c r="T54">
        <v>5300</v>
      </c>
      <c r="U54">
        <f t="shared" si="1"/>
        <v>106.72573499798631</v>
      </c>
    </row>
    <row r="55" spans="19:21">
      <c r="S55">
        <v>84</v>
      </c>
      <c r="T55">
        <v>7600</v>
      </c>
      <c r="U55">
        <f t="shared" si="1"/>
        <v>90.476190476190482</v>
      </c>
    </row>
    <row r="59" spans="19:21">
      <c r="U59">
        <f>AVERAGE(U50:U55)</f>
        <v>99.974049163716629</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3" t="str">
        <f>IF(项目基本情况!B9="房地产市场价值","估价结果一览表","结果表-2")</f>
        <v>估价结果一览表</v>
      </c>
      <c r="B1" s="3173"/>
      <c r="C1" s="3173"/>
      <c r="D1" s="3173"/>
      <c r="E1" s="3173"/>
      <c r="F1" s="3173"/>
      <c r="G1" s="3173"/>
      <c r="H1" s="3173"/>
      <c r="I1" s="3173"/>
    </row>
    <row r="2" spans="1:9" ht="30" customHeight="1" thickTop="1">
      <c r="A2" s="3174" t="s">
        <v>928</v>
      </c>
      <c r="B2" s="3174" t="s">
        <v>929</v>
      </c>
      <c r="C2" s="3174" t="s">
        <v>930</v>
      </c>
      <c r="D2" s="3174" t="str">
        <f>结果表!D116</f>
        <v>出让国有建设用地使用权价值</v>
      </c>
      <c r="E2" s="3174"/>
      <c r="F2" s="3174" t="str">
        <f>结果表!F116</f>
        <v>在建建筑物价值</v>
      </c>
      <c r="G2" s="3174"/>
      <c r="H2" s="3174" t="str">
        <f>IF(项目基本情况!B9="房地产市场价值","房地产市场价值","房地产价值")</f>
        <v>房地产市场价值</v>
      </c>
      <c r="I2" s="3174"/>
    </row>
    <row r="3" spans="1:9" ht="15">
      <c r="A3" s="3175"/>
      <c r="B3" s="3175"/>
      <c r="C3" s="3175"/>
      <c r="D3" s="801" t="s">
        <v>925</v>
      </c>
      <c r="E3" s="801" t="s">
        <v>931</v>
      </c>
      <c r="F3" s="801" t="s">
        <v>925</v>
      </c>
      <c r="G3" s="801" t="s">
        <v>926</v>
      </c>
      <c r="H3" s="801" t="s">
        <v>925</v>
      </c>
      <c r="I3" s="801" t="s">
        <v>926</v>
      </c>
    </row>
    <row r="4" spans="1:9" ht="15">
      <c r="A4" s="1403" t="str">
        <f>项目基本情况!S2</f>
        <v>北京市房地产</v>
      </c>
      <c r="B4" s="801">
        <f>项目基本情况!C17</f>
        <v>63.97</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75" t="s">
        <v>927</v>
      </c>
      <c r="B5" s="3175"/>
      <c r="C5" s="3175"/>
      <c r="D5" s="3175" t="e">
        <f ca="1">结果表!D119</f>
        <v>#REF!</v>
      </c>
      <c r="E5" s="3175"/>
      <c r="F5" s="3175" t="e">
        <f ca="1">结果表!F119</f>
        <v>#REF!</v>
      </c>
      <c r="G5" s="3175"/>
      <c r="H5" s="3175" t="e">
        <f ca="1">结果表!H119</f>
        <v>#REF!</v>
      </c>
      <c r="I5" s="3175"/>
    </row>
    <row r="6" spans="1:9" ht="15.75">
      <c r="A6" s="3176" t="str">
        <f>结果表!A120</f>
        <v/>
      </c>
      <c r="B6" s="3176"/>
      <c r="C6" s="3176"/>
      <c r="D6" s="3176">
        <f>结果表!D120</f>
        <v>0</v>
      </c>
      <c r="E6" s="3176"/>
      <c r="F6" s="3176"/>
      <c r="G6" s="3176"/>
      <c r="H6" s="3176"/>
      <c r="I6" s="3176"/>
    </row>
    <row r="7" spans="1:9" ht="15">
      <c r="A7" s="3175" t="s">
        <v>927</v>
      </c>
      <c r="B7" s="3175"/>
      <c r="C7" s="3175"/>
      <c r="D7" s="3177" t="str">
        <f>结果表!D121</f>
        <v>零元整</v>
      </c>
      <c r="E7" s="3178"/>
      <c r="F7" s="3178"/>
      <c r="G7" s="3178"/>
      <c r="H7" s="3178"/>
      <c r="I7" s="3179"/>
    </row>
    <row r="8" spans="1:9" ht="15.75">
      <c r="A8" s="3176" t="str">
        <f>结果表!A122</f>
        <v/>
      </c>
      <c r="B8" s="3176"/>
      <c r="C8" s="3176"/>
      <c r="D8" s="3176" t="e">
        <f ca="1">结果表!D122</f>
        <v>#REF!</v>
      </c>
      <c r="E8" s="3176"/>
      <c r="F8" s="3176"/>
      <c r="G8" s="3176"/>
      <c r="H8" s="3176"/>
      <c r="I8" s="3176"/>
    </row>
    <row r="9" spans="1:9" ht="15">
      <c r="A9" s="3175" t="s">
        <v>927</v>
      </c>
      <c r="B9" s="3175"/>
      <c r="C9" s="3175"/>
      <c r="D9" s="3175" t="e">
        <f ca="1">结果表!D123</f>
        <v>#REF!</v>
      </c>
      <c r="E9" s="3175"/>
      <c r="F9" s="3175"/>
      <c r="G9" s="3175"/>
      <c r="H9" s="3175"/>
      <c r="I9" s="3175"/>
    </row>
    <row r="10" spans="1:9" ht="15.75">
      <c r="A10" s="3176" t="str">
        <f>结果表!A124</f>
        <v/>
      </c>
      <c r="B10" s="3176"/>
      <c r="C10" s="3176"/>
      <c r="D10" s="3176" t="str">
        <f>结果表!D124</f>
        <v>——</v>
      </c>
      <c r="E10" s="3176"/>
      <c r="F10" s="3176"/>
      <c r="G10" s="3176"/>
      <c r="H10" s="3176"/>
      <c r="I10" s="3176"/>
    </row>
    <row r="11" spans="1:9" ht="15">
      <c r="A11" s="3175" t="s">
        <v>927</v>
      </c>
      <c r="B11" s="3175"/>
      <c r="C11" s="3175"/>
      <c r="D11" s="3175" t="e">
        <f>结果表!D125</f>
        <v>#VALUE!</v>
      </c>
      <c r="E11" s="3175"/>
      <c r="F11" s="3175"/>
      <c r="G11" s="3175"/>
      <c r="H11" s="3175"/>
      <c r="I11" s="3175"/>
    </row>
    <row r="12" spans="1:9" ht="15.75">
      <c r="A12" s="3176" t="str">
        <f>结果表!A126</f>
        <v/>
      </c>
      <c r="B12" s="3176"/>
      <c r="C12" s="3176"/>
      <c r="D12" s="3176" t="str">
        <f>结果表!D126</f>
        <v>——</v>
      </c>
      <c r="E12" s="3176"/>
      <c r="F12" s="3176"/>
      <c r="G12" s="3176"/>
      <c r="H12" s="3176"/>
      <c r="I12" s="3176"/>
    </row>
    <row r="13" spans="1:9" ht="15.75" thickBot="1">
      <c r="A13" s="3180" t="s">
        <v>927</v>
      </c>
      <c r="B13" s="3180"/>
      <c r="C13" s="3180"/>
      <c r="D13" s="3180" t="e">
        <f>结果表!D127</f>
        <v>#VALUE!</v>
      </c>
      <c r="E13" s="3180"/>
      <c r="F13" s="3180"/>
      <c r="G13" s="3180"/>
      <c r="H13" s="3180"/>
      <c r="I13" s="3180"/>
    </row>
    <row r="14" spans="1:9" ht="15" thickTop="1">
      <c r="A14" s="3181" t="s">
        <v>932</v>
      </c>
      <c r="B14" s="3181"/>
      <c r="C14" s="3181"/>
      <c r="D14" s="3181"/>
      <c r="E14" s="3181"/>
      <c r="F14" s="3181"/>
      <c r="G14" s="3181"/>
      <c r="H14" s="3181"/>
      <c r="I14" s="3181"/>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2" t="s">
        <v>949</v>
      </c>
      <c r="B1" s="3182"/>
      <c r="C1" s="3182"/>
      <c r="D1" s="3182"/>
    </row>
    <row r="2" spans="1:4" ht="18">
      <c r="A2" s="3183" t="s">
        <v>933</v>
      </c>
      <c r="B2" s="3183"/>
      <c r="C2" s="3183"/>
      <c r="D2" s="3183"/>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3" t="s">
        <v>939</v>
      </c>
      <c r="B6" s="3183"/>
      <c r="C6" s="3183"/>
      <c r="D6" s="3183"/>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4" t="s">
        <v>942</v>
      </c>
      <c r="B11" s="3185"/>
      <c r="C11" s="3185"/>
      <c r="D11" s="3185"/>
    </row>
    <row r="12" spans="1:4" ht="15.75">
      <c r="A12" s="31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86"/>
      <c r="C12" s="3186"/>
      <c r="D12" s="3186"/>
    </row>
    <row r="13" spans="1:4" ht="30" customHeight="1">
      <c r="A13" s="3185" t="str">
        <f>IF(项目基本情况!B8="抵押","3.抵押双方在办理抵押登记手续时，应使用本公司出具的正式《房地产评估报告》，特提醒报告使用者注意。","——")</f>
        <v>——</v>
      </c>
      <c r="B13" s="3186"/>
      <c r="C13" s="3186"/>
      <c r="D13" s="3186"/>
    </row>
    <row r="14" spans="1:4" ht="15.75" customHeight="1">
      <c r="A14" s="3185" t="str">
        <f>IF(项目基本情况!B8="抵押","4.本次评估估价师所知悉的法定优先受偿款情况说明如下：","——")</f>
        <v>——</v>
      </c>
      <c r="B14" s="3186"/>
      <c r="C14" s="3186"/>
      <c r="D14" s="3186"/>
    </row>
    <row r="15" spans="1:4" ht="42" customHeight="1">
      <c r="A15" s="3185" t="str">
        <f>IF(项目基本情况!B8="抵押","（1）"&amp;CONCATENATE(项目基本情况!L20,项目基本情况!L21,项目基本情况!L22),"——")</f>
        <v>——</v>
      </c>
      <c r="B15" s="3185"/>
      <c r="C15" s="3185"/>
      <c r="D15" s="3185"/>
    </row>
    <row r="16" spans="1:4" ht="30" customHeight="1">
      <c r="A16" s="3188" t="s">
        <v>943</v>
      </c>
      <c r="B16" s="3188"/>
      <c r="C16" s="3188"/>
      <c r="D16" s="3188"/>
    </row>
    <row r="17" spans="1:4" ht="144" customHeight="1">
      <c r="A17" s="3188" t="s">
        <v>944</v>
      </c>
      <c r="B17" s="3188"/>
      <c r="C17" s="3188"/>
      <c r="D17" s="3188"/>
    </row>
    <row r="18" spans="1:4" ht="15.75" customHeight="1">
      <c r="A18" s="3185" t="str">
        <f>IF(项目基本情况!B8="抵押",结果表!K120,"——")</f>
        <v>——</v>
      </c>
      <c r="B18" s="3185"/>
      <c r="C18" s="3185"/>
      <c r="D18" s="3185"/>
    </row>
    <row r="19" spans="1:4" ht="46.5" customHeight="1">
      <c r="A19" s="31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5"/>
      <c r="C19" s="3185"/>
      <c r="D19" s="3185"/>
    </row>
    <row r="20" spans="1:4" ht="57.75" customHeight="1">
      <c r="A20" s="31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5"/>
      <c r="C20" s="3185"/>
      <c r="D20" s="3185"/>
    </row>
    <row r="21" spans="1:4" ht="57.75" customHeight="1">
      <c r="A21" s="31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9"/>
      <c r="C21" s="3189"/>
      <c r="D21" s="3189"/>
    </row>
    <row r="22" spans="1:4" ht="18.75" customHeight="1">
      <c r="A22" s="3190" t="s">
        <v>945</v>
      </c>
      <c r="B22" s="3190"/>
      <c r="C22" s="3190"/>
      <c r="D22" s="3190"/>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7">
        <v>42551</v>
      </c>
      <c r="D31" s="31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6" t="s">
        <v>956</v>
      </c>
      <c r="B15" s="3191" t="s">
        <v>109</v>
      </c>
      <c r="C15" s="3192"/>
    </row>
    <row r="16" spans="1:7" ht="13.5">
      <c r="A16" s="3197"/>
      <c r="B16" s="3191" t="s">
        <v>42</v>
      </c>
      <c r="C16" s="3192"/>
    </row>
    <row r="17" spans="1:3" ht="13.5">
      <c r="A17" s="3197"/>
      <c r="B17" s="3194" t="s">
        <v>957</v>
      </c>
      <c r="C17" s="1429" t="s">
        <v>956</v>
      </c>
    </row>
    <row r="18" spans="1:3" ht="13.5">
      <c r="A18" s="3197"/>
      <c r="B18" s="3194"/>
      <c r="C18" s="1429" t="s">
        <v>958</v>
      </c>
    </row>
    <row r="19" spans="1:3" ht="13.5">
      <c r="A19" s="3197"/>
      <c r="B19" s="3194"/>
      <c r="C19" s="1429" t="s">
        <v>959</v>
      </c>
    </row>
    <row r="20" spans="1:3" ht="13.5">
      <c r="A20" s="3198"/>
      <c r="B20" s="3193" t="s">
        <v>960</v>
      </c>
      <c r="C20" s="3192"/>
    </row>
    <row r="21" spans="1:3" ht="13.5">
      <c r="A21" s="1430" t="s">
        <v>961</v>
      </c>
      <c r="B21" s="1431"/>
      <c r="C21" s="1432"/>
    </row>
    <row r="22" spans="1:3" ht="13.5">
      <c r="A22" s="3195" t="s">
        <v>962</v>
      </c>
      <c r="B22" s="3193" t="s">
        <v>963</v>
      </c>
      <c r="C22" s="3192"/>
    </row>
    <row r="23" spans="1:3" ht="13.5">
      <c r="A23" s="3195"/>
      <c r="B23" s="3193" t="s">
        <v>964</v>
      </c>
      <c r="C23" s="3192"/>
    </row>
    <row r="24" spans="1:3" ht="13.5">
      <c r="A24" s="3195"/>
      <c r="B24" s="3193" t="s">
        <v>965</v>
      </c>
      <c r="C24" s="3192"/>
    </row>
    <row r="25" spans="1:3" ht="13.5">
      <c r="A25" s="3195"/>
      <c r="B25" s="3194" t="s">
        <v>966</v>
      </c>
      <c r="C25" s="1429" t="s">
        <v>967</v>
      </c>
    </row>
    <row r="26" spans="1:3" ht="13.5">
      <c r="A26" s="3195"/>
      <c r="B26" s="3194"/>
      <c r="C26" s="1429" t="s">
        <v>968</v>
      </c>
    </row>
    <row r="27" spans="1:3" ht="13.5">
      <c r="A27" s="3195"/>
      <c r="B27" s="3194"/>
      <c r="C27" s="1429" t="s">
        <v>969</v>
      </c>
    </row>
    <row r="28" spans="1:3" ht="13.5">
      <c r="A28" s="3195"/>
      <c r="B28" s="3194"/>
      <c r="C28" s="1429" t="s">
        <v>970</v>
      </c>
    </row>
    <row r="29" spans="1:3" ht="13.5">
      <c r="A29" s="3195"/>
      <c r="B29" s="3194"/>
      <c r="C29" s="1429" t="s">
        <v>971</v>
      </c>
    </row>
    <row r="30" spans="1:3" ht="13.5">
      <c r="A30" s="3195"/>
      <c r="B30" s="3194"/>
      <c r="C30" s="1429" t="s">
        <v>972</v>
      </c>
    </row>
    <row r="31" spans="1:3" ht="13.5">
      <c r="A31" s="3195"/>
      <c r="B31" s="3194"/>
      <c r="C31" s="1429" t="s">
        <v>973</v>
      </c>
    </row>
    <row r="32" spans="1:3" ht="13.5">
      <c r="A32" s="3195"/>
      <c r="B32" s="3194"/>
      <c r="C32" s="1429" t="s">
        <v>974</v>
      </c>
    </row>
    <row r="33" spans="1:3" ht="13.5">
      <c r="A33" s="3195"/>
      <c r="B33" s="3194"/>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45827</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t="str">
        <f ca="1">IF(C10&lt;B2,"已过期",1120100036)</f>
        <v>已过期</v>
      </c>
      <c r="C10" s="2166">
        <v>45752</v>
      </c>
      <c r="D10" s="2162" t="str">
        <f t="shared" ca="1" si="0"/>
        <v>崔锴（注册号：已过期）</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2437</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199" t="s">
        <v>2160</v>
      </c>
      <c r="B17" s="3199"/>
      <c r="C17" s="3199"/>
      <c r="D17" s="3199"/>
      <c r="E17" s="3199"/>
      <c r="F17" s="3199"/>
      <c r="G17" s="3199"/>
      <c r="H17" s="3199"/>
    </row>
    <row r="18" spans="1:8" ht="24" customHeight="1">
      <c r="A18" s="3200" t="s">
        <v>2161</v>
      </c>
      <c r="B18" s="3200"/>
      <c r="C18" s="3200"/>
      <c r="D18" s="2159"/>
      <c r="E18" s="3201" t="s">
        <v>2162</v>
      </c>
      <c r="F18" s="3200"/>
      <c r="G18" s="3200"/>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比较法-住宅</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2025-06-19T09:17:48Z</dcterms:modified>
</cp:coreProperties>
</file>