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296甜水园北里\"/>
    </mc:Choice>
  </mc:AlternateContent>
  <xr:revisionPtr revIDLastSave="0" documentId="13_ncr:1_{419D6C66-F850-478D-B60D-BACEBF7BE1C2}" xr6:coauthVersionLast="47" xr6:coauthVersionMax="47" xr10:uidLastSave="{00000000-0000-0000-0000-000000000000}"/>
  <bookViews>
    <workbookView xWindow="0" yWindow="0" windowWidth="19200" windowHeight="210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0" r:id="rId46"/>
    <sheet name="Sheet2" sheetId="81" r:id="rId47"/>
    <sheet name="Sheet3" sheetId="82" r:id="rId48"/>
  </sheets>
  <externalReferences>
    <externalReference r:id="rId49"/>
  </externalReferences>
  <definedNames>
    <definedName name="_xlnm._FilterDatabase" localSheetId="47" hidden="1">Sheet3!$A$1:$R$100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14" i="9"/>
  <c r="D33" i="43"/>
  <c r="L13" i="4"/>
  <c r="Y6" i="1"/>
  <c r="I33" i="21"/>
  <c r="G33" i="21"/>
  <c r="E33" i="21"/>
  <c r="E27" i="21"/>
  <c r="G27" i="21"/>
  <c r="I27" i="21"/>
  <c r="C27" i="21"/>
  <c r="S58" i="21"/>
  <c r="E5" i="21"/>
  <c r="G5" i="21" s="1"/>
  <c r="I5" i="21" s="1"/>
  <c r="I7" i="21"/>
  <c r="G7" i="21"/>
  <c r="E7" i="21"/>
  <c r="G47" i="21"/>
  <c r="S7" i="81"/>
  <c r="I47" i="21" s="1"/>
  <c r="E47" i="21"/>
  <c r="U55" i="81"/>
  <c r="U54" i="81"/>
  <c r="U51" i="81"/>
  <c r="U52" i="81"/>
  <c r="U53" i="81"/>
  <c r="U50" i="81"/>
  <c r="U44" i="81"/>
  <c r="U45" i="81"/>
  <c r="U46" i="81"/>
  <c r="U43" i="81"/>
  <c r="N21" i="1"/>
  <c r="F19" i="6"/>
  <c r="C33" i="21" s="1"/>
  <c r="D3" i="4"/>
  <c r="G14" i="73"/>
  <c r="F14" i="73"/>
  <c r="E14" i="73"/>
  <c r="U47" i="81" l="1"/>
  <c r="U59" i="8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T40" i="79"/>
  <c r="W40" i="79" s="1"/>
  <c r="AK40" i="79" s="1"/>
  <c r="U46" i="79"/>
  <c r="AI46" i="79" s="1"/>
  <c r="AD47" i="79"/>
  <c r="S48" i="79"/>
  <c r="AG48" i="79" s="1"/>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H40" i="79"/>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42" i="79"/>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O37" i="71"/>
  <c r="C38" i="71" s="1"/>
  <c r="N37" i="71"/>
  <c r="B38" i="71" s="1"/>
  <c r="D37" i="71"/>
  <c r="Q36" i="71"/>
  <c r="AB36" i="71" s="1"/>
  <c r="P36" i="71"/>
  <c r="O36" i="71"/>
  <c r="N36" i="71"/>
  <c r="Q35" i="71"/>
  <c r="AB35" i="71" s="1"/>
  <c r="P35" i="71"/>
  <c r="O35" i="71"/>
  <c r="N35" i="71"/>
  <c r="Q34" i="71"/>
  <c r="AB34" i="71" s="1"/>
  <c r="P34" i="71"/>
  <c r="O34" i="71"/>
  <c r="N34" i="71"/>
  <c r="X34" i="71" s="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30" i="71"/>
  <c r="B31" i="71" s="1"/>
  <c r="B32" i="71" s="1"/>
  <c r="S32" i="71" s="1"/>
  <c r="E30" i="71"/>
  <c r="E31" i="71" s="1"/>
  <c r="E32" i="71" s="1"/>
  <c r="U32" i="71" s="1"/>
  <c r="B39" i="71"/>
  <c r="E34" i="71"/>
  <c r="X31" i="71"/>
  <c r="B28" i="71"/>
  <c r="B27" i="71" s="1"/>
  <c r="B26" i="71" s="1"/>
  <c r="P28" i="71"/>
  <c r="AA3" i="71" s="1"/>
  <c r="E67" i="71"/>
  <c r="E66" i="71" s="1"/>
  <c r="Q28" i="71"/>
  <c r="C59" i="71"/>
  <c r="D59" i="71" s="1"/>
  <c r="C63" i="71"/>
  <c r="C64" i="71" s="1"/>
  <c r="D68" i="71"/>
  <c r="C67" i="71"/>
  <c r="D67" i="71" s="1"/>
  <c r="Q68" i="71"/>
  <c r="E71" i="71"/>
  <c r="E70" i="71"/>
  <c r="C75" i="71"/>
  <c r="C74" i="71" s="1"/>
  <c r="D74" i="71" s="1"/>
  <c r="D76" i="71"/>
  <c r="D80" i="71"/>
  <c r="F28" i="71"/>
  <c r="F27" i="71" s="1"/>
  <c r="F26" i="71" s="1"/>
  <c r="D63" i="71"/>
  <c r="D75" i="71"/>
  <c r="C60" i="71"/>
  <c r="T60"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H25" i="40"/>
  <c r="AB25" i="40" s="1"/>
  <c r="J25" i="40"/>
  <c r="AC25" i="40" s="1"/>
  <c r="H29" i="39"/>
  <c r="AB29" i="39" s="1"/>
  <c r="J29" i="39"/>
  <c r="J18" i="36"/>
  <c r="AC18" i="36" s="1"/>
  <c r="H18" i="35"/>
  <c r="AB18" i="35" s="1"/>
  <c r="J18" i="35"/>
  <c r="AC18" i="35" s="1"/>
  <c r="H21" i="37"/>
  <c r="F21" i="37"/>
  <c r="H21" i="34"/>
  <c r="AB21" i="34" s="1"/>
  <c r="H21" i="33"/>
  <c r="U21" i="33" s="1"/>
  <c r="F21" i="33"/>
  <c r="S21" i="33" s="1"/>
  <c r="E83" i="21"/>
  <c r="F83" i="21" s="1"/>
  <c r="H1" i="69"/>
  <c r="W25" i="40"/>
  <c r="U25" i="40"/>
  <c r="U29" i="39"/>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H5"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H12" i="36" s="1"/>
  <c r="U12" i="36" s="1"/>
  <c r="B55" i="36"/>
  <c r="H11" i="36" s="1"/>
  <c r="U11"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Q27" i="36"/>
  <c r="Z27" i="36" s="1"/>
  <c r="Q26" i="36"/>
  <c r="Z26" i="36" s="1"/>
  <c r="H26" i="36"/>
  <c r="AB26" i="36" s="1"/>
  <c r="Q25" i="36"/>
  <c r="Z25" i="36" s="1"/>
  <c r="Q24" i="36"/>
  <c r="Z24" i="36"/>
  <c r="Q23" i="36"/>
  <c r="Z23" i="36" s="1"/>
  <c r="J23" i="36"/>
  <c r="AC23" i="36" s="1"/>
  <c r="AB23" i="36"/>
  <c r="F23" i="36"/>
  <c r="AA23" i="36" s="1"/>
  <c r="Q22" i="36"/>
  <c r="Z22" i="36" s="1"/>
  <c r="J22" i="36"/>
  <c r="AC22" i="36"/>
  <c r="Q20" i="36"/>
  <c r="Z20" i="36" s="1"/>
  <c r="Q16" i="36"/>
  <c r="Z16" i="36" s="1"/>
  <c r="Q14" i="36"/>
  <c r="Z14" i="36" s="1"/>
  <c r="Q13" i="36"/>
  <c r="Z13" i="36"/>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B75" i="35"/>
  <c r="J24" i="35" s="1"/>
  <c r="AC24" i="35" s="1"/>
  <c r="B73" i="35"/>
  <c r="B57" i="35"/>
  <c r="B61" i="35"/>
  <c r="B59" i="35"/>
  <c r="B131" i="34"/>
  <c r="B129" i="34"/>
  <c r="F46" i="34" s="1"/>
  <c r="B127" i="34"/>
  <c r="B99" i="34"/>
  <c r="H32" i="34" s="1"/>
  <c r="B97" i="34"/>
  <c r="B95" i="34"/>
  <c r="B93" i="34"/>
  <c r="B75" i="34"/>
  <c r="F14" i="34" s="1"/>
  <c r="B73" i="34"/>
  <c r="B71" i="34"/>
  <c r="B130" i="33"/>
  <c r="B128" i="33"/>
  <c r="H45" i="33" s="1"/>
  <c r="U45" i="33" s="1"/>
  <c r="B126" i="33"/>
  <c r="B98" i="33"/>
  <c r="B96" i="33"/>
  <c r="B94" i="33"/>
  <c r="H29" i="33" s="1"/>
  <c r="B74" i="33"/>
  <c r="B72" i="33"/>
  <c r="H13" i="33" s="1"/>
  <c r="U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Q33" i="35"/>
  <c r="Z33" i="35" s="1"/>
  <c r="Q32" i="35"/>
  <c r="Z32" i="35"/>
  <c r="H32" i="35"/>
  <c r="AB32" i="35" s="1"/>
  <c r="F32" i="35"/>
  <c r="AA32" i="35" s="1"/>
  <c r="Q31" i="35"/>
  <c r="Z31" i="35"/>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s="1"/>
  <c r="J40" i="33"/>
  <c r="AC40" i="33" s="1"/>
  <c r="H40" i="33"/>
  <c r="AB40" i="33"/>
  <c r="Q39" i="33"/>
  <c r="Z39" i="33" s="1"/>
  <c r="J39" i="33"/>
  <c r="Q38" i="33"/>
  <c r="Z38" i="33" s="1"/>
  <c r="J38" i="33"/>
  <c r="AC38" i="33"/>
  <c r="H38" i="33"/>
  <c r="AB38" i="33" s="1"/>
  <c r="F38" i="33"/>
  <c r="AA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J31" i="21" s="1"/>
  <c r="AC31" i="21" s="1"/>
  <c r="H31" i="21"/>
  <c r="B96" i="21"/>
  <c r="B94" i="21"/>
  <c r="J29" i="21" s="1"/>
  <c r="AC29" i="21" s="1"/>
  <c r="B92" i="21"/>
  <c r="F28" i="21" s="1"/>
  <c r="AA28" i="21" s="1"/>
  <c r="B90" i="21"/>
  <c r="H27" i="21" s="1"/>
  <c r="AB27" i="21" s="1"/>
  <c r="B74" i="21"/>
  <c r="B72" i="21"/>
  <c r="B70" i="21"/>
  <c r="F12" i="21" s="1"/>
  <c r="C19" i="21"/>
  <c r="C17" i="21"/>
  <c r="C23" i="21"/>
  <c r="Q9" i="21"/>
  <c r="Z9" i="21"/>
  <c r="Q10" i="21"/>
  <c r="Z10" i="21" s="1"/>
  <c r="Q11" i="21"/>
  <c r="Z11" i="21" s="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S41" i="21"/>
  <c r="AA41" i="21"/>
  <c r="F45" i="39"/>
  <c r="S45" i="39" s="1"/>
  <c r="J45" i="39"/>
  <c r="W45" i="39" s="1"/>
  <c r="J44" i="39"/>
  <c r="AC44" i="39"/>
  <c r="F36" i="39"/>
  <c r="S36" i="39" s="1"/>
  <c r="H36" i="39"/>
  <c r="AB36" i="39" s="1"/>
  <c r="J35" i="39"/>
  <c r="AC35" i="39" s="1"/>
  <c r="J36" i="39"/>
  <c r="AC36" i="39" s="1"/>
  <c r="U9" i="39"/>
  <c r="W40" i="39"/>
  <c r="W31" i="37"/>
  <c r="F39" i="37"/>
  <c r="S39" i="37" s="1"/>
  <c r="F29" i="36"/>
  <c r="AA29" i="36" s="1"/>
  <c r="F16" i="36"/>
  <c r="AA16" i="36" s="1"/>
  <c r="U31" i="36"/>
  <c r="H22" i="35"/>
  <c r="AB22" i="35" s="1"/>
  <c r="W22" i="35"/>
  <c r="F36" i="34"/>
  <c r="J35" i="34"/>
  <c r="H39" i="33"/>
  <c r="AB39" i="33" s="1"/>
  <c r="F26" i="33"/>
  <c r="AA26" i="33" s="1"/>
  <c r="U33" i="33"/>
  <c r="S40" i="33"/>
  <c r="H39" i="37"/>
  <c r="S27" i="35"/>
  <c r="F11" i="40"/>
  <c r="AA11" i="40" s="1"/>
  <c r="H11" i="40"/>
  <c r="AB11" i="40" s="1"/>
  <c r="W8" i="40"/>
  <c r="AB39" i="40"/>
  <c r="U9" i="40"/>
  <c r="S34" i="40"/>
  <c r="U34"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H11" i="39"/>
  <c r="C15" i="39"/>
  <c r="H32" i="33"/>
  <c r="AB32" i="33"/>
  <c r="H11" i="21"/>
  <c r="U11" i="21" s="1"/>
  <c r="J11" i="21"/>
  <c r="W11" i="21" s="1"/>
  <c r="H37" i="40"/>
  <c r="U37" i="40"/>
  <c r="H36" i="40"/>
  <c r="AB36" i="40" s="1"/>
  <c r="F35" i="40"/>
  <c r="AA35" i="40"/>
  <c r="H23" i="40"/>
  <c r="AB23" i="40" s="1"/>
  <c r="H17" i="40"/>
  <c r="U17" i="40" s="1"/>
  <c r="J15" i="40"/>
  <c r="W15" i="40" s="1"/>
  <c r="J11" i="40"/>
  <c r="W11" i="40" s="1"/>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H16" i="35"/>
  <c r="U16" i="35" s="1"/>
  <c r="F16" i="35"/>
  <c r="S16" i="35" s="1"/>
  <c r="H14" i="35"/>
  <c r="AB14" i="35"/>
  <c r="J29" i="35"/>
  <c r="H33" i="35"/>
  <c r="J20" i="35"/>
  <c r="W20" i="35"/>
  <c r="F35" i="37"/>
  <c r="S35" i="37" s="1"/>
  <c r="E101" i="37"/>
  <c r="F101" i="37" s="1"/>
  <c r="G101" i="37" s="1"/>
  <c r="H101" i="37" s="1"/>
  <c r="I101" i="37" s="1"/>
  <c r="J101" i="37" s="1"/>
  <c r="K101" i="37" s="1"/>
  <c r="L101" i="37" s="1"/>
  <c r="M101" i="37" s="1"/>
  <c r="J34" i="37"/>
  <c r="W34" i="37"/>
  <c r="J33" i="37"/>
  <c r="AC33" i="37" s="1"/>
  <c r="H40" i="34"/>
  <c r="U40" i="34"/>
  <c r="E114" i="34"/>
  <c r="H36" i="34"/>
  <c r="U36" i="34" s="1"/>
  <c r="F37" i="34"/>
  <c r="AA37" i="34" s="1"/>
  <c r="S35" i="34"/>
  <c r="F28" i="34"/>
  <c r="AA28" i="34" s="1"/>
  <c r="F25" i="34"/>
  <c r="S25" i="34" s="1"/>
  <c r="H23" i="34"/>
  <c r="AB23" i="34" s="1"/>
  <c r="U23" i="34"/>
  <c r="J23" i="34"/>
  <c r="F19" i="34"/>
  <c r="H17" i="34"/>
  <c r="AB17" i="34" s="1"/>
  <c r="U17" i="34"/>
  <c r="F15" i="34"/>
  <c r="AA15" i="34" s="1"/>
  <c r="J15" i="34"/>
  <c r="W15" i="34" s="1"/>
  <c r="H15" i="34"/>
  <c r="AB15" i="34" s="1"/>
  <c r="W8" i="34"/>
  <c r="J28" i="34"/>
  <c r="W28" i="34" s="1"/>
  <c r="F41" i="33"/>
  <c r="S41" i="33" s="1"/>
  <c r="S38" i="33"/>
  <c r="E113" i="33"/>
  <c r="F32" i="33"/>
  <c r="AA32" i="33" s="1"/>
  <c r="J19" i="33"/>
  <c r="AC19" i="33" s="1"/>
  <c r="J15" i="33"/>
  <c r="AC15" i="33" s="1"/>
  <c r="F11" i="33"/>
  <c r="AA11" i="33" s="1"/>
  <c r="U40" i="33"/>
  <c r="W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42" i="34"/>
  <c r="S42" i="34"/>
  <c r="AA38" i="34"/>
  <c r="J37" i="34"/>
  <c r="AC37" i="34" s="1"/>
  <c r="J11" i="33"/>
  <c r="W11" i="33" s="1"/>
  <c r="S28" i="34"/>
  <c r="J42" i="21"/>
  <c r="AC42" i="21" s="1"/>
  <c r="H42" i="21"/>
  <c r="U42" i="21" s="1"/>
  <c r="J44" i="34"/>
  <c r="F44" i="34"/>
  <c r="AA44" i="34" s="1"/>
  <c r="J10" i="35"/>
  <c r="AC10" i="35" s="1"/>
  <c r="J14" i="21"/>
  <c r="W14" i="21" s="1"/>
  <c r="F14" i="21"/>
  <c r="S14" i="21" s="1"/>
  <c r="H14" i="21"/>
  <c r="U14" i="21" s="1"/>
  <c r="H28" i="21"/>
  <c r="AB28" i="21" s="1"/>
  <c r="J28" i="21"/>
  <c r="W28" i="21" s="1"/>
  <c r="H30" i="21"/>
  <c r="AB30" i="21" s="1"/>
  <c r="F30" i="21"/>
  <c r="S30" i="21" s="1"/>
  <c r="J30" i="21"/>
  <c r="AC30" i="21" s="1"/>
  <c r="H44" i="21"/>
  <c r="U44" i="21" s="1"/>
  <c r="J46" i="21"/>
  <c r="E119" i="21"/>
  <c r="F119" i="21" s="1"/>
  <c r="G119" i="21" s="1"/>
  <c r="H119" i="21" s="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H29" i="21"/>
  <c r="U29" i="21" s="1"/>
  <c r="F31" i="21"/>
  <c r="S31" i="21" s="1"/>
  <c r="F45" i="21"/>
  <c r="AA45" i="21" s="1"/>
  <c r="F27" i="33"/>
  <c r="AA27" i="33" s="1"/>
  <c r="J13" i="33"/>
  <c r="F13" i="33"/>
  <c r="S13" i="33" s="1"/>
  <c r="H31" i="33"/>
  <c r="J14" i="34"/>
  <c r="W14" i="34" s="1"/>
  <c r="F30" i="34"/>
  <c r="S30" i="34" s="1"/>
  <c r="H46" i="34"/>
  <c r="AB46" i="34" s="1"/>
  <c r="J46" i="34"/>
  <c r="F11" i="35"/>
  <c r="S11" i="35" s="1"/>
  <c r="J26" i="36"/>
  <c r="W26" i="36" s="1"/>
  <c r="H28" i="36"/>
  <c r="U28" i="36" s="1"/>
  <c r="H32" i="36"/>
  <c r="AB32" i="36" s="1"/>
  <c r="J32" i="36"/>
  <c r="W32" i="36" s="1"/>
  <c r="J11" i="36"/>
  <c r="AC11" i="36" s="1"/>
  <c r="F11" i="36"/>
  <c r="AA11" i="36" s="1"/>
  <c r="H13" i="36"/>
  <c r="AB13" i="36" s="1"/>
  <c r="J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W12" i="40"/>
  <c r="H14" i="33"/>
  <c r="U14" i="33" s="1"/>
  <c r="F14" i="33"/>
  <c r="J14" i="33"/>
  <c r="H30" i="33"/>
  <c r="AB30" i="33" s="1"/>
  <c r="F30" i="33"/>
  <c r="J30" i="33"/>
  <c r="H44" i="33"/>
  <c r="J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c r="J13" i="37"/>
  <c r="W13" i="37" s="1"/>
  <c r="F28" i="37"/>
  <c r="AA28" i="37" s="1"/>
  <c r="H38" i="37"/>
  <c r="AB38" i="37" s="1"/>
  <c r="J38" i="37"/>
  <c r="AC38" i="37" s="1"/>
  <c r="F38" i="37"/>
  <c r="S38" i="37" s="1"/>
  <c r="F43" i="39"/>
  <c r="AA43" i="39" s="1"/>
  <c r="H43" i="39"/>
  <c r="F14" i="39"/>
  <c r="F12" i="40"/>
  <c r="S12" i="40" s="1"/>
  <c r="H12" i="40"/>
  <c r="AB12" i="40" s="1"/>
  <c r="H30" i="40"/>
  <c r="AB30" i="40" s="1"/>
  <c r="F33" i="40"/>
  <c r="AA33" i="40"/>
  <c r="H33" i="40"/>
  <c r="U33" i="40" s="1"/>
  <c r="J35" i="40"/>
  <c r="J37" i="40"/>
  <c r="AC37" i="40" s="1"/>
  <c r="H13" i="40"/>
  <c r="U13" i="40"/>
  <c r="J13" i="40"/>
  <c r="W13" i="40" s="1"/>
  <c r="F13" i="40"/>
  <c r="AA13" i="40" s="1"/>
  <c r="F14" i="37"/>
  <c r="F27" i="37"/>
  <c r="AA27" i="37"/>
  <c r="F13" i="39"/>
  <c r="J13" i="39"/>
  <c r="W13" i="39" s="1"/>
  <c r="H13" i="39"/>
  <c r="H14" i="40"/>
  <c r="U14" i="40" s="1"/>
  <c r="J14" i="40"/>
  <c r="W14" i="40" s="1"/>
  <c r="F14" i="40"/>
  <c r="J14" i="37"/>
  <c r="J27" i="37"/>
  <c r="AC27" i="37" s="1"/>
  <c r="AA44" i="33"/>
  <c r="J36" i="37"/>
  <c r="AC36" i="37" s="1"/>
  <c r="J10" i="36"/>
  <c r="AC10" i="36" s="1"/>
  <c r="W31" i="34"/>
  <c r="S44" i="34"/>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76" i="3"/>
  <c r="G568" i="3"/>
  <c r="G560" i="3"/>
  <c r="G554" i="3"/>
  <c r="G550" i="3"/>
  <c r="BL572" i="3"/>
  <c r="BL554" i="3"/>
  <c r="BL546" i="3"/>
  <c r="BL542" i="3"/>
  <c r="BL538" i="3"/>
  <c r="BL534" i="3"/>
  <c r="BL530" i="3"/>
  <c r="BL526" i="3"/>
  <c r="BL522" i="3"/>
  <c r="BL516" i="3"/>
  <c r="BL512" i="3"/>
  <c r="BL506" i="3"/>
  <c r="BL502" i="3"/>
  <c r="BL498" i="3"/>
  <c r="AZ498" i="3" s="1"/>
  <c r="BL494" i="3"/>
  <c r="BL582" i="3"/>
  <c r="BL566" i="3"/>
  <c r="BL552" i="3"/>
  <c r="BL544" i="3"/>
  <c r="AZ544" i="3" s="1"/>
  <c r="BL540" i="3"/>
  <c r="BL536" i="3"/>
  <c r="G533" i="3"/>
  <c r="BL532" i="3"/>
  <c r="G529" i="3"/>
  <c r="BL528" i="3"/>
  <c r="G525" i="3"/>
  <c r="BL524" i="3"/>
  <c r="BL518" i="3"/>
  <c r="BL514" i="3"/>
  <c r="BL510" i="3"/>
  <c r="BL504" i="3"/>
  <c r="BL500" i="3"/>
  <c r="BL496" i="3"/>
  <c r="G493" i="3"/>
  <c r="BA572" i="3"/>
  <c r="AZ572" i="3" s="1"/>
  <c r="BA564" i="3"/>
  <c r="BA556" i="3"/>
  <c r="BA554" i="3"/>
  <c r="BA552" i="3"/>
  <c r="AZ552" i="3"/>
  <c r="BA548" i="3"/>
  <c r="BA546" i="3"/>
  <c r="AZ546" i="3" s="1"/>
  <c r="BA544" i="3"/>
  <c r="BA542" i="3"/>
  <c r="BA540" i="3"/>
  <c r="BA538" i="3"/>
  <c r="AZ538" i="3" s="1"/>
  <c r="BA536" i="3"/>
  <c r="AZ536" i="3" s="1"/>
  <c r="BA534" i="3"/>
  <c r="BA532" i="3"/>
  <c r="AZ532" i="3" s="1"/>
  <c r="BA530" i="3"/>
  <c r="BA528" i="3"/>
  <c r="AZ528" i="3" s="1"/>
  <c r="BA526" i="3"/>
  <c r="BA524" i="3"/>
  <c r="BA522" i="3"/>
  <c r="BA520" i="3"/>
  <c r="AZ520" i="3" s="1"/>
  <c r="BA518" i="3"/>
  <c r="BA516" i="3"/>
  <c r="BA514" i="3"/>
  <c r="BA512" i="3"/>
  <c r="AZ512" i="3" s="1"/>
  <c r="BA510" i="3"/>
  <c r="AZ510" i="3"/>
  <c r="BA508" i="3"/>
  <c r="BA506" i="3"/>
  <c r="BA504" i="3"/>
  <c r="AZ504" i="3"/>
  <c r="BA502" i="3"/>
  <c r="BA500" i="3"/>
  <c r="BA498" i="3"/>
  <c r="BA496" i="3"/>
  <c r="BA494" i="3"/>
  <c r="AZ494" i="3" s="1"/>
  <c r="BA583" i="3"/>
  <c r="BA575" i="3"/>
  <c r="BA567"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75" i="3"/>
  <c r="G567" i="3"/>
  <c r="BL558" i="3"/>
  <c r="AC557" i="3"/>
  <c r="BQ557" i="3"/>
  <c r="BQ583" i="3"/>
  <c r="BQ581" i="3"/>
  <c r="BQ579" i="3"/>
  <c r="BQ577" i="3"/>
  <c r="BL577" i="3" s="1"/>
  <c r="BQ575" i="3"/>
  <c r="BQ573" i="3"/>
  <c r="BL573" i="3" s="1"/>
  <c r="BQ571" i="3"/>
  <c r="BQ569" i="3"/>
  <c r="BL569" i="3" s="1"/>
  <c r="BQ567" i="3"/>
  <c r="BQ565" i="3"/>
  <c r="BL565" i="3" s="1"/>
  <c r="BQ563" i="3"/>
  <c r="BQ561" i="3"/>
  <c r="BL561" i="3" s="1"/>
  <c r="BQ559" i="3"/>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c r="BQ535" i="3"/>
  <c r="BL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BQ503" i="3"/>
  <c r="BL503" i="3" s="1"/>
  <c r="BQ501" i="3"/>
  <c r="BL501" i="3" s="1"/>
  <c r="AZ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AC36" i="34"/>
  <c r="U11" i="33"/>
  <c r="U19" i="21"/>
  <c r="F43" i="33"/>
  <c r="AA43" i="33" s="1"/>
  <c r="AC15" i="34"/>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F15" i="37"/>
  <c r="E94" i="37"/>
  <c r="F31" i="37"/>
  <c r="S31" i="37"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C7" i="36"/>
  <c r="C46" i="36" s="1"/>
  <c r="D46" i="36" s="1"/>
  <c r="E46" i="36" s="1"/>
  <c r="F46" i="36" s="1"/>
  <c r="G46" i="36" s="1"/>
  <c r="H46" i="36" s="1"/>
  <c r="I46" i="36" s="1"/>
  <c r="A118" i="9"/>
  <c r="A4" i="52"/>
  <c r="B41" i="72" s="1"/>
  <c r="J11" i="39"/>
  <c r="W11" i="39" s="1"/>
  <c r="F11" i="39"/>
  <c r="G4" i="4"/>
  <c r="I4" i="4"/>
  <c r="A2" i="9"/>
  <c r="F61" i="43"/>
  <c r="H64" i="43" s="1"/>
  <c r="AZ497" i="3"/>
  <c r="BL549" i="3"/>
  <c r="AZ514" i="3"/>
  <c r="AZ522"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AZ144" i="3" s="1"/>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AZ314" i="3" s="1"/>
  <c r="BL315" i="3"/>
  <c r="G316" i="3"/>
  <c r="BA318" i="3"/>
  <c r="BL319" i="3"/>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3" i="3"/>
  <c r="BA379" i="3"/>
  <c r="BL380" i="3"/>
  <c r="G381" i="3"/>
  <c r="BA383" i="3"/>
  <c r="AZ383" i="3" s="1"/>
  <c r="BL384" i="3"/>
  <c r="G385" i="3"/>
  <c r="BA387" i="3"/>
  <c r="AZ387" i="3" s="1"/>
  <c r="BL388" i="3"/>
  <c r="G389" i="3"/>
  <c r="BA391" i="3"/>
  <c r="AZ391" i="3" s="1"/>
  <c r="BL392" i="3"/>
  <c r="G393" i="3"/>
  <c r="BO5" i="3"/>
  <c r="BM5" i="3"/>
  <c r="BJ5" i="3"/>
  <c r="BH5" i="3"/>
  <c r="BF5" i="3"/>
  <c r="BD5" i="3"/>
  <c r="AZ506" i="3"/>
  <c r="AZ496" i="3"/>
  <c r="G548" i="3"/>
  <c r="G538" i="3"/>
  <c r="G520" i="3"/>
  <c r="G502" i="3"/>
  <c r="BS5" i="3"/>
  <c r="BP5" i="3"/>
  <c r="BN5" i="3"/>
  <c r="G29" i="6" s="1"/>
  <c r="BK5" i="3"/>
  <c r="BI5" i="3"/>
  <c r="BG5" i="3"/>
  <c r="BE5" i="3"/>
  <c r="BC5" i="3"/>
  <c r="G17" i="3"/>
  <c r="BA17" i="3"/>
  <c r="BT5" i="3"/>
  <c r="BA15" i="3"/>
  <c r="BB5" i="3"/>
  <c r="BR5" i="3"/>
  <c r="AZ380" i="3"/>
  <c r="AZ392" i="3"/>
  <c r="G509" i="3"/>
  <c r="BL493" i="3"/>
  <c r="AZ493" i="3" s="1"/>
  <c r="U36" i="40"/>
  <c r="F83" i="43"/>
  <c r="H85" i="43" s="1"/>
  <c r="F50" i="43"/>
  <c r="H54" i="43" s="1"/>
  <c r="F72" i="43"/>
  <c r="H75" i="43" s="1"/>
  <c r="U17" i="39"/>
  <c r="U35" i="21"/>
  <c r="AC35" i="21"/>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35" i="3"/>
  <c r="AZ248"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K6" i="1"/>
  <c r="AP6" i="1" s="1"/>
  <c r="AB34" i="36"/>
  <c r="U34" i="36"/>
  <c r="AC39" i="40"/>
  <c r="W39" i="40"/>
  <c r="W12" i="33"/>
  <c r="AC12" i="33"/>
  <c r="AA32" i="36"/>
  <c r="S32" i="36"/>
  <c r="BL14" i="3"/>
  <c r="U30" i="33"/>
  <c r="AC13" i="34"/>
  <c r="AA47" i="34"/>
  <c r="S19" i="39"/>
  <c r="F12" i="33"/>
  <c r="H12" i="39"/>
  <c r="AB12" i="39" s="1"/>
  <c r="F39" i="40"/>
  <c r="AA39" i="40" s="1"/>
  <c r="BA14" i="3"/>
  <c r="AZ367" i="3"/>
  <c r="B12" i="1"/>
  <c r="E12" i="1" s="1"/>
  <c r="B10" i="1"/>
  <c r="E10" i="1" s="1"/>
  <c r="K12" i="1"/>
  <c r="M12" i="1" s="1"/>
  <c r="S13" i="1"/>
  <c r="AR13" i="1" s="1"/>
  <c r="R13" i="1"/>
  <c r="J51" i="67"/>
  <c r="C42" i="1"/>
  <c r="C24" i="12" s="1"/>
  <c r="AC34" i="33"/>
  <c r="AA34" i="33"/>
  <c r="AB37" i="40"/>
  <c r="S35" i="40"/>
  <c r="U35" i="40"/>
  <c r="AC36" i="40"/>
  <c r="AA32" i="40"/>
  <c r="S17" i="40"/>
  <c r="S23" i="40"/>
  <c r="AC17" i="40"/>
  <c r="AC15"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G94" i="39"/>
  <c r="H21" i="39"/>
  <c r="W19" i="39"/>
  <c r="U19" i="39"/>
  <c r="S17" i="39"/>
  <c r="S9"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W42" i="33"/>
  <c r="S27" i="33"/>
  <c r="S32"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U25" i="33" s="1"/>
  <c r="F25" i="33"/>
  <c r="AA25" i="33" s="1"/>
  <c r="J23" i="33"/>
  <c r="AC23" i="33" s="1"/>
  <c r="F85" i="33"/>
  <c r="H23" i="33"/>
  <c r="AB23" i="33" s="1"/>
  <c r="F81" i="33"/>
  <c r="G81" i="33" s="1"/>
  <c r="F19" i="33"/>
  <c r="S19" i="33" s="1"/>
  <c r="W19" i="33"/>
  <c r="J17" i="33"/>
  <c r="F79" i="33"/>
  <c r="G79" i="33" s="1"/>
  <c r="S15" i="33"/>
  <c r="W15" i="33"/>
  <c r="U9" i="33"/>
  <c r="J10" i="33"/>
  <c r="W10" i="33" s="1"/>
  <c r="H10" i="33"/>
  <c r="U10" i="33" s="1"/>
  <c r="AC11" i="33"/>
  <c r="AB14" i="33"/>
  <c r="W41" i="21"/>
  <c r="AB39" i="21"/>
  <c r="S39" i="21"/>
  <c r="AA36" i="21"/>
  <c r="AC40" i="21"/>
  <c r="J15" i="21"/>
  <c r="W15" i="21" s="1"/>
  <c r="F77" i="21"/>
  <c r="G77" i="21" s="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U38" i="37"/>
  <c r="AB37" i="37"/>
  <c r="AC34" i="37"/>
  <c r="AA31" i="37"/>
  <c r="U19" i="37"/>
  <c r="AA29" i="37"/>
  <c r="U8" i="37"/>
  <c r="AB40" i="34"/>
  <c r="U19" i="34"/>
  <c r="W19" i="34"/>
  <c r="AC45" i="34"/>
  <c r="AA31" i="34"/>
  <c r="AA30" i="34"/>
  <c r="AB45" i="34"/>
  <c r="AB47" i="34"/>
  <c r="U25" i="34"/>
  <c r="AB36" i="34"/>
  <c r="W33" i="34"/>
  <c r="AC14" i="34"/>
  <c r="AC29" i="34"/>
  <c r="W29" i="34"/>
  <c r="W46" i="34"/>
  <c r="AC46" i="34"/>
  <c r="S37" i="34"/>
  <c r="U38" i="34"/>
  <c r="AC40" i="34"/>
  <c r="W40" i="34"/>
  <c r="AA19" i="34"/>
  <c r="S19" i="34"/>
  <c r="AA36" i="34"/>
  <c r="S36" i="34"/>
  <c r="AA8" i="34"/>
  <c r="S8" i="34"/>
  <c r="AB9" i="34"/>
  <c r="U9" i="34"/>
  <c r="S46" i="34"/>
  <c r="AA46" i="34"/>
  <c r="AC43" i="34"/>
  <c r="W43" i="34"/>
  <c r="W23" i="34"/>
  <c r="AC23" i="34"/>
  <c r="AC35" i="34"/>
  <c r="W35" i="34"/>
  <c r="AC37" i="33"/>
  <c r="W46" i="33"/>
  <c r="U39" i="33"/>
  <c r="U38" i="33"/>
  <c r="S33" i="33"/>
  <c r="AB34" i="33"/>
  <c r="U44" i="33"/>
  <c r="AB44" i="33"/>
  <c r="S30" i="33"/>
  <c r="AA30" i="33"/>
  <c r="AC14" i="33"/>
  <c r="W14" i="33"/>
  <c r="AC30" i="33"/>
  <c r="W30" i="33"/>
  <c r="W13" i="33"/>
  <c r="AC13" i="33"/>
  <c r="U15" i="33"/>
  <c r="S11" i="33"/>
  <c r="U37" i="33"/>
  <c r="S28" i="33"/>
  <c r="W9" i="33"/>
  <c r="W8" i="33"/>
  <c r="U28" i="21"/>
  <c r="S45" i="21"/>
  <c r="F33" i="21"/>
  <c r="AA33" i="21" s="1"/>
  <c r="J33" i="21"/>
  <c r="AC33" i="21" s="1"/>
  <c r="H33" i="21"/>
  <c r="AB33" i="21" s="1"/>
  <c r="F37" i="21"/>
  <c r="AA37" i="21" s="1"/>
  <c r="AB14" i="21"/>
  <c r="U40" i="21"/>
  <c r="AB31" i="21"/>
  <c r="U31" i="21"/>
  <c r="S35" i="21"/>
  <c r="J37" i="21"/>
  <c r="W37" i="21" s="1"/>
  <c r="H15" i="21"/>
  <c r="U15" i="21" s="1"/>
  <c r="J17" i="21"/>
  <c r="AC17" i="21" s="1"/>
  <c r="AC19" i="21"/>
  <c r="W39" i="21"/>
  <c r="AC14" i="21"/>
  <c r="W30" i="21"/>
  <c r="H45" i="21"/>
  <c r="U45" i="21" s="1"/>
  <c r="F29" i="21"/>
  <c r="AA29" i="21" s="1"/>
  <c r="F13" i="21"/>
  <c r="AA13" i="21" s="1"/>
  <c r="H9" i="21"/>
  <c r="AB9" i="21" s="1"/>
  <c r="J9" i="21"/>
  <c r="W9" i="21" s="1"/>
  <c r="AA31" i="21"/>
  <c r="U17" i="21"/>
  <c r="W29" i="21"/>
  <c r="S19" i="21"/>
  <c r="S9" i="21"/>
  <c r="AA9" i="21"/>
  <c r="K141" i="21"/>
  <c r="K144" i="21"/>
  <c r="K143" i="21"/>
  <c r="AB25" i="21"/>
  <c r="AA30" i="21"/>
  <c r="W42" i="21"/>
  <c r="AC45" i="21"/>
  <c r="F10" i="21"/>
  <c r="AA10" i="21" s="1"/>
  <c r="K145" i="21"/>
  <c r="W25" i="21"/>
  <c r="W31" i="21"/>
  <c r="S17"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W32" i="39" s="1"/>
  <c r="H32" i="39"/>
  <c r="AB32" i="39" s="1"/>
  <c r="AA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J36" i="33"/>
  <c r="W36" i="33" s="1"/>
  <c r="H36" i="33"/>
  <c r="U36" i="33" s="1"/>
  <c r="S36" i="33"/>
  <c r="U27" i="33"/>
  <c r="AB27" i="33"/>
  <c r="J27" i="33"/>
  <c r="W27" i="33" s="1"/>
  <c r="AB25" i="33"/>
  <c r="S25" i="33"/>
  <c r="G87" i="33"/>
  <c r="H87" i="33" s="1"/>
  <c r="I87" i="33" s="1"/>
  <c r="J87" i="33" s="1"/>
  <c r="K87" i="33" s="1"/>
  <c r="L87" i="33" s="1"/>
  <c r="M87" i="33" s="1"/>
  <c r="J25" i="33"/>
  <c r="AC25" i="33" s="1"/>
  <c r="U23" i="33"/>
  <c r="F23" i="33"/>
  <c r="G85" i="33"/>
  <c r="H19" i="33"/>
  <c r="AB19" i="33" s="1"/>
  <c r="H17" i="33"/>
  <c r="U17" i="33" s="1"/>
  <c r="F17" i="33"/>
  <c r="S17" i="33" s="1"/>
  <c r="W17" i="33"/>
  <c r="AC17" i="33"/>
  <c r="AB15" i="21"/>
  <c r="J23" i="21"/>
  <c r="AC23" i="21" s="1"/>
  <c r="F85" i="21"/>
  <c r="G85" i="21" s="1"/>
  <c r="H23" i="21"/>
  <c r="AB23" i="21" s="1"/>
  <c r="S13" i="21"/>
  <c r="D6" i="52"/>
  <c r="AP7" i="1"/>
  <c r="U9" i="21"/>
  <c r="AC9" i="21"/>
  <c r="A18" i="62"/>
  <c r="B64" i="72" s="1"/>
  <c r="AC32" i="39"/>
  <c r="J11" i="37"/>
  <c r="AC11" i="37" s="1"/>
  <c r="J11" i="34"/>
  <c r="W11" i="34" s="1"/>
  <c r="U19" i="33"/>
  <c r="U23" i="21"/>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F20" i="31"/>
  <c r="B9" i="76"/>
  <c r="B8" i="76"/>
  <c r="D6" i="73"/>
  <c r="F16" i="15"/>
  <c r="D35" i="9"/>
  <c r="F36" i="15"/>
  <c r="E2" i="69"/>
  <c r="F26" i="67"/>
  <c r="F7" i="15"/>
  <c r="M8" i="67"/>
  <c r="F26" i="15"/>
  <c r="B10" i="76"/>
  <c r="L48" i="67"/>
  <c r="F5" i="73"/>
  <c r="E12" i="76"/>
  <c r="C76" i="15"/>
  <c r="F9" i="15"/>
  <c r="E9" i="76"/>
  <c r="E10" i="76"/>
  <c r="B7" i="76"/>
  <c r="F13" i="15"/>
  <c r="B13" i="76"/>
  <c r="F4" i="73"/>
  <c r="F40" i="15"/>
  <c r="F7" i="73"/>
  <c r="M28" i="15"/>
  <c r="F42" i="15"/>
  <c r="M26" i="15"/>
  <c r="E8" i="76"/>
  <c r="F43" i="15"/>
  <c r="C76" i="67"/>
  <c r="M24" i="15"/>
  <c r="E11" i="76"/>
  <c r="M29" i="15"/>
  <c r="F3" i="73"/>
  <c r="B11" i="76"/>
  <c r="B12" i="76"/>
  <c r="E13" i="76"/>
  <c r="L47" i="15"/>
  <c r="M22" i="67"/>
  <c r="F38" i="15"/>
  <c r="F37" i="15"/>
  <c r="D34" i="9"/>
  <c r="AO13" i="1"/>
  <c r="F8" i="15"/>
  <c r="L48" i="15"/>
  <c r="F6" i="15"/>
  <c r="F37" i="67"/>
  <c r="M6" i="15"/>
  <c r="F6" i="73"/>
  <c r="M24" i="67"/>
  <c r="F7" i="67"/>
  <c r="J15" i="15"/>
  <c r="E2" i="68"/>
  <c r="M8" i="15"/>
  <c r="U29" i="33" l="1"/>
  <c r="AB29" i="33"/>
  <c r="U32" i="34"/>
  <c r="AB32" i="34"/>
  <c r="W25" i="33"/>
  <c r="AB41" i="34"/>
  <c r="AB27" i="40"/>
  <c r="AC5" i="3"/>
  <c r="G557" i="3"/>
  <c r="U34" i="37"/>
  <c r="S29" i="35"/>
  <c r="AA29" i="35"/>
  <c r="S26" i="33"/>
  <c r="U34" i="34"/>
  <c r="AC27" i="35"/>
  <c r="AC28" i="35"/>
  <c r="W28" i="35"/>
  <c r="AB34" i="35"/>
  <c r="U34" i="35"/>
  <c r="AA40" i="39"/>
  <c r="S40" i="39"/>
  <c r="J12" i="39"/>
  <c r="F12" i="39"/>
  <c r="W23" i="21"/>
  <c r="U32" i="39"/>
  <c r="AC32" i="33"/>
  <c r="AA19" i="37"/>
  <c r="AB35" i="37"/>
  <c r="S14" i="35"/>
  <c r="AZ543" i="3"/>
  <c r="AZ573" i="3"/>
  <c r="AZ503" i="3"/>
  <c r="AA14" i="40"/>
  <c r="S14" i="40"/>
  <c r="S14" i="37"/>
  <c r="AA14" i="37"/>
  <c r="S14" i="33"/>
  <c r="AA14" i="33"/>
  <c r="AC16" i="35"/>
  <c r="W16" i="35"/>
  <c r="BA587" i="3"/>
  <c r="BA586" i="3"/>
  <c r="H13" i="21"/>
  <c r="J13" i="21"/>
  <c r="J44" i="21"/>
  <c r="F44" i="21"/>
  <c r="AA44" i="21" s="1"/>
  <c r="F9" i="33"/>
  <c r="AA9" i="33" s="1"/>
  <c r="J31" i="33"/>
  <c r="F31" i="33"/>
  <c r="H30" i="34"/>
  <c r="J30" i="34"/>
  <c r="H11" i="35"/>
  <c r="AB11" i="35" s="1"/>
  <c r="J11" i="35"/>
  <c r="W11" i="35" s="1"/>
  <c r="BL584" i="3"/>
  <c r="AZ584" i="3" s="1"/>
  <c r="BA581" i="3"/>
  <c r="BA578" i="3"/>
  <c r="BL576" i="3"/>
  <c r="AZ576" i="3" s="1"/>
  <c r="BA573" i="3"/>
  <c r="BA570" i="3"/>
  <c r="BL568" i="3"/>
  <c r="AZ568" i="3" s="1"/>
  <c r="BA565" i="3"/>
  <c r="AZ565" i="3" s="1"/>
  <c r="BA562" i="3"/>
  <c r="BL560" i="3"/>
  <c r="AZ560" i="3" s="1"/>
  <c r="BA557" i="3"/>
  <c r="AA17" i="33"/>
  <c r="AC20" i="36"/>
  <c r="S20" i="36"/>
  <c r="AA35" i="33"/>
  <c r="S20" i="35"/>
  <c r="S15" i="39"/>
  <c r="AC11" i="39"/>
  <c r="F29" i="6"/>
  <c r="AZ357" i="3"/>
  <c r="AZ344" i="3"/>
  <c r="AZ304" i="3"/>
  <c r="AZ378" i="3"/>
  <c r="AZ360" i="3"/>
  <c r="AA13" i="33"/>
  <c r="BL583" i="3"/>
  <c r="AZ583" i="3" s="1"/>
  <c r="AZ554" i="3"/>
  <c r="H14" i="34"/>
  <c r="AC38" i="34"/>
  <c r="B101" i="43"/>
  <c r="B79" i="43"/>
  <c r="C25" i="39"/>
  <c r="AC33" i="33"/>
  <c r="W33" i="33"/>
  <c r="J28" i="33"/>
  <c r="H28" i="33"/>
  <c r="H26" i="33"/>
  <c r="U26" i="33" s="1"/>
  <c r="J26" i="33"/>
  <c r="J24" i="36"/>
  <c r="H24" i="36"/>
  <c r="F24" i="36"/>
  <c r="J28" i="37"/>
  <c r="H28" i="37"/>
  <c r="F40" i="37"/>
  <c r="H40" i="37"/>
  <c r="AA44" i="39"/>
  <c r="S44" i="39"/>
  <c r="J14" i="39"/>
  <c r="AC14" i="39" s="1"/>
  <c r="H14" i="39"/>
  <c r="AA34" i="39"/>
  <c r="S34" i="39"/>
  <c r="AZ556" i="3"/>
  <c r="AC35" i="40"/>
  <c r="W35" i="40"/>
  <c r="AC44" i="33"/>
  <c r="W44" i="33"/>
  <c r="U34" i="39"/>
  <c r="AB34" i="39"/>
  <c r="U39" i="37"/>
  <c r="AB39" i="37"/>
  <c r="J27" i="21"/>
  <c r="W27" i="21" s="1"/>
  <c r="F27" i="21"/>
  <c r="AA27" i="21" s="1"/>
  <c r="H46" i="21"/>
  <c r="F46" i="21"/>
  <c r="J27" i="34"/>
  <c r="H27" i="34"/>
  <c r="F29" i="33"/>
  <c r="J29" i="33"/>
  <c r="J45" i="33"/>
  <c r="F45" i="33"/>
  <c r="AA45" i="33" s="1"/>
  <c r="S14" i="34"/>
  <c r="AA14" i="34"/>
  <c r="J32" i="34"/>
  <c r="F32" i="34"/>
  <c r="F12" i="35"/>
  <c r="J12" i="35"/>
  <c r="H12" i="35"/>
  <c r="AC28" i="36"/>
  <c r="W28" i="36"/>
  <c r="J31" i="40"/>
  <c r="H31" i="40"/>
  <c r="W31" i="35"/>
  <c r="AC31" i="35"/>
  <c r="W30" i="36"/>
  <c r="AC30" i="36"/>
  <c r="BA582" i="3"/>
  <c r="BL579" i="3"/>
  <c r="BL578" i="3"/>
  <c r="BA577" i="3"/>
  <c r="BA574" i="3"/>
  <c r="AZ574" i="3" s="1"/>
  <c r="BL570" i="3"/>
  <c r="BA569" i="3"/>
  <c r="BA566" i="3"/>
  <c r="BL562" i="3"/>
  <c r="BA561" i="3"/>
  <c r="AZ561" i="3" s="1"/>
  <c r="BA558" i="3"/>
  <c r="AZ558" i="3" s="1"/>
  <c r="AZ531" i="3"/>
  <c r="AZ553" i="3"/>
  <c r="BL559" i="3"/>
  <c r="AZ559" i="3" s="1"/>
  <c r="BL567" i="3"/>
  <c r="BL575" i="3"/>
  <c r="BL581" i="3"/>
  <c r="AZ534" i="3"/>
  <c r="AZ542" i="3"/>
  <c r="AA34" i="37"/>
  <c r="E89" i="21"/>
  <c r="H26" i="21"/>
  <c r="AB26" i="21" s="1"/>
  <c r="AA40" i="21"/>
  <c r="S40" i="21"/>
  <c r="J23" i="35"/>
  <c r="H23" i="35"/>
  <c r="F23" i="35"/>
  <c r="H33" i="36"/>
  <c r="J33" i="36"/>
  <c r="AC33" i="36" s="1"/>
  <c r="F38" i="40"/>
  <c r="J38" i="40"/>
  <c r="H38" i="40"/>
  <c r="H35" i="39"/>
  <c r="F35" i="39"/>
  <c r="AZ356" i="3"/>
  <c r="AZ505" i="3"/>
  <c r="AZ535" i="3"/>
  <c r="AZ541" i="3"/>
  <c r="BL563" i="3"/>
  <c r="AZ563" i="3" s="1"/>
  <c r="BL571" i="3"/>
  <c r="BL557" i="3"/>
  <c r="AZ530" i="3"/>
  <c r="AZ540" i="3"/>
  <c r="AC39" i="33"/>
  <c r="W39" i="33"/>
  <c r="U41" i="21"/>
  <c r="AB41" i="21"/>
  <c r="BL445" i="3"/>
  <c r="BL446" i="3"/>
  <c r="BA451" i="3"/>
  <c r="AZ451" i="3" s="1"/>
  <c r="BA452" i="3"/>
  <c r="BL458" i="3"/>
  <c r="BL462" i="3"/>
  <c r="BL479" i="3"/>
  <c r="G480" i="3"/>
  <c r="G485" i="3"/>
  <c r="BA487" i="3"/>
  <c r="AZ487" i="3" s="1"/>
  <c r="BL490" i="3"/>
  <c r="G491" i="3"/>
  <c r="BL308" i="3"/>
  <c r="AZ308" i="3" s="1"/>
  <c r="BA319" i="3"/>
  <c r="AZ319" i="3" s="1"/>
  <c r="G351" i="3"/>
  <c r="G380" i="3"/>
  <c r="BA385" i="3"/>
  <c r="BA386" i="3"/>
  <c r="AZ386" i="3" s="1"/>
  <c r="BA212" i="3"/>
  <c r="G214" i="3"/>
  <c r="BA217" i="3"/>
  <c r="G220" i="3"/>
  <c r="BA225" i="3"/>
  <c r="G227" i="3"/>
  <c r="BL275" i="3"/>
  <c r="AZ275" i="3" s="1"/>
  <c r="BL280" i="3"/>
  <c r="G288" i="3"/>
  <c r="BA288" i="3"/>
  <c r="BL298" i="3"/>
  <c r="BL299" i="3"/>
  <c r="G136" i="3"/>
  <c r="J31" i="39"/>
  <c r="U30" i="37"/>
  <c r="G582" i="3"/>
  <c r="G398" i="3"/>
  <c r="BA400" i="3"/>
  <c r="BA401" i="3"/>
  <c r="G403" i="3"/>
  <c r="BA404" i="3"/>
  <c r="BA405" i="3"/>
  <c r="G407" i="3"/>
  <c r="G408" i="3"/>
  <c r="G409" i="3"/>
  <c r="BA410" i="3"/>
  <c r="BL412" i="3"/>
  <c r="BL419" i="3"/>
  <c r="G426" i="3"/>
  <c r="BL430" i="3"/>
  <c r="G431" i="3"/>
  <c r="G439" i="3"/>
  <c r="G440" i="3"/>
  <c r="BL443" i="3"/>
  <c r="G448" i="3"/>
  <c r="G449" i="3"/>
  <c r="BL449" i="3"/>
  <c r="BL450" i="3"/>
  <c r="BL452" i="3"/>
  <c r="G454" i="3"/>
  <c r="BA458" i="3"/>
  <c r="BA462" i="3"/>
  <c r="BL465" i="3"/>
  <c r="BL469" i="3"/>
  <c r="G470" i="3"/>
  <c r="BA476" i="3"/>
  <c r="BL476" i="3"/>
  <c r="BL477" i="3"/>
  <c r="BL478" i="3"/>
  <c r="G479" i="3"/>
  <c r="BA486" i="3"/>
  <c r="BL488" i="3"/>
  <c r="G489" i="3"/>
  <c r="G490" i="3"/>
  <c r="BL316" i="3"/>
  <c r="G362" i="3"/>
  <c r="G366" i="3"/>
  <c r="G392" i="3"/>
  <c r="BL395" i="3"/>
  <c r="G397" i="3"/>
  <c r="BL211" i="3"/>
  <c r="G213" i="3"/>
  <c r="BA216" i="3"/>
  <c r="AZ216" i="3" s="1"/>
  <c r="BL219" i="3"/>
  <c r="BL224" i="3"/>
  <c r="G226" i="3"/>
  <c r="BA229" i="3"/>
  <c r="AZ229" i="3" s="1"/>
  <c r="G232" i="3"/>
  <c r="BL237" i="3"/>
  <c r="BL238" i="3"/>
  <c r="G239" i="3"/>
  <c r="BA252" i="3"/>
  <c r="AZ252" i="3" s="1"/>
  <c r="BL254" i="3"/>
  <c r="BA256" i="3"/>
  <c r="BL259" i="3"/>
  <c r="BL402" i="3"/>
  <c r="BA403" i="3"/>
  <c r="BL406" i="3"/>
  <c r="BL410" i="3"/>
  <c r="BL416" i="3"/>
  <c r="BL423" i="3"/>
  <c r="BA443" i="3"/>
  <c r="AZ443" i="3" s="1"/>
  <c r="BA214" i="3"/>
  <c r="BL242" i="3"/>
  <c r="BL243" i="3"/>
  <c r="G244" i="3"/>
  <c r="BL250" i="3"/>
  <c r="G253" i="3"/>
  <c r="G258" i="3"/>
  <c r="BL262" i="3"/>
  <c r="BL263" i="3"/>
  <c r="G264" i="3"/>
  <c r="BL269" i="3"/>
  <c r="BA272" i="3"/>
  <c r="AZ272" i="3" s="1"/>
  <c r="G279" i="3"/>
  <c r="BA286" i="3"/>
  <c r="G289" i="3"/>
  <c r="BL399" i="3"/>
  <c r="BA402" i="3"/>
  <c r="AZ402" i="3" s="1"/>
  <c r="BA406" i="3"/>
  <c r="AZ406" i="3" s="1"/>
  <c r="BL409" i="3"/>
  <c r="G410" i="3"/>
  <c r="BA413" i="3"/>
  <c r="BA420" i="3"/>
  <c r="BA422" i="3"/>
  <c r="G425" i="3"/>
  <c r="BL427" i="3"/>
  <c r="G429" i="3"/>
  <c r="G430" i="3"/>
  <c r="BA431" i="3"/>
  <c r="BL433" i="3"/>
  <c r="BL434" i="3"/>
  <c r="G436" i="3"/>
  <c r="G437" i="3"/>
  <c r="G441" i="3"/>
  <c r="G447" i="3"/>
  <c r="BL455" i="3"/>
  <c r="G459" i="3"/>
  <c r="BA459" i="3"/>
  <c r="G463" i="3"/>
  <c r="G468" i="3"/>
  <c r="G469" i="3"/>
  <c r="BA469" i="3"/>
  <c r="AZ469" i="3" s="1"/>
  <c r="BA470" i="3"/>
  <c r="G475" i="3"/>
  <c r="BA480" i="3"/>
  <c r="BL480" i="3"/>
  <c r="BA483" i="3"/>
  <c r="BL483" i="3"/>
  <c r="BA303" i="3"/>
  <c r="AZ303" i="3" s="1"/>
  <c r="BA307" i="3"/>
  <c r="AZ307" i="3" s="1"/>
  <c r="G323" i="3"/>
  <c r="BA332" i="3"/>
  <c r="BL332" i="3"/>
  <c r="BL350" i="3"/>
  <c r="BA370" i="3"/>
  <c r="AZ370" i="3" s="1"/>
  <c r="G218" i="3"/>
  <c r="BA218" i="3"/>
  <c r="BL218" i="3"/>
  <c r="BA220" i="3"/>
  <c r="BL220" i="3"/>
  <c r="BL221" i="3"/>
  <c r="BA227" i="3"/>
  <c r="AZ227" i="3" s="1"/>
  <c r="BL230" i="3"/>
  <c r="BA133" i="3"/>
  <c r="BL154" i="3"/>
  <c r="BL169" i="3"/>
  <c r="BL170" i="3"/>
  <c r="BL175" i="3"/>
  <c r="AZ175" i="3" s="1"/>
  <c r="BA185" i="3"/>
  <c r="BL191" i="3"/>
  <c r="AZ191" i="3" s="1"/>
  <c r="BA193" i="3"/>
  <c r="BA201" i="3"/>
  <c r="G205" i="3"/>
  <c r="G32" i="3"/>
  <c r="BL34" i="3"/>
  <c r="BA40" i="3"/>
  <c r="BA55" i="3"/>
  <c r="BL65" i="3"/>
  <c r="BL66" i="3"/>
  <c r="BL72" i="3"/>
  <c r="BA90" i="3"/>
  <c r="G95" i="3"/>
  <c r="BL100" i="3"/>
  <c r="AZ100" i="3" s="1"/>
  <c r="G112" i="3"/>
  <c r="BL229" i="3"/>
  <c r="BA231" i="3"/>
  <c r="BL231" i="3"/>
  <c r="G233" i="3"/>
  <c r="G241" i="3"/>
  <c r="BA250" i="3"/>
  <c r="AZ250" i="3" s="1"/>
  <c r="G256" i="3"/>
  <c r="BA257" i="3"/>
  <c r="G260" i="3"/>
  <c r="BL267" i="3"/>
  <c r="BA270" i="3"/>
  <c r="AZ270" i="3" s="1"/>
  <c r="BL270" i="3"/>
  <c r="G274" i="3"/>
  <c r="BL278" i="3"/>
  <c r="G280" i="3"/>
  <c r="BL287" i="3"/>
  <c r="BL289" i="3"/>
  <c r="G290" i="3"/>
  <c r="G291" i="3"/>
  <c r="BA291" i="3"/>
  <c r="G295" i="3"/>
  <c r="BA120" i="3"/>
  <c r="AZ120" i="3" s="1"/>
  <c r="BA122" i="3"/>
  <c r="AZ122" i="3" s="1"/>
  <c r="BA125" i="3"/>
  <c r="AZ125" i="3" s="1"/>
  <c r="BA132" i="3"/>
  <c r="AZ132" i="3" s="1"/>
  <c r="BL135" i="3"/>
  <c r="AZ135" i="3" s="1"/>
  <c r="G150" i="3"/>
  <c r="BL158" i="3"/>
  <c r="G159" i="3"/>
  <c r="G164" i="3"/>
  <c r="G175" i="3"/>
  <c r="BA177" i="3"/>
  <c r="BL186" i="3"/>
  <c r="G187" i="3"/>
  <c r="BA189" i="3"/>
  <c r="BL195" i="3"/>
  <c r="AZ195" i="3" s="1"/>
  <c r="BL198" i="3"/>
  <c r="BL199" i="3"/>
  <c r="AZ199" i="3" s="1"/>
  <c r="BA200" i="3"/>
  <c r="AZ200" i="3" s="1"/>
  <c r="G18" i="3"/>
  <c r="G22" i="3"/>
  <c r="G26" i="3"/>
  <c r="G27" i="3"/>
  <c r="G30" i="3"/>
  <c r="G31" i="3"/>
  <c r="BA36" i="3"/>
  <c r="BL38" i="3"/>
  <c r="BA39" i="3"/>
  <c r="BL52" i="3"/>
  <c r="BA53" i="3"/>
  <c r="BA54" i="3"/>
  <c r="G56" i="3"/>
  <c r="BL64" i="3"/>
  <c r="G65" i="3"/>
  <c r="BL70" i="3"/>
  <c r="AZ70" i="3" s="1"/>
  <c r="BL71" i="3"/>
  <c r="G78" i="3"/>
  <c r="BL86" i="3"/>
  <c r="G87" i="3"/>
  <c r="G88" i="3"/>
  <c r="G92" i="3"/>
  <c r="BA94" i="3"/>
  <c r="G111" i="3"/>
  <c r="BA111" i="3"/>
  <c r="C40" i="68"/>
  <c r="B57" i="43"/>
  <c r="O68" i="71"/>
  <c r="U68" i="71"/>
  <c r="B59" i="71"/>
  <c r="B60" i="71" s="1"/>
  <c r="S60" i="71" s="1"/>
  <c r="G297" i="3"/>
  <c r="G123" i="3"/>
  <c r="G130" i="3"/>
  <c r="G134" i="3"/>
  <c r="G135" i="3"/>
  <c r="G144" i="3"/>
  <c r="BA145" i="3"/>
  <c r="BA149" i="3"/>
  <c r="G152" i="3"/>
  <c r="BA153" i="3"/>
  <c r="G158" i="3"/>
  <c r="BL161" i="3"/>
  <c r="G162" i="3"/>
  <c r="BL166" i="3"/>
  <c r="BL181" i="3"/>
  <c r="G182" i="3"/>
  <c r="G186" i="3"/>
  <c r="BA188" i="3"/>
  <c r="AZ188" i="3" s="1"/>
  <c r="G190" i="3"/>
  <c r="G194" i="3"/>
  <c r="BL197" i="3"/>
  <c r="G198" i="3"/>
  <c r="G202" i="3"/>
  <c r="G206" i="3"/>
  <c r="BL206" i="3"/>
  <c r="BA22" i="3"/>
  <c r="BL24" i="3"/>
  <c r="G25" i="3"/>
  <c r="BA30" i="3"/>
  <c r="BL44" i="3"/>
  <c r="G45" i="3"/>
  <c r="G51" i="3"/>
  <c r="BA52" i="3"/>
  <c r="BL62" i="3"/>
  <c r="BL63" i="3"/>
  <c r="BL69" i="3"/>
  <c r="G70" i="3"/>
  <c r="BA72" i="3"/>
  <c r="AZ72" i="3" s="1"/>
  <c r="BL76" i="3"/>
  <c r="BA78" i="3"/>
  <c r="BL82" i="3"/>
  <c r="AZ82" i="3" s="1"/>
  <c r="BL83" i="3"/>
  <c r="G86" i="3"/>
  <c r="BL93" i="3"/>
  <c r="BL103" i="3"/>
  <c r="BA104" i="3"/>
  <c r="G108" i="3"/>
  <c r="AC21" i="21"/>
  <c r="S21" i="34"/>
  <c r="D60" i="71"/>
  <c r="D54" i="71"/>
  <c r="AA35" i="71"/>
  <c r="B51" i="71"/>
  <c r="B52" i="71" s="1"/>
  <c r="S52" i="71" s="1"/>
  <c r="B79" i="71"/>
  <c r="B78" i="71" s="1"/>
  <c r="AC21" i="33"/>
  <c r="W18" i="36"/>
  <c r="C29" i="39"/>
  <c r="B88" i="43"/>
  <c r="P67" i="71"/>
  <c r="B40" i="71"/>
  <c r="S40" i="71" s="1"/>
  <c r="X26" i="71"/>
  <c r="Y29" i="71"/>
  <c r="Z29" i="71" s="1"/>
  <c r="X25" i="71"/>
  <c r="F101" i="21"/>
  <c r="G101" i="21" s="1"/>
  <c r="H101" i="21" s="1"/>
  <c r="I101" i="21" s="1"/>
  <c r="J101" i="21" s="1"/>
  <c r="K101" i="21" s="1"/>
  <c r="L101" i="21" s="1"/>
  <c r="M101" i="21" s="1"/>
  <c r="H32" i="21"/>
  <c r="U32" i="21" s="1"/>
  <c r="F32" i="21"/>
  <c r="S32" i="21" s="1"/>
  <c r="AB44" i="21"/>
  <c r="S44" i="21"/>
  <c r="C18" i="9"/>
  <c r="D18" i="9" s="1"/>
  <c r="D78" i="43"/>
  <c r="AC38" i="21"/>
  <c r="AA38" i="21"/>
  <c r="AB38" i="21"/>
  <c r="AB42" i="21"/>
  <c r="W43" i="21"/>
  <c r="AA43" i="21"/>
  <c r="U43" i="21"/>
  <c r="S37" i="21"/>
  <c r="AC34" i="21"/>
  <c r="U34" i="21"/>
  <c r="J32" i="21"/>
  <c r="W32" i="21" s="1"/>
  <c r="S42" i="21"/>
  <c r="W36" i="21"/>
  <c r="U27" i="21"/>
  <c r="S27" i="21"/>
  <c r="F89" i="21"/>
  <c r="J26" i="21"/>
  <c r="W26" i="21" s="1"/>
  <c r="B41" i="1"/>
  <c r="F52" i="9" s="1"/>
  <c r="D93" i="9"/>
  <c r="F32" i="15"/>
  <c r="F60" i="15" s="1"/>
  <c r="F28" i="15"/>
  <c r="F32" i="67"/>
  <c r="F60" i="67" s="1"/>
  <c r="F28" i="67"/>
  <c r="F30" i="68"/>
  <c r="F48" i="68" s="1"/>
  <c r="D68" i="9"/>
  <c r="F30" i="69"/>
  <c r="F48" i="69" s="1"/>
  <c r="C21" i="68"/>
  <c r="C40" i="69"/>
  <c r="M47" i="9"/>
  <c r="C7" i="35"/>
  <c r="C48" i="35" s="1"/>
  <c r="D48" i="35" s="1"/>
  <c r="C7" i="37"/>
  <c r="C52" i="37" s="1"/>
  <c r="D52" i="37" s="1"/>
  <c r="C7" i="40"/>
  <c r="C63" i="40" s="1"/>
  <c r="AC27" i="33"/>
  <c r="AC23" i="37"/>
  <c r="U33" i="34"/>
  <c r="AA23" i="39"/>
  <c r="AZ379" i="3"/>
  <c r="AZ341" i="3"/>
  <c r="AZ306" i="3"/>
  <c r="W17" i="21"/>
  <c r="AB36" i="33"/>
  <c r="AB45" i="21"/>
  <c r="AA23" i="21"/>
  <c r="AA19" i="33"/>
  <c r="AC15" i="21"/>
  <c r="AA43" i="34"/>
  <c r="S43" i="34"/>
  <c r="AA30" i="40"/>
  <c r="AZ318" i="3"/>
  <c r="AZ364" i="3"/>
  <c r="AZ329" i="3"/>
  <c r="S11" i="39"/>
  <c r="AA11" i="39"/>
  <c r="S40" i="34"/>
  <c r="AA40" i="34"/>
  <c r="AC27" i="40"/>
  <c r="W27" i="40"/>
  <c r="AB32" i="37"/>
  <c r="U32" i="37"/>
  <c r="AZ322" i="3"/>
  <c r="S15" i="37"/>
  <c r="AA15" i="37"/>
  <c r="W12" i="37"/>
  <c r="AC12" i="37"/>
  <c r="W40" i="37"/>
  <c r="AZ539" i="3"/>
  <c r="AZ529" i="3"/>
  <c r="AZ537" i="3"/>
  <c r="AZ518" i="3"/>
  <c r="AZ526" i="3"/>
  <c r="AZ564" i="3"/>
  <c r="AZ580" i="3"/>
  <c r="AB45" i="33"/>
  <c r="S11" i="36"/>
  <c r="AB26" i="33"/>
  <c r="U46" i="34"/>
  <c r="U30" i="21"/>
  <c r="AA41" i="33"/>
  <c r="H25" i="37"/>
  <c r="F25" i="37"/>
  <c r="AZ577" i="3"/>
  <c r="AZ513" i="3"/>
  <c r="AZ575" i="3"/>
  <c r="AZ566" i="3"/>
  <c r="AZ582" i="3"/>
  <c r="AZ502" i="3"/>
  <c r="S45" i="33"/>
  <c r="U46" i="33"/>
  <c r="AB14" i="40"/>
  <c r="BL587" i="3"/>
  <c r="AZ587" i="3" s="1"/>
  <c r="BL586" i="3"/>
  <c r="AZ586" i="3" s="1"/>
  <c r="J25" i="37"/>
  <c r="AB8" i="39"/>
  <c r="AA9" i="40"/>
  <c r="S31" i="35"/>
  <c r="G587" i="3"/>
  <c r="H36" i="35"/>
  <c r="J12" i="36"/>
  <c r="AZ14" i="3"/>
  <c r="AZ345" i="3"/>
  <c r="AZ334" i="3"/>
  <c r="AZ372" i="3"/>
  <c r="AZ347" i="3"/>
  <c r="AZ337" i="3"/>
  <c r="AZ376" i="3"/>
  <c r="AZ309" i="3"/>
  <c r="AZ549" i="3"/>
  <c r="W47" i="34"/>
  <c r="AZ515" i="3"/>
  <c r="AZ523" i="3"/>
  <c r="AZ547" i="3"/>
  <c r="AZ569" i="3"/>
  <c r="AZ571" i="3"/>
  <c r="AZ579" i="3"/>
  <c r="AZ516" i="3"/>
  <c r="AZ524" i="3"/>
  <c r="AC28" i="21"/>
  <c r="AC11" i="35"/>
  <c r="U35" i="33"/>
  <c r="BL585" i="3"/>
  <c r="AZ585" i="3" s="1"/>
  <c r="F9" i="34"/>
  <c r="AA9" i="34" s="1"/>
  <c r="J9" i="34"/>
  <c r="J12" i="34"/>
  <c r="H12" i="34"/>
  <c r="G570" i="3"/>
  <c r="G551" i="3"/>
  <c r="BL550" i="3"/>
  <c r="G542" i="3"/>
  <c r="BL15" i="3"/>
  <c r="AZ15" i="3" s="1"/>
  <c r="BA398" i="3"/>
  <c r="BA399" i="3"/>
  <c r="AZ399" i="3" s="1"/>
  <c r="BL401" i="3"/>
  <c r="AZ401" i="3" s="1"/>
  <c r="BL404" i="3"/>
  <c r="AZ404" i="3" s="1"/>
  <c r="BL405" i="3"/>
  <c r="AZ405" i="3" s="1"/>
  <c r="BL407" i="3"/>
  <c r="BA412" i="3"/>
  <c r="AZ412" i="3" s="1"/>
  <c r="BA414" i="3"/>
  <c r="BA415" i="3"/>
  <c r="BA416" i="3"/>
  <c r="BA418" i="3"/>
  <c r="BA421" i="3"/>
  <c r="BA423" i="3"/>
  <c r="AZ423" i="3" s="1"/>
  <c r="BA425" i="3"/>
  <c r="BA426" i="3"/>
  <c r="BA427" i="3"/>
  <c r="AZ427" i="3" s="1"/>
  <c r="BA433" i="3"/>
  <c r="AZ433" i="3" s="1"/>
  <c r="BA435" i="3"/>
  <c r="BL437" i="3"/>
  <c r="AZ437" i="3" s="1"/>
  <c r="BL441" i="3"/>
  <c r="AZ441" i="3" s="1"/>
  <c r="BL442" i="3"/>
  <c r="BL444" i="3"/>
  <c r="G446" i="3"/>
  <c r="BL448" i="3"/>
  <c r="AZ448" i="3" s="1"/>
  <c r="G450" i="3"/>
  <c r="BL466" i="3"/>
  <c r="AZ483" i="3"/>
  <c r="BL489" i="3"/>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A253" i="3"/>
  <c r="G574" i="3"/>
  <c r="BL16" i="3"/>
  <c r="AZ16" i="3" s="1"/>
  <c r="AZ407" i="3"/>
  <c r="AZ419" i="3"/>
  <c r="BL438" i="3"/>
  <c r="BL439" i="3"/>
  <c r="AZ444" i="3"/>
  <c r="G455" i="3"/>
  <c r="BL456" i="3"/>
  <c r="BA464" i="3"/>
  <c r="AZ464" i="3" s="1"/>
  <c r="AZ466" i="3"/>
  <c r="BL467" i="3"/>
  <c r="BL468" i="3"/>
  <c r="BL470" i="3"/>
  <c r="BL473" i="3"/>
  <c r="AZ473" i="3" s="1"/>
  <c r="BL474" i="3"/>
  <c r="BA482" i="3"/>
  <c r="BA484" i="3"/>
  <c r="AZ484" i="3" s="1"/>
  <c r="BA247" i="3"/>
  <c r="AZ247" i="3" s="1"/>
  <c r="BL247" i="3"/>
  <c r="BA249" i="3"/>
  <c r="AZ249" i="3" s="1"/>
  <c r="BL249" i="3"/>
  <c r="BA251" i="3"/>
  <c r="AZ251" i="3" s="1"/>
  <c r="BL251" i="3"/>
  <c r="BA254" i="3"/>
  <c r="AZ254" i="3" s="1"/>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G255" i="3"/>
  <c r="BA258" i="3"/>
  <c r="BL398" i="3"/>
  <c r="G402" i="3"/>
  <c r="BL403" i="3"/>
  <c r="AZ403" i="3" s="1"/>
  <c r="G405" i="3"/>
  <c r="G406" i="3"/>
  <c r="BA408" i="3"/>
  <c r="AZ408" i="3" s="1"/>
  <c r="BA409" i="3"/>
  <c r="AZ409" i="3" s="1"/>
  <c r="BA411" i="3"/>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56" i="3"/>
  <c r="AZ256" i="3" s="1"/>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BL134" i="3"/>
  <c r="BL137" i="3"/>
  <c r="G143" i="3"/>
  <c r="BA146" i="3"/>
  <c r="AZ146" i="3" s="1"/>
  <c r="BA150" i="3"/>
  <c r="BL167" i="3"/>
  <c r="AZ167" i="3" s="1"/>
  <c r="BL185" i="3"/>
  <c r="BL193" i="3"/>
  <c r="BA205" i="3"/>
  <c r="AZ205" i="3" s="1"/>
  <c r="BA19" i="3"/>
  <c r="BA27" i="3"/>
  <c r="BA33" i="3"/>
  <c r="BL35" i="3"/>
  <c r="BA43" i="3"/>
  <c r="BA47" i="3"/>
  <c r="AZ47" i="3" s="1"/>
  <c r="BA67" i="3"/>
  <c r="AZ67" i="3" s="1"/>
  <c r="BL155" i="3"/>
  <c r="AZ155" i="3" s="1"/>
  <c r="BA164" i="3"/>
  <c r="AZ164" i="3" s="1"/>
  <c r="BA166" i="3"/>
  <c r="AZ166" i="3" s="1"/>
  <c r="BA169" i="3"/>
  <c r="AZ169" i="3" s="1"/>
  <c r="BL171" i="3"/>
  <c r="AZ171" i="3" s="1"/>
  <c r="G174" i="3"/>
  <c r="BA176" i="3"/>
  <c r="AZ176" i="3" s="1"/>
  <c r="BL179" i="3"/>
  <c r="AZ179" i="3" s="1"/>
  <c r="BA181" i="3"/>
  <c r="AZ181" i="3" s="1"/>
  <c r="BA182" i="3"/>
  <c r="BA194" i="3"/>
  <c r="BA196" i="3"/>
  <c r="AZ196" i="3" s="1"/>
  <c r="BA202" i="3"/>
  <c r="AZ52" i="3"/>
  <c r="BA65" i="3"/>
  <c r="AZ65" i="3" s="1"/>
  <c r="BL264" i="3"/>
  <c r="BL266" i="3"/>
  <c r="BA268" i="3"/>
  <c r="BL273" i="3"/>
  <c r="BA277" i="3"/>
  <c r="AZ277" i="3" s="1"/>
  <c r="BL277" i="3"/>
  <c r="BA282" i="3"/>
  <c r="AZ282" i="3" s="1"/>
  <c r="BL282" i="3"/>
  <c r="BA284" i="3"/>
  <c r="BL290" i="3"/>
  <c r="BL291" i="3"/>
  <c r="AZ291" i="3" s="1"/>
  <c r="BL293" i="3"/>
  <c r="BL294" i="3"/>
  <c r="BA297" i="3"/>
  <c r="BL297" i="3"/>
  <c r="BL300" i="3"/>
  <c r="BA302" i="3"/>
  <c r="AZ302" i="3" s="1"/>
  <c r="G115" i="3"/>
  <c r="BA117" i="3"/>
  <c r="BA130" i="3"/>
  <c r="AZ130" i="3" s="1"/>
  <c r="BL130" i="3"/>
  <c r="BA137" i="3"/>
  <c r="BL138" i="3"/>
  <c r="BA140" i="3"/>
  <c r="AZ140" i="3" s="1"/>
  <c r="BA142" i="3"/>
  <c r="BL149" i="3"/>
  <c r="AZ149" i="3" s="1"/>
  <c r="BL150" i="3"/>
  <c r="BA152" i="3"/>
  <c r="AZ152" i="3" s="1"/>
  <c r="BA154" i="3"/>
  <c r="AZ154" i="3" s="1"/>
  <c r="BL162" i="3"/>
  <c r="AZ162" i="3" s="1"/>
  <c r="BA173" i="3"/>
  <c r="AZ173" i="3" s="1"/>
  <c r="BA174" i="3"/>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78" i="3"/>
  <c r="BL178" i="3"/>
  <c r="AZ178" i="3" s="1"/>
  <c r="BA180" i="3"/>
  <c r="AZ180" i="3" s="1"/>
  <c r="BL182" i="3"/>
  <c r="G183" i="3"/>
  <c r="BA184" i="3"/>
  <c r="AZ184" i="3" s="1"/>
  <c r="BL187" i="3"/>
  <c r="AZ187" i="3" s="1"/>
  <c r="G188" i="3"/>
  <c r="BL189" i="3"/>
  <c r="AZ189" i="3" s="1"/>
  <c r="BL190" i="3"/>
  <c r="G191" i="3"/>
  <c r="BA192" i="3"/>
  <c r="AZ192" i="3" s="1"/>
  <c r="BL194" i="3"/>
  <c r="BA198" i="3"/>
  <c r="AZ198" i="3" s="1"/>
  <c r="G199" i="3"/>
  <c r="BA25" i="3"/>
  <c r="BL30" i="3"/>
  <c r="BL31" i="3"/>
  <c r="BL40" i="3"/>
  <c r="BL41" i="3"/>
  <c r="BA62" i="3"/>
  <c r="AZ62" i="3" s="1"/>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G85" i="3"/>
  <c r="BL91" i="3"/>
  <c r="BL105" i="3"/>
  <c r="BL107" i="3"/>
  <c r="S18" i="36"/>
  <c r="E28" i="71"/>
  <c r="AA27" i="71"/>
  <c r="AA28" i="71"/>
  <c r="D38" i="71"/>
  <c r="C39" i="71"/>
  <c r="C31" i="71"/>
  <c r="Y30" i="71"/>
  <c r="Z30" i="71" s="1"/>
  <c r="AA38" i="71"/>
  <c r="AA39" i="71"/>
  <c r="D84" i="71"/>
  <c r="C83" i="71"/>
  <c r="AB27" i="71"/>
  <c r="V24" i="71"/>
  <c r="E23" i="71"/>
  <c r="E22" i="71" s="1"/>
  <c r="E21" i="71" s="1"/>
  <c r="E20" i="71" s="1"/>
  <c r="V20" i="71" s="1"/>
  <c r="BL45" i="3"/>
  <c r="BA48" i="3"/>
  <c r="BA49" i="3"/>
  <c r="BA51" i="3"/>
  <c r="BL56" i="3"/>
  <c r="BA58" i="3"/>
  <c r="BL59" i="3"/>
  <c r="BL60" i="3"/>
  <c r="BA61" i="3"/>
  <c r="BA68" i="3"/>
  <c r="BA73" i="3"/>
  <c r="BA80" i="3"/>
  <c r="BL84" i="3"/>
  <c r="BA89" i="3"/>
  <c r="BL92" i="3"/>
  <c r="BL94" i="3"/>
  <c r="AZ94" i="3" s="1"/>
  <c r="BL99" i="3"/>
  <c r="G101" i="3"/>
  <c r="BA101" i="3"/>
  <c r="BA102" i="3"/>
  <c r="BL110" i="3"/>
  <c r="BL111" i="3"/>
  <c r="AZ111" i="3" s="1"/>
  <c r="AA21" i="37"/>
  <c r="S21" i="37"/>
  <c r="P65" i="71"/>
  <c r="P66" i="71"/>
  <c r="Y26" i="71"/>
  <c r="Z26" i="71" s="1"/>
  <c r="C28" i="71"/>
  <c r="Y28" i="71"/>
  <c r="Z28" i="71" s="1"/>
  <c r="Y25" i="71"/>
  <c r="Z25" i="71" s="1"/>
  <c r="Y35" i="71"/>
  <c r="Z35" i="71" s="1"/>
  <c r="Y37" i="71"/>
  <c r="Z37" i="71" s="1"/>
  <c r="X36" i="71"/>
  <c r="X35" i="71"/>
  <c r="X38" i="71"/>
  <c r="C47" i="71"/>
  <c r="D47" i="71" s="1"/>
  <c r="D46"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P27" i="6"/>
  <c r="Y27" i="71"/>
  <c r="Z27" i="71" s="1"/>
  <c r="AB32" i="71"/>
  <c r="AA34" i="71"/>
  <c r="AA30" i="71"/>
  <c r="AA37" i="71"/>
  <c r="C51" i="71"/>
  <c r="D56" i="71"/>
  <c r="T56" i="71"/>
  <c r="N67" i="71"/>
  <c r="B66" i="71"/>
  <c r="F66" i="71"/>
  <c r="Q67" i="71"/>
  <c r="T80" i="71"/>
  <c r="C79" i="71"/>
  <c r="AZ103" i="3"/>
  <c r="AC29" i="39"/>
  <c r="W29" i="39"/>
  <c r="F34" i="71"/>
  <c r="F35" i="71" s="1"/>
  <c r="F36" i="71" s="1"/>
  <c r="V36" i="71" s="1"/>
  <c r="AB33" i="71"/>
  <c r="AB28" i="71"/>
  <c r="T72" i="71"/>
  <c r="C71" i="71"/>
  <c r="U76" i="71"/>
  <c r="E75" i="71"/>
  <c r="E74" i="71" s="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M23" i="43"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J53" i="67"/>
  <c r="J57" i="67"/>
  <c r="J55" i="67" s="1"/>
  <c r="J58" i="67" s="1"/>
  <c r="Q50" i="67" s="1"/>
  <c r="L56" i="67"/>
  <c r="I54" i="67"/>
  <c r="M7" i="15"/>
  <c r="F50" i="15"/>
  <c r="F51" i="15"/>
  <c r="F71" i="15"/>
  <c r="C6" i="15"/>
  <c r="L59" i="15"/>
  <c r="N59" i="15"/>
  <c r="L58" i="15"/>
  <c r="M59" i="15"/>
  <c r="F66" i="15"/>
  <c r="Q71" i="67"/>
  <c r="F64" i="15"/>
  <c r="C27" i="67"/>
  <c r="C27" i="15"/>
  <c r="F65" i="15"/>
  <c r="B13" i="70"/>
  <c r="M7" i="67"/>
  <c r="F50" i="67"/>
  <c r="F68" i="15"/>
  <c r="C36" i="68"/>
  <c r="D9" i="68"/>
  <c r="F6" i="67"/>
  <c r="F36" i="67"/>
  <c r="M9" i="15"/>
  <c r="M22" i="15"/>
  <c r="F27" i="69"/>
  <c r="D9" i="69"/>
  <c r="M28" i="67"/>
  <c r="F40" i="67"/>
  <c r="F8" i="67"/>
  <c r="M23" i="15"/>
  <c r="D7" i="73"/>
  <c r="M29" i="67"/>
  <c r="F9" i="67"/>
  <c r="D4" i="73"/>
  <c r="F13" i="67"/>
  <c r="M26" i="67"/>
  <c r="D5" i="73"/>
  <c r="F43" i="67"/>
  <c r="F16" i="67"/>
  <c r="M23" i="67"/>
  <c r="C16" i="15"/>
  <c r="L47" i="67"/>
  <c r="J15" i="67"/>
  <c r="F38" i="67"/>
  <c r="F42" i="67"/>
  <c r="M6" i="67"/>
  <c r="D3" i="73"/>
  <c r="M9" i="67"/>
  <c r="C36" i="69"/>
  <c r="AC32" i="21" l="1"/>
  <c r="C6" i="67"/>
  <c r="F31" i="67"/>
  <c r="F64" i="67"/>
  <c r="F68" i="67"/>
  <c r="L58" i="67"/>
  <c r="Q73" i="67" s="1"/>
  <c r="M59" i="67"/>
  <c r="N59" i="67"/>
  <c r="L59" i="67"/>
  <c r="Q61" i="67" s="1"/>
  <c r="F66" i="67"/>
  <c r="F51" i="67"/>
  <c r="C49" i="67" s="1"/>
  <c r="F71" i="67"/>
  <c r="L19" i="6"/>
  <c r="L27" i="6" s="1"/>
  <c r="AZ61" i="3"/>
  <c r="AZ59" i="3"/>
  <c r="AZ274" i="3"/>
  <c r="AZ137" i="3"/>
  <c r="AZ368" i="3"/>
  <c r="AZ353" i="3"/>
  <c r="AZ432" i="3"/>
  <c r="AZ417" i="3"/>
  <c r="AZ350" i="3"/>
  <c r="AZ395" i="3"/>
  <c r="AZ416" i="3"/>
  <c r="AC27" i="21"/>
  <c r="AZ332" i="3"/>
  <c r="AZ458" i="3"/>
  <c r="AA35" i="39"/>
  <c r="S35" i="39"/>
  <c r="AA38" i="40"/>
  <c r="S38" i="40"/>
  <c r="U23" i="35"/>
  <c r="AB23" i="35"/>
  <c r="S29" i="33"/>
  <c r="AA29" i="33"/>
  <c r="U46" i="21"/>
  <c r="AB46" i="21"/>
  <c r="AC24" i="36"/>
  <c r="W24" i="36"/>
  <c r="W28" i="33"/>
  <c r="AC28" i="33"/>
  <c r="U30" i="34"/>
  <c r="AB30" i="34"/>
  <c r="AZ284" i="3"/>
  <c r="AB35" i="39"/>
  <c r="U35" i="39"/>
  <c r="AC23" i="35"/>
  <c r="W23" i="35"/>
  <c r="AA32" i="34"/>
  <c r="S32" i="34"/>
  <c r="AB27" i="34"/>
  <c r="U27" i="34"/>
  <c r="AC28" i="37"/>
  <c r="W28" i="37"/>
  <c r="W26" i="33"/>
  <c r="AC26" i="33"/>
  <c r="AA31" i="33"/>
  <c r="S31" i="33"/>
  <c r="AC44" i="21"/>
  <c r="W44" i="21"/>
  <c r="J7" i="36"/>
  <c r="AZ194" i="3"/>
  <c r="AZ421" i="3"/>
  <c r="AZ414" i="3"/>
  <c r="AB38" i="40"/>
  <c r="U38" i="40"/>
  <c r="AB33" i="36"/>
  <c r="U33" i="36"/>
  <c r="U31" i="40"/>
  <c r="AB31" i="40"/>
  <c r="U12" i="35"/>
  <c r="AB12" i="35"/>
  <c r="W32" i="34"/>
  <c r="AC32" i="34"/>
  <c r="W45" i="33"/>
  <c r="AC45" i="33"/>
  <c r="W27" i="34"/>
  <c r="AC27" i="34"/>
  <c r="AB14" i="39"/>
  <c r="U14" i="39"/>
  <c r="U40" i="37"/>
  <c r="AB40" i="37"/>
  <c r="AA24" i="36"/>
  <c r="S24" i="36"/>
  <c r="AZ557" i="3"/>
  <c r="W31" i="33"/>
  <c r="AC31" i="33"/>
  <c r="AC13" i="21"/>
  <c r="W13" i="21"/>
  <c r="S12" i="39"/>
  <c r="AA12" i="39"/>
  <c r="AZ218" i="3"/>
  <c r="AZ480" i="3"/>
  <c r="AZ476" i="3"/>
  <c r="AZ462" i="3"/>
  <c r="W31" i="39"/>
  <c r="AC31" i="39"/>
  <c r="AC38" i="40"/>
  <c r="W38" i="40"/>
  <c r="AA23" i="35"/>
  <c r="S23" i="35"/>
  <c r="AC31" i="40"/>
  <c r="W31" i="40"/>
  <c r="W12" i="35"/>
  <c r="AC12" i="35"/>
  <c r="AA46" i="21"/>
  <c r="S46" i="21"/>
  <c r="AA40" i="37"/>
  <c r="S40" i="37"/>
  <c r="AB24" i="36"/>
  <c r="U24" i="36"/>
  <c r="U28" i="33"/>
  <c r="AB28" i="33"/>
  <c r="AB14" i="34"/>
  <c r="U14" i="34"/>
  <c r="AZ570" i="3"/>
  <c r="U13" i="21"/>
  <c r="AB13" i="21"/>
  <c r="W12" i="39"/>
  <c r="AC12" i="39"/>
  <c r="AB32" i="21"/>
  <c r="AA32" i="21"/>
  <c r="E26" i="43"/>
  <c r="AC26" i="21"/>
  <c r="G89" i="21"/>
  <c r="H89" i="21" s="1"/>
  <c r="I89" i="21" s="1"/>
  <c r="J89" i="21" s="1"/>
  <c r="K89" i="21" s="1"/>
  <c r="L89" i="21" s="1"/>
  <c r="M89" i="21" s="1"/>
  <c r="F26" i="21"/>
  <c r="F31" i="12"/>
  <c r="C31" i="12" s="1"/>
  <c r="F54" i="9"/>
  <c r="F48" i="9"/>
  <c r="O52" i="9" s="1"/>
  <c r="F30" i="11"/>
  <c r="M18" i="67"/>
  <c r="M18" i="15"/>
  <c r="G26" i="43"/>
  <c r="N94" i="46"/>
  <c r="J26" i="43"/>
  <c r="N370" i="46"/>
  <c r="F26" i="43"/>
  <c r="D26" i="43" s="1"/>
  <c r="C25" i="43" s="1"/>
  <c r="P6" i="1"/>
  <c r="C13" i="12" s="1"/>
  <c r="J6" i="67"/>
  <c r="J18" i="67" s="1"/>
  <c r="J6" i="15"/>
  <c r="J18" i="15" s="1"/>
  <c r="O65" i="71"/>
  <c r="D66" i="71"/>
  <c r="O66" i="71"/>
  <c r="C82" i="71"/>
  <c r="D82" i="71" s="1"/>
  <c r="D83" i="71"/>
  <c r="AZ182" i="3"/>
  <c r="AZ418" i="3"/>
  <c r="AC25" i="37"/>
  <c r="W25" i="37"/>
  <c r="G5" i="3"/>
  <c r="B3" i="3" s="1"/>
  <c r="E292" i="3" s="1"/>
  <c r="AZ108" i="3"/>
  <c r="T28" i="71"/>
  <c r="D28" i="71"/>
  <c r="U28" i="71" s="1"/>
  <c r="C27" i="71"/>
  <c r="AZ102" i="3"/>
  <c r="AZ51" i="3"/>
  <c r="D31" i="71"/>
  <c r="C32" i="71"/>
  <c r="AZ41" i="3"/>
  <c r="AZ297" i="3"/>
  <c r="AZ19" i="3"/>
  <c r="AZ5" i="3" s="1"/>
  <c r="AY6" i="3" s="1"/>
  <c r="AZ435" i="3"/>
  <c r="AZ425" i="3"/>
  <c r="U12" i="34"/>
  <c r="AB12" i="34"/>
  <c r="W12" i="36"/>
  <c r="AC12" i="36"/>
  <c r="G16" i="1"/>
  <c r="F10" i="39" s="1"/>
  <c r="S10" i="39" s="1"/>
  <c r="C36" i="71"/>
  <c r="D35" i="71"/>
  <c r="C86" i="71"/>
  <c r="D86" i="71" s="1"/>
  <c r="D87" i="71"/>
  <c r="AZ101" i="3"/>
  <c r="AZ49" i="3"/>
  <c r="C40" i="71"/>
  <c r="D39" i="71"/>
  <c r="AZ150" i="3"/>
  <c r="AZ294" i="3"/>
  <c r="AZ273" i="3"/>
  <c r="AZ411" i="3"/>
  <c r="AZ415" i="3"/>
  <c r="AZ398" i="3"/>
  <c r="W12" i="34"/>
  <c r="AC12" i="34"/>
  <c r="AB36" i="35"/>
  <c r="U36" i="35"/>
  <c r="AA25" i="37"/>
  <c r="S25" i="37"/>
  <c r="C44" i="71"/>
  <c r="D43" i="71"/>
  <c r="C70" i="71"/>
  <c r="D70" i="71" s="1"/>
  <c r="D71" i="71"/>
  <c r="C78" i="71"/>
  <c r="D78" i="71" s="1"/>
  <c r="D79" i="71"/>
  <c r="N65" i="71"/>
  <c r="N66" i="71"/>
  <c r="C52" i="71"/>
  <c r="D51" i="71"/>
  <c r="AZ58" i="3"/>
  <c r="AZ25" i="3"/>
  <c r="AC9" i="34"/>
  <c r="W9" i="34"/>
  <c r="U25" i="37"/>
  <c r="AB25" i="37"/>
  <c r="J7" i="37"/>
  <c r="K1" i="73"/>
  <c r="E284" i="3"/>
  <c r="W6" i="3"/>
  <c r="E390" i="3"/>
  <c r="E256" i="3"/>
  <c r="E229" i="3"/>
  <c r="E382" i="3"/>
  <c r="E458" i="3"/>
  <c r="E269" i="3"/>
  <c r="E331" i="3"/>
  <c r="AR6" i="3"/>
  <c r="E301" i="3"/>
  <c r="E560" i="3"/>
  <c r="E454"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C19" i="71"/>
  <c r="T20" i="71"/>
  <c r="D20" i="71"/>
  <c r="U20" i="71" s="1"/>
  <c r="E240" i="3"/>
  <c r="E487" i="3"/>
  <c r="W40" i="40"/>
  <c r="AC40" i="40"/>
  <c r="AC12" i="21"/>
  <c r="W12" i="21"/>
  <c r="AB12" i="21"/>
  <c r="U12" i="21"/>
  <c r="AA27" i="34"/>
  <c r="S27" i="34"/>
  <c r="AC26" i="37"/>
  <c r="W26" i="37"/>
  <c r="BL5" i="3"/>
  <c r="B15" i="71"/>
  <c r="B14" i="71" s="1"/>
  <c r="B13" i="71" s="1"/>
  <c r="B12" i="71" s="1"/>
  <c r="S16" i="71"/>
  <c r="F7" i="36"/>
  <c r="AA7" i="36" s="1"/>
  <c r="R36" i="36" s="1"/>
  <c r="H7" i="36"/>
  <c r="U7" i="36" s="1"/>
  <c r="E142" i="3"/>
  <c r="E118" i="3"/>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C49" i="15"/>
  <c r="C32" i="67"/>
  <c r="M11" i="67"/>
  <c r="J10" i="67" s="1"/>
  <c r="F11" i="15"/>
  <c r="M11" i="15"/>
  <c r="J10" i="15" s="1"/>
  <c r="F11" i="67"/>
  <c r="F1" i="15"/>
  <c r="Q52" i="15"/>
  <c r="C32" i="15"/>
  <c r="F1" i="67"/>
  <c r="Q52" i="67"/>
  <c r="Q60" i="15"/>
  <c r="Q73" i="15"/>
  <c r="Q74" i="15"/>
  <c r="Q61" i="15"/>
  <c r="AE11" i="1"/>
  <c r="AE9" i="1"/>
  <c r="F27" i="68"/>
  <c r="AE7" i="1"/>
  <c r="AE8" i="1"/>
  <c r="AE12" i="1"/>
  <c r="AE10" i="1"/>
  <c r="AE6" i="1"/>
  <c r="C16" i="67"/>
  <c r="G1" i="73"/>
  <c r="Q60" i="67" l="1"/>
  <c r="Q74" i="67"/>
  <c r="E378" i="3"/>
  <c r="E248" i="3"/>
  <c r="E131" i="3"/>
  <c r="E242" i="3"/>
  <c r="X6" i="3"/>
  <c r="E563" i="3"/>
  <c r="E201" i="3"/>
  <c r="E526" i="3"/>
  <c r="E70" i="3"/>
  <c r="AO6" i="3"/>
  <c r="E362" i="3"/>
  <c r="E568" i="3"/>
  <c r="E508" i="3"/>
  <c r="E111" i="3"/>
  <c r="E415" i="3"/>
  <c r="E121" i="3"/>
  <c r="E403" i="3"/>
  <c r="E167" i="3"/>
  <c r="E60" i="3"/>
  <c r="E119" i="3"/>
  <c r="E423" i="3"/>
  <c r="E161" i="3"/>
  <c r="E215" i="3"/>
  <c r="M6" i="3"/>
  <c r="E509" i="3"/>
  <c r="E377" i="3"/>
  <c r="E557" i="3"/>
  <c r="E89" i="3"/>
  <c r="E146" i="3"/>
  <c r="E577" i="3"/>
  <c r="E261" i="3"/>
  <c r="E505" i="3"/>
  <c r="E85" i="3"/>
  <c r="E353" i="3"/>
  <c r="E139" i="3"/>
  <c r="E369" i="3"/>
  <c r="E94" i="3"/>
  <c r="E219" i="3"/>
  <c r="E275" i="3"/>
  <c r="E148" i="3"/>
  <c r="E246" i="3"/>
  <c r="E263" i="3"/>
  <c r="E535" i="3"/>
  <c r="E278" i="3"/>
  <c r="E335" i="3"/>
  <c r="E570" i="3"/>
  <c r="E247" i="3"/>
  <c r="AJ6" i="3"/>
  <c r="E217" i="3"/>
  <c r="E273" i="3"/>
  <c r="E28" i="3"/>
  <c r="E345" i="3"/>
  <c r="Z6" i="3"/>
  <c r="E368" i="3"/>
  <c r="E315" i="3"/>
  <c r="E106" i="3"/>
  <c r="E587" i="3"/>
  <c r="E124" i="3"/>
  <c r="E380" i="3"/>
  <c r="E175" i="3"/>
  <c r="E515" i="3"/>
  <c r="E571" i="3"/>
  <c r="E336" i="3"/>
  <c r="E320" i="3"/>
  <c r="AG6" i="3"/>
  <c r="E565" i="3"/>
  <c r="E397" i="3"/>
  <c r="E39" i="3"/>
  <c r="E451" i="3"/>
  <c r="E171" i="3"/>
  <c r="E468" i="3"/>
  <c r="E228" i="3"/>
  <c r="E503" i="3"/>
  <c r="E337" i="3"/>
  <c r="E27" i="3"/>
  <c r="E318" i="3"/>
  <c r="E45" i="3"/>
  <c r="E117" i="3"/>
  <c r="E366" i="3"/>
  <c r="Q6" i="3"/>
  <c r="E53" i="3"/>
  <c r="E352" i="3"/>
  <c r="E250" i="3"/>
  <c r="C28" i="43"/>
  <c r="T13" i="43" s="1"/>
  <c r="V13" i="43" s="1"/>
  <c r="S26" i="21"/>
  <c r="AA26" i="21"/>
  <c r="C48" i="11"/>
  <c r="C30" i="11"/>
  <c r="AA10" i="39"/>
  <c r="F10" i="40"/>
  <c r="S10" i="40" s="1"/>
  <c r="H10" i="40"/>
  <c r="AB10" i="40" s="1"/>
  <c r="J10" i="40"/>
  <c r="AC10" i="40" s="1"/>
  <c r="J10" i="39"/>
  <c r="W10" i="39" s="1"/>
  <c r="H10" i="39"/>
  <c r="U10" i="39" s="1"/>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407" i="3"/>
  <c r="E396" i="3"/>
  <c r="E125" i="3"/>
  <c r="E88" i="3"/>
  <c r="E576" i="3"/>
  <c r="E73" i="3"/>
  <c r="E330" i="3"/>
  <c r="AN6" i="3"/>
  <c r="E237" i="3"/>
  <c r="E97" i="3"/>
  <c r="E29" i="3"/>
  <c r="E367" i="3"/>
  <c r="E93" i="3"/>
  <c r="E288" i="3"/>
  <c r="E461" i="3"/>
  <c r="E154" i="3"/>
  <c r="E373" i="3"/>
  <c r="E209" i="3"/>
  <c r="E90" i="3"/>
  <c r="J6" i="3"/>
  <c r="E113"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551" i="3"/>
  <c r="E239" i="3"/>
  <c r="E334" i="3"/>
  <c r="E581" i="3"/>
  <c r="I6" i="3"/>
  <c r="AE6" i="3"/>
  <c r="E128" i="3"/>
  <c r="E254" i="3"/>
  <c r="E338" i="3"/>
  <c r="O6" i="3"/>
  <c r="E272" i="3"/>
  <c r="U6" i="3"/>
  <c r="E208" i="3"/>
  <c r="E532" i="3"/>
  <c r="E307" i="3"/>
  <c r="E459" i="3"/>
  <c r="E375" i="3"/>
  <c r="E520" i="3"/>
  <c r="E524" i="3"/>
  <c r="E188" i="3"/>
  <c r="E81"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94" i="3"/>
  <c r="E559" i="3"/>
  <c r="N6" i="3"/>
  <c r="E316" i="3"/>
  <c r="E558" i="3"/>
  <c r="E32" i="3"/>
  <c r="E344" i="3"/>
  <c r="E238" i="3"/>
  <c r="E221" i="3"/>
  <c r="E418" i="3"/>
  <c r="E426" i="3"/>
  <c r="E126" i="3"/>
  <c r="E379" i="3"/>
  <c r="E54" i="3"/>
  <c r="E313" i="3"/>
  <c r="E98" i="3"/>
  <c r="Y6" i="3"/>
  <c r="E582" i="3"/>
  <c r="E421" i="3"/>
  <c r="AQ6" i="3"/>
  <c r="E412" i="3"/>
  <c r="J5" i="67"/>
  <c r="J24" i="67" s="1"/>
  <c r="E510" i="3"/>
  <c r="E536" i="3"/>
  <c r="E442" i="3"/>
  <c r="E554" i="3"/>
  <c r="E95" i="3"/>
  <c r="E389" i="3"/>
  <c r="E64" i="3"/>
  <c r="E310" i="3"/>
  <c r="E233" i="3"/>
  <c r="E309" i="3"/>
  <c r="AL6" i="3"/>
  <c r="E235"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212" i="3"/>
  <c r="E466" i="3"/>
  <c r="E517" i="3"/>
  <c r="E152" i="3"/>
  <c r="E544" i="3"/>
  <c r="E46" i="3"/>
  <c r="E492" i="3"/>
  <c r="E355" i="3"/>
  <c r="E513" i="3"/>
  <c r="E42" i="3"/>
  <c r="E383"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575" i="3"/>
  <c r="E449" i="3"/>
  <c r="E417" i="3"/>
  <c r="E241" i="3"/>
  <c r="E409" i="3"/>
  <c r="E267" i="3"/>
  <c r="E67" i="3"/>
  <c r="E63" i="3"/>
  <c r="E198" i="3"/>
  <c r="E18"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3" i="6"/>
  <c r="E65" i="3"/>
  <c r="E398" i="3"/>
  <c r="E176" i="3"/>
  <c r="E299" i="3"/>
  <c r="E346" i="3"/>
  <c r="E440" i="3"/>
  <c r="E326" i="3"/>
  <c r="E225" i="3"/>
  <c r="E456" i="3"/>
  <c r="E206" i="3"/>
  <c r="E33" i="3"/>
  <c r="E479" i="3"/>
  <c r="E358" i="3"/>
  <c r="E569" i="3"/>
  <c r="E282" i="3"/>
  <c r="E480" i="3"/>
  <c r="E295" i="3"/>
  <c r="E404" i="3"/>
  <c r="E443" i="3"/>
  <c r="E164" i="3"/>
  <c r="E394" i="3"/>
  <c r="E55" i="3"/>
  <c r="E424" i="3"/>
  <c r="E120" i="3"/>
  <c r="E156" i="3"/>
  <c r="E402" i="3"/>
  <c r="E17" i="3"/>
  <c r="E169" i="3"/>
  <c r="E506" i="3"/>
  <c r="E359" i="3"/>
  <c r="E153" i="3"/>
  <c r="AM6" i="3"/>
  <c r="E71" i="3"/>
  <c r="E432" i="3"/>
  <c r="E145" i="3"/>
  <c r="E357" i="3"/>
  <c r="E475" i="3"/>
  <c r="E438" i="3"/>
  <c r="E157" i="3"/>
  <c r="E122" i="3"/>
  <c r="E504" i="3"/>
  <c r="E195" i="3"/>
  <c r="E66" i="3"/>
  <c r="E341" i="3"/>
  <c r="E464" i="3"/>
  <c r="E138" i="3"/>
  <c r="E312" i="3"/>
  <c r="E521" i="3"/>
  <c r="E552" i="3"/>
  <c r="E364" i="3"/>
  <c r="E170" i="3"/>
  <c r="E178" i="3"/>
  <c r="E427" i="3"/>
  <c r="E232" i="3"/>
  <c r="E26" i="3"/>
  <c r="E525" i="3"/>
  <c r="E96" i="3"/>
  <c r="E249" i="3"/>
  <c r="E255" i="3"/>
  <c r="E230" i="3"/>
  <c r="V6" i="3"/>
  <c r="E151" i="3"/>
  <c r="E516" i="3"/>
  <c r="E553" i="3"/>
  <c r="E30" i="3"/>
  <c r="E166" i="3"/>
  <c r="E444" i="3"/>
  <c r="P6" i="3"/>
  <c r="E236" i="3"/>
  <c r="E274" i="3"/>
  <c r="E496" i="3"/>
  <c r="E437" i="3"/>
  <c r="E262" i="3"/>
  <c r="AA6" i="3"/>
  <c r="E159" i="3"/>
  <c r="E213" i="3"/>
  <c r="E298" i="3"/>
  <c r="S6" i="3"/>
  <c r="E574" i="3"/>
  <c r="E501" i="3"/>
  <c r="E291" i="3"/>
  <c r="E546" i="3"/>
  <c r="E548" i="3"/>
  <c r="E196" i="3"/>
  <c r="E257" i="3"/>
  <c r="E471" i="3"/>
  <c r="E529" i="3"/>
  <c r="E306" i="3"/>
  <c r="E82" i="3"/>
  <c r="E413" i="3"/>
  <c r="E488" i="3"/>
  <c r="E259" i="3"/>
  <c r="E47" i="3"/>
  <c r="E19" i="3"/>
  <c r="E57" i="3"/>
  <c r="E51" i="3"/>
  <c r="E155" i="3"/>
  <c r="E101" i="3"/>
  <c r="E123" i="3"/>
  <c r="E15" i="3"/>
  <c r="E463" i="3"/>
  <c r="E393" i="3"/>
  <c r="E324" i="3"/>
  <c r="E13" i="3"/>
  <c r="E205" i="3"/>
  <c r="E281" i="3"/>
  <c r="E484" i="3"/>
  <c r="E499" i="3"/>
  <c r="J5" i="15"/>
  <c r="J24" i="15" s="1"/>
  <c r="T32" i="71"/>
  <c r="D32" i="71"/>
  <c r="C26" i="71"/>
  <c r="D26" i="71" s="1"/>
  <c r="D27" i="71"/>
  <c r="T52" i="71"/>
  <c r="D52" i="71"/>
  <c r="D44" i="71"/>
  <c r="T44" i="71"/>
  <c r="D36" i="71"/>
  <c r="T36" i="71"/>
  <c r="E86" i="3"/>
  <c r="E174" i="3"/>
  <c r="E482" i="3"/>
  <c r="E391" i="3"/>
  <c r="E494" i="3"/>
  <c r="E283" i="3"/>
  <c r="E68" i="3"/>
  <c r="E184" i="3"/>
  <c r="E84" i="3"/>
  <c r="E371" i="3"/>
  <c r="E160" i="3"/>
  <c r="E467" i="3"/>
  <c r="E59" i="3"/>
  <c r="E349" i="3"/>
  <c r="E258" i="3"/>
  <c r="E37" i="3"/>
  <c r="E491" i="3"/>
  <c r="AP6" i="3"/>
  <c r="E430" i="3"/>
  <c r="E502" i="3"/>
  <c r="E286" i="3"/>
  <c r="E539" i="3"/>
  <c r="E522" i="3"/>
  <c r="E129" i="3"/>
  <c r="E75" i="3"/>
  <c r="E332" i="3"/>
  <c r="E21" i="3"/>
  <c r="E264" i="3"/>
  <c r="E381" i="3"/>
  <c r="E144" i="3"/>
  <c r="E23" i="3"/>
  <c r="E300" i="3"/>
  <c r="E103" i="3"/>
  <c r="E425" i="3"/>
  <c r="E76" i="3"/>
  <c r="E363" i="3"/>
  <c r="E192" i="3"/>
  <c r="E56" i="3"/>
  <c r="E435" i="3"/>
  <c r="I3" i="6"/>
  <c r="E541" i="3"/>
  <c r="R6" i="3"/>
  <c r="E1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C40"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F41" i="67"/>
  <c r="M27" i="67"/>
  <c r="F41" i="15"/>
  <c r="F69" i="67" l="1"/>
  <c r="U10" i="40"/>
  <c r="C38" i="43"/>
  <c r="G38" i="43" s="1"/>
  <c r="I38" i="43" s="1"/>
  <c r="T2" i="43"/>
  <c r="V2" i="43" s="1"/>
  <c r="C42" i="43"/>
  <c r="E42" i="43" s="1"/>
  <c r="T10" i="43"/>
  <c r="V10" i="43" s="1"/>
  <c r="C39" i="43"/>
  <c r="E39" i="43" s="1"/>
  <c r="T7" i="43"/>
  <c r="V7" i="43" s="1"/>
  <c r="C33" i="43"/>
  <c r="T3" i="43"/>
  <c r="V3" i="43" s="1"/>
  <c r="T12" i="43"/>
  <c r="V12" i="43" s="1"/>
  <c r="T9" i="43"/>
  <c r="V9" i="43" s="1"/>
  <c r="C41" i="43"/>
  <c r="G41" i="43" s="1"/>
  <c r="I41" i="43" s="1"/>
  <c r="T5" i="43"/>
  <c r="V5" i="43" s="1"/>
  <c r="T4" i="43"/>
  <c r="V4" i="43" s="1"/>
  <c r="T14" i="43"/>
  <c r="V14" i="43" s="1"/>
  <c r="T11" i="43"/>
  <c r="V11" i="43" s="1"/>
  <c r="C37" i="43"/>
  <c r="E37" i="43" s="1"/>
  <c r="T6" i="43"/>
  <c r="V6" i="43" s="1"/>
  <c r="T8" i="43"/>
  <c r="V8" i="43" s="1"/>
  <c r="T16" i="43"/>
  <c r="V16" i="43" s="1"/>
  <c r="F25" i="12"/>
  <c r="C26" i="12" s="1"/>
  <c r="D25" i="12" s="1"/>
  <c r="W10" i="40"/>
  <c r="AC6" i="3"/>
  <c r="H6" i="3"/>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43"/>
  <c r="G40" i="43"/>
  <c r="I40"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4" i="67"/>
  <c r="C17" i="67"/>
  <c r="C34" i="69"/>
  <c r="C17" i="15"/>
  <c r="C34" i="43" l="1"/>
  <c r="E34" i="43" s="1"/>
  <c r="C6" i="69"/>
  <c r="C7" i="69" s="1"/>
  <c r="G42" i="43"/>
  <c r="I42" i="43" s="1"/>
  <c r="E41" i="43"/>
  <c r="E33" i="43"/>
  <c r="G39" i="43"/>
  <c r="I39" i="43" s="1"/>
  <c r="E38" i="43"/>
  <c r="G37" i="43"/>
  <c r="I37" i="43" s="1"/>
  <c r="E6" i="3"/>
  <c r="C26" i="68"/>
  <c r="D22" i="68" s="1"/>
  <c r="F41" i="68"/>
  <c r="C23" i="68"/>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C31" i="43"/>
  <c r="C30"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I53" i="21" l="1"/>
  <c r="J53" i="21" s="1"/>
  <c r="E53" i="21"/>
  <c r="F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0" i="9"/>
  <c r="C19" i="9"/>
  <c r="D2" i="36"/>
  <c r="D103" i="9" l="1"/>
  <c r="C102" i="9"/>
  <c r="G19" i="9"/>
  <c r="G21" i="9" s="1"/>
  <c r="D2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C20" i="9"/>
  <c r="AO7" i="1"/>
  <c r="AO8" i="1"/>
  <c r="AO11" i="1"/>
  <c r="AO12" i="1"/>
  <c r="AO9" i="1"/>
  <c r="AO10" i="1"/>
  <c r="C103" i="9" l="1"/>
  <c r="G20" i="9"/>
  <c r="G2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9" i="52"/>
  <c r="D123" i="9"/>
  <c r="B52" i="72"/>
  <c r="G4" i="52"/>
  <c r="B32" i="72"/>
  <c r="D14" i="53"/>
  <c r="M54" i="9"/>
  <c r="C97" i="9"/>
  <c r="D58" i="9"/>
  <c r="D56" i="9"/>
  <c r="B49" i="72"/>
  <c r="D5" i="52"/>
  <c r="D119" i="9"/>
  <c r="B31" i="72"/>
  <c r="D15" i="53"/>
  <c r="B21" i="72"/>
  <c r="D7" i="53"/>
  <c r="C86" i="9"/>
  <c r="C93" i="9"/>
  <c r="E81" i="9"/>
  <c r="E80" i="9"/>
  <c r="C80" i="9"/>
  <c r="B20" i="72"/>
  <c r="F119" i="9"/>
  <c r="F5" i="52"/>
  <c r="B53" i="72"/>
  <c r="H5" i="52"/>
  <c r="H119" i="9"/>
  <c r="D54" i="9"/>
  <c r="C68" i="9"/>
  <c r="H108" i="9"/>
  <c r="C6" i="74"/>
  <c r="B48" i="72"/>
  <c r="E4" i="52"/>
  <c r="D122" i="9"/>
  <c r="D8" i="52"/>
  <c r="H4" i="52"/>
  <c r="C104" i="9"/>
  <c r="M48" i="9"/>
  <c r="D5" i="53"/>
  <c r="D6" i="53"/>
  <c r="B22" i="72"/>
  <c r="I4" i="52"/>
  <c r="C105" i="9"/>
  <c r="P57" i="9"/>
  <c r="N58" i="9"/>
  <c r="B51" i="72"/>
  <c r="G118" i="9"/>
  <c r="F118" i="9"/>
  <c r="F4" i="52"/>
  <c r="M55" i="9"/>
  <c r="C64" i="9"/>
  <c r="C63" i="9"/>
  <c r="C67" i="9"/>
  <c r="D59" i="9"/>
  <c r="C73" i="9"/>
  <c r="C78" i="9"/>
  <c r="C72" i="9"/>
  <c r="C79" i="9"/>
  <c r="C81" i="9"/>
  <c r="E118" i="9"/>
  <c r="D118" i="9"/>
  <c r="D4" i="52"/>
  <c r="B47" i="72"/>
  <c r="N60" i="9"/>
  <c r="D55" i="9"/>
  <c r="M53" i="9"/>
  <c r="N57" i="9"/>
  <c r="N59" i="9"/>
  <c r="N61" i="9"/>
  <c r="H107" i="9"/>
  <c r="D13" i="53"/>
  <c r="B30" i="72"/>
  <c r="C85" i="9"/>
  <c r="C95" i="9"/>
  <c r="C96" i="9"/>
  <c r="E96" i="9"/>
  <c r="E97" i="9"/>
  <c r="H102" i="9"/>
  <c r="C5" i="74"/>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<sst xmlns="http://schemas.openxmlformats.org/spreadsheetml/2006/main" count="9015" uniqueCount="3649">
  <si>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</si>
  <si>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</si>
  <si>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</si>
  <si>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</si>
  <si>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</si>
  <si>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</si>
  <si>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</si>
  <si>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</si>
  <si>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</si>
  <si>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</si>
  <si>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</si>
  <si>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</si>
  <si>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</si>
  <si>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</si>
  <si>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</si>
  <si>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</si>
  <si>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</si>
  <si>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</si>
  <si>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</si>
  <si>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</si>
  <si>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</si>
  <si>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</si>
  <si>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</si>
  <si>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</si>
  <si>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</si>
  <si>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</si>
  <si>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</si>
  <si>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</si>
  <si>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</si>
  <si>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</si>
  <si>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</si>
  <si>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</si>
  <si>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</si>
  <si>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</si>
  <si>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</si>
  <si>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</si>
  <si>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</si>
  <si>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</si>
  <si>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</si>
  <si>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</si>
  <si>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</si>
  <si>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</si>
  <si>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</si>
  <si>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</si>
  <si>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</si>
  <si>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</si>
  <si>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</si>
  <si>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</si>
  <si>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</si>
  <si>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</si>
  <si>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</si>
  <si>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</si>
  <si>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</si>
  <si>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</si>
  <si>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</si>
  <si>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</si>
  <si>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</si>
  <si>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</si>
  <si>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</si>
  <si>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</si>
  <si>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</si>
  <si>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</si>
  <si>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</si>
  <si>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</si>
  <si>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</si>
  <si>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</si>
  <si>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</si>
  <si>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</si>
  <si>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</si>
  <si>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</si>
  <si>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</si>
  <si>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</si>
  <si>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</si>
  <si>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</si>
  <si>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</si>
  <si>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</si>
  <si>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</si>
  <si>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</si>
  <si>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</si>
  <si>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</si>
  <si>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</si>
  <si>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</si>
  <si>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</si>
  <si>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</si>
  <si>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</si>
  <si>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</si>
  <si>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</si>
  <si>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</si>
  <si>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</si>
  <si>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</si>
  <si>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</si>
  <si>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</si>
  <si>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</si>
  <si>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</si>
  <si>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</si>
  <si>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</si>
  <si>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</si>
  <si>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</si>
  <si>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</si>
  <si>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</si>
  <si>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</si>
  <si>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</si>
  <si>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</si>
  <si>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</si>
  <si>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</si>
  <si>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</si>
  <si>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</si>
  <si>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</si>
  <si>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</si>
  <si>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</si>
  <si>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</si>
  <si>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</si>
  <si>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</si>
  <si>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</si>
  <si>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</si>
  <si>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</si>
  <si>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</si>
  <si>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</si>
  <si>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</si>
  <si>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</si>
  <si>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</si>
  <si>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</si>
  <si>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</si>
  <si>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</si>
  <si>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</si>
  <si>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</si>
  <si>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</si>
  <si>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</si>
  <si>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</si>
  <si>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</si>
  <si>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</si>
  <si>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</si>
  <si>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</si>
  <si>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</si>
  <si>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</si>
  <si>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</si>
  <si>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</si>
  <si>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</si>
  <si>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</si>
  <si>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</si>
  <si>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</si>
  <si>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</si>
  <si>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</si>
  <si>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</si>
  <si>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</si>
  <si>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</si>
  <si>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</si>
  <si>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</si>
  <si>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</si>
  <si>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</si>
  <si>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</si>
  <si>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</si>
  <si>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</si>
  <si>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</si>
  <si>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</si>
  <si>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</si>
  <si>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</si>
  <si>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</si>
  <si>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</si>
  <si>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</si>
  <si>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</si>
  <si>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</si>
  <si>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</si>
  <si>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</si>
  <si>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</si>
  <si>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</si>
  <si>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</si>
  <si>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</si>
  <si>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</si>
  <si>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</si>
  <si>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</si>
  <si>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</si>
  <si>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</si>
  <si>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</si>
  <si>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</si>
  <si>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</si>
  <si>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</si>
  <si>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</si>
  <si>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</si>
  <si>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</si>
  <si>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</si>
  <si>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</si>
  <si>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</si>
  <si>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</si>
  <si>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</si>
  <si>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</si>
  <si>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</si>
  <si>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</si>
  <si>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</si>
  <si>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</si>
  <si>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</si>
  <si>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</si>
  <si>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</si>
  <si>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</si>
  <si>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</si>
  <si>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</si>
  <si>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</si>
  <si>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</si>
  <si>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</si>
  <si>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</si>
  <si>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</si>
  <si>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</si>
  <si>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</si>
  <si>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</si>
  <si>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</si>
  <si>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</si>
  <si>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</si>
  <si>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</si>
  <si>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</si>
  <si>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</si>
  <si>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</si>
  <si>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</si>
  <si>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</si>
  <si>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</si>
  <si>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</si>
  <si>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</si>
  <si>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</si>
  <si>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</si>
  <si>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</si>
  <si>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</si>
  <si>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</si>
  <si>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</si>
  <si>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</si>
  <si>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</si>
  <si>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</si>
  <si>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</si>
  <si>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</si>
  <si>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</si>
  <si>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</si>
  <si>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</si>
  <si>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</si>
  <si>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</si>
  <si>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</si>
  <si>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</si>
  <si>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</si>
  <si>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</si>
  <si>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</si>
  <si>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</si>
  <si>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</si>
  <si>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</si>
  <si>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</si>
  <si>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</si>
  <si>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</si>
  <si>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</si>
  <si>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</si>
  <si>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</si>
  <si>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</si>
  <si>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</si>
  <si>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</si>
  <si>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</si>
  <si>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</si>
  <si>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</si>
  <si>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</si>
  <si>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</si>
  <si>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</si>
  <si>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</si>
  <si>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</si>
  <si>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</si>
  <si>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</si>
  <si>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</si>
  <si>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</si>
  <si>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</si>
  <si>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</si>
  <si>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</si>
  <si>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</si>
  <si>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</si>
  <si>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</si>
  <si>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</si>
  <si>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</si>
  <si>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</si>
  <si>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</si>
  <si>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</si>
  <si>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</si>
  <si>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</si>
  <si>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</si>
  <si>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</si>
  <si>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</si>
  <si>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</si>
  <si>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</si>
  <si>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</si>
  <si>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</si>
  <si>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</si>
  <si>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</si>
  <si>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</si>
  <si>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</si>
  <si>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</si>
  <si>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</si>
  <si>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</si>
  <si>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</si>
  <si>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</si>
  <si>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</si>
  <si>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</si>
  <si>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</si>
  <si>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</si>
  <si>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</si>
  <si>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</si>
  <si>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</si>
  <si>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</si>
  <si>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</si>
  <si>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</si>
  <si>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</si>
  <si>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</si>
  <si>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</si>
  <si>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</si>
  <si>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</si>
  <si>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</si>
  <si>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</si>
  <si>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</si>
  <si>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</si>
  <si>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</si>
  <si>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</si>
  <si>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</si>
  <si>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</si>
  <si>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</si>
  <si>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</si>
  <si>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</si>
  <si>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</si>
  <si>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</si>
  <si>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</si>
  <si>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</si>
  <si>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</si>
  <si>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</si>
  <si>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</si>
  <si>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</si>
  <si>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</si>
  <si>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</si>
  <si>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</si>
  <si>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</si>
  <si>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</si>
  <si>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</si>
  <si>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</si>
  <si>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</si>
  <si>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</si>
  <si>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</si>
  <si>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</si>
  <si>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</si>
  <si>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</si>
  <si>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</si>
  <si>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</si>
  <si>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</si>
  <si>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</si>
  <si>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</si>
  <si>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</si>
  <si>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</si>
  <si>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</si>
  <si>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</si>
  <si>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</si>
  <si>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</si>
  <si>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</si>
  <si>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</si>
  <si>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</si>
  <si>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</si>
  <si>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</si>
  <si>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</si>
  <si>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</si>
  <si>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</si>
  <si>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</si>
  <si>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</si>
  <si>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</si>
  <si>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</si>
  <si>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</si>
  <si>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</si>
  <si>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</si>
  <si>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</si>
  <si>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</si>
  <si>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</si>
  <si>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</si>
  <si>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</si>
  <si>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</si>
  <si>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</si>
  <si>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</si>
  <si>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</si>
  <si>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</si>
  <si>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</si>
  <si>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</si>
  <si>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</si>
  <si>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</si>
  <si>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</si>
  <si>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</si>
  <si>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</si>
  <si>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</si>
  <si>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</si>
  <si>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</si>
  <si>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</si>
  <si>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</si>
  <si>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</si>
  <si>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</si>
  <si>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</si>
  <si>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</si>
  <si>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</si>
  <si>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</si>
  <si>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</si>
  <si>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</si>
  <si>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</si>
  <si>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</si>
  <si>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</si>
  <si>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</si>
  <si>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</si>
  <si>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</si>
  <si>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</si>
  <si>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</si>
  <si>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</si>
  <si>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</si>
  <si>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</si>
  <si>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</si>
  <si>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</si>
  <si>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</si>
  <si>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</si>
  <si>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</si>
  <si>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</si>
  <si>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</si>
  <si>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</si>
  <si>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</si>
  <si>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</si>
  <si>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</si>
  <si>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</si>
  <si>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</si>
  <si>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</si>
  <si>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</si>
  <si>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</si>
  <si>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</si>
  <si>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</si>
  <si>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</si>
  <si>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</si>
  <si>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</si>
  <si>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</si>
  <si>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</si>
  <si>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</si>
  <si>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</si>
  <si>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</si>
  <si>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</si>
  <si>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</si>
  <si>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</si>
  <si>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</si>
  <si>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</si>
  <si>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</si>
  <si>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</si>
  <si>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</si>
  <si>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</si>
  <si>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</si>
  <si>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</si>
  <si>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</si>
  <si>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</si>
  <si>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</si>
  <si>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</si>
  <si>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</si>
  <si>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</si>
  <si>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</si>
  <si>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</si>
  <si>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</si>
  <si>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</si>
  <si>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</si>
  <si>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</si>
  <si>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</si>
  <si>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</si>
  <si>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</si>
  <si>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</si>
  <si>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</si>
  <si>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</si>
  <si>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</si>
  <si>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</si>
  <si>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</si>
  <si>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</si>
  <si>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</si>
  <si>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</si>
  <si>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</si>
  <si>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</si>
  <si>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</si>
  <si>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</si>
  <si>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</si>
  <si>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</si>
  <si>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</si>
  <si>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</si>
  <si>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</si>
  <si>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</si>
  <si>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</si>
  <si>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</si>
  <si>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</si>
  <si>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</si>
  <si>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</si>
  <si>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</si>
  <si>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</si>
  <si>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</si>
  <si>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</si>
  <si>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</si>
  <si>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</si>
  <si>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</si>
  <si>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</si>
  <si>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</si>
  <si>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</si>
  <si>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</si>
  <si>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</si>
  <si>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</si>
  <si>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</si>
  <si>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</si>
  <si>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</si>
  <si>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</si>
  <si>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</si>
  <si>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</si>
  <si>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</si>
  <si>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</si>
  <si>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</si>
  <si>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</si>
  <si>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</si>
  <si>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</si>
  <si>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</si>
  <si>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</si>
  <si>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</si>
  <si>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</si>
  <si>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</si>
  <si>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</si>
  <si>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</si>
  <si>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</si>
  <si>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</si>
  <si>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</si>
  <si>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</si>
  <si>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</si>
  <si>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</si>
  <si>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</si>
  <si>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</si>
  <si>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</si>
  <si>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</si>
  <si>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</si>
  <si>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</si>
  <si>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</si>
  <si>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</si>
  <si>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</si>
  <si>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</si>
  <si>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</si>
  <si>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</si>
  <si>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</si>
  <si>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</si>
  <si>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</si>
  <si>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</si>
  <si>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</si>
  <si>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</si>
  <si>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</si>
  <si>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</si>
  <si>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</si>
  <si>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</si>
  <si>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</si>
  <si>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</si>
  <si>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</si>
  <si>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</si>
  <si>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</si>
  <si>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</si>
  <si>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</si>
  <si>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</si>
  <si>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</si>
  <si>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</si>
  <si>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</si>
  <si>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</si>
  <si>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</si>
  <si>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</si>
  <si>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</si>
  <si>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</si>
  <si>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</si>
  <si>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</si>
  <si>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</si>
  <si>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</si>
  <si>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</si>
  <si>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</si>
  <si>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</si>
  <si>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</si>
  <si>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</si>
  <si>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</si>
  <si>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</si>
  <si>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</si>
  <si>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</si>
  <si>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</si>
  <si>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</si>
  <si>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</si>
  <si>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</si>
  <si>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</si>
  <si>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</si>
  <si>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</si>
  <si>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</si>
  <si>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</si>
  <si>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</si>
  <si>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</si>
  <si>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</si>
  <si>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</si>
  <si>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</si>
  <si>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</si>
  <si>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</si>
  <si>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</si>
  <si>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</si>
  <si>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</si>
  <si>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</si>
  <si>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</si>
  <si>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</si>
  <si>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</si>
  <si>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</si>
  <si>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</si>
  <si>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</si>
  <si>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</si>
  <si>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</si>
  <si>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</si>
  <si>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</si>
  <si>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</si>
  <si>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</si>
  <si>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</si>
  <si>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</si>
  <si>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</si>
  <si>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</si>
  <si>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</si>
  <si>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</si>
  <si>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</si>
  <si>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</si>
  <si>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</si>
  <si>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</si>
  <si>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</si>
  <si>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</si>
  <si>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</si>
  <si>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</si>
  <si>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</si>
  <si>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</si>
  <si>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</si>
  <si>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</si>
  <si>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</si>
  <si>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</si>
  <si>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</si>
  <si>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</si>
  <si>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</si>
  <si>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</si>
  <si>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</si>
  <si>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</si>
  <si>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</si>
  <si>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</si>
  <si>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</si>
  <si>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</si>
  <si>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</si>
  <si>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</si>
  <si>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</si>
  <si>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</si>
  <si>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</si>
  <si>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</si>
  <si>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</si>
  <si>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</si>
  <si>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</si>
  <si>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</si>
  <si>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</si>
  <si>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</si>
  <si>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</si>
  <si>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</si>
  <si>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</si>
  <si>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</si>
  <si>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</si>
  <si>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</si>
  <si>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</si>
  <si>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</si>
  <si>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</si>
  <si>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</si>
  <si>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</si>
  <si>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</si>
  <si>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</si>
  <si>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</si>
  <si>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</si>
  <si>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</si>
  <si>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</si>
  <si>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</si>
  <si>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</si>
  <si>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</si>
  <si>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</si>
  <si>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</si>
  <si>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</si>
  <si>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</si>
  <si>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</si>
  <si>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</si>
  <si>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</si>
  <si>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</si>
  <si>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</si>
  <si>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</si>
  <si>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</si>
  <si>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</si>
  <si>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</si>
  <si>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</si>
  <si>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</si>
  <si>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</si>
  <si>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</si>
  <si>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</si>
  <si>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</si>
  <si>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</si>
  <si>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</si>
  <si>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</si>
  <si>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</si>
  <si>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</si>
  <si>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</si>
  <si>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</si>
  <si>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</si>
  <si>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</si>
  <si>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</si>
  <si>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</si>
  <si>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</si>
  <si>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</si>
  <si>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</si>
  <si>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</si>
  <si>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</si>
  <si>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</si>
  <si>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</si>
  <si>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</si>
  <si>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</si>
  <si>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</si>
  <si>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</si>
  <si>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</si>
  <si>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</si>
  <si>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</si>
  <si>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</si>
  <si>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</si>
  <si>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</si>
  <si>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</si>
  <si>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</si>
  <si>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</si>
  <si>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</si>
  <si>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</si>
  <si>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</si>
  <si>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</si>
  <si>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</si>
  <si>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</si>
  <si>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</si>
  <si>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</si>
  <si>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</si>
  <si>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</si>
  <si>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</si>
  <si>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</si>
  <si>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</si>
  <si>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</si>
  <si>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</si>
  <si>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</si>
  <si>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</si>
  <si>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</si>
  <si>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</si>
  <si>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</si>
  <si>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</si>
  <si>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</si>
  <si>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</si>
  <si>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</si>
  <si>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</si>
  <si>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</si>
  <si>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</si>
  <si>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</si>
  <si>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</si>
  <si>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</si>
  <si>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</si>
  <si>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</si>
  <si>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</si>
  <si>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</si>
  <si>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</si>
  <si>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</si>
  <si>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</si>
  <si>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</si>
  <si>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</si>
  <si>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</si>
  <si>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</si>
  <si>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</si>
  <si>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</si>
  <si>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</si>
  <si>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</si>
  <si>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</si>
  <si>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</si>
  <si>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</si>
  <si>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</si>
  <si>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</si>
  <si>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</si>
  <si>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</si>
  <si>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</si>
  <si>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</si>
  <si>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</si>
  <si>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</si>
  <si>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</si>
  <si>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</si>
  <si>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</si>
  <si>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</si>
  <si>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</si>
  <si>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</si>
  <si>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</si>
  <si>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</si>
  <si>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</si>
  <si>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</si>
  <si>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</si>
  <si>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</si>
  <si>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</si>
  <si>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</si>
  <si>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</si>
  <si>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</si>
  <si>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</si>
  <si>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</si>
  <si>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</si>
  <si>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</si>
  <si>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</si>
  <si>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</si>
  <si>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</si>
  <si>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</si>
  <si>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</si>
  <si>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</si>
  <si>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</si>
  <si>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</si>
  <si>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</si>
  <si>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</si>
  <si>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</si>
  <si>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</si>
  <si>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</si>
  <si>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</si>
  <si>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</si>
  <si>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</si>
  <si>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</si>
  <si>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</si>
  <si>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</si>
  <si>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</si>
  <si>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</si>
  <si>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</si>
  <si>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</si>
  <si>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</si>
  <si>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</si>
  <si>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</si>
  <si>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</si>
  <si>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</si>
  <si>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</si>
  <si>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</si>
  <si>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</si>
  <si>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</si>
  <si>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</si>
  <si>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</si>
  <si>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</si>
  <si>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</si>
  <si>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</si>
  <si>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</si>
  <si>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</si>
  <si>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</si>
  <si>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</si>
  <si>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</si>
  <si>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</si>
  <si>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</si>
  <si>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</si>
  <si>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</si>
  <si>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</si>
  <si>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</si>
  <si>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</si>
  <si>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</si>
  <si>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</si>
  <si>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</si>
  <si>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</si>
  <si>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</si>
  <si>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</si>
  <si>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</si>
  <si>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</si>
  <si>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</si>
  <si>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</si>
  <si>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</si>
  <si>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</si>
  <si>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</si>
  <si>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</si>
  <si>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</si>
  <si>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</si>
  <si>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</si>
  <si>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</si>
  <si>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</si>
  <si>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</si>
  <si>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</si>
  <si>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</si>
  <si>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</si>
  <si>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</si>
  <si>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</si>
  <si>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</si>
  <si>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</si>
  <si>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</si>
  <si>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</si>
  <si>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</si>
  <si>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</si>
  <si>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</si>
  <si>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</si>
  <si>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</si>
  <si>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</si>
  <si>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</si>
  <si>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</si>
  <si>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</si>
  <si>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</si>
  <si>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</si>
  <si>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</si>
  <si>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</si>
  <si>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</si>
  <si>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</si>
  <si>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</si>
  <si>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</si>
  <si>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</si>
  <si>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</si>
  <si>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</si>
  <si>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</si>
  <si>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</si>
  <si>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</si>
  <si>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</si>
  <si>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</si>
  <si>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</si>
  <si>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</si>
  <si>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</si>
  <si>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</si>
  <si>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</si>
  <si>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</si>
  <si>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</si>
  <si>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</si>
  <si>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</si>
  <si>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</si>
  <si>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</si>
  <si>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</si>
  <si>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</si>
  <si>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</si>
  <si>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</si>
  <si>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</si>
  <si>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</si>
  <si>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</si>
  <si>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</si>
  <si>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</si>
  <si>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</si>
  <si>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</si>
  <si>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</si>
  <si>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</si>
  <si>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</si>
  <si>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</si>
  <si>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</si>
  <si>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</si>
  <si>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</si>
  <si>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</si>
  <si>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</si>
  <si>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</si>
  <si>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</si>
  <si>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</si>
  <si>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</si>
  <si>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</si>
  <si>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</si>
  <si>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</si>
  <si>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</si>
  <si>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</si>
  <si>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</si>
  <si>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</si>
  <si>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</si>
  <si>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</si>
  <si>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</si>
  <si>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</si>
  <si>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</si>
  <si>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</si>
  <si>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</si>
  <si>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</si>
  <si>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</si>
  <si>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</si>
  <si>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</si>
  <si>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</si>
  <si>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</si>
  <si>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</si>
  <si>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</si>
  <si>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</si>
  <si>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</si>
  <si>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</si>
  <si>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</si>
  <si>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</si>
  <si>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</si>
  <si>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</si>
  <si>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</si>
  <si>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</si>
  <si>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</si>
  <si>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</si>
  <si>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</si>
  <si>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</si>
  <si>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</si>
  <si>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</si>
  <si>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</si>
  <si>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</si>
  <si>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</si>
  <si>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</si>
  <si>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</si>
  <si>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</si>
  <si>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</si>
  <si>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</si>
  <si>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</si>
  <si>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</si>
  <si>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</si>
  <si>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</si>
  <si>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</si>
  <si>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</si>
  <si>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</si>
  <si>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</si>
  <si>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</si>
  <si>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</si>
  <si>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</si>
  <si>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</si>
  <si>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</si>
  <si>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</si>
  <si>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</si>
  <si>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</si>
  <si>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</si>
  <si>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</si>
  <si>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</si>
  <si>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</si>
  <si>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</si>
  <si>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</si>
  <si>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</si>
  <si>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</si>
  <si>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</si>
  <si>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</si>
  <si>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</si>
  <si>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</si>
  <si>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</si>
  <si>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</si>
  <si>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</si>
  <si>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</si>
  <si>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</si>
  <si>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</si>
  <si>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</si>
  <si>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</si>
  <si>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</si>
  <si>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</si>
  <si>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</si>
  <si>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</si>
  <si>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</si>
  <si>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</si>
  <si>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</si>
  <si>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</si>
  <si>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</si>
  <si>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</si>
  <si>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</si>
  <si>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</si>
  <si>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</si>
  <si>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</si>
  <si>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</si>
  <si>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</si>
  <si>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</si>
  <si>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</si>
  <si>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</si>
  <si>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</si>
  <si>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</si>
  <si>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</si>
  <si>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</si>
  <si>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</si>
  <si>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</si>
  <si>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</si>
  <si>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</si>
  <si>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</si>
  <si>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</si>
  <si>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</si>
  <si>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</si>
  <si>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</si>
  <si>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</si>
  <si>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</si>
  <si>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</si>
  <si>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</si>
  <si>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</si>
  <si>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</si>
  <si>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</si>
  <si>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</si>
  <si>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</si>
  <si>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</si>
  <si>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</si>
  <si>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</si>
  <si>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</si>
  <si>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</si>
  <si>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</si>
  <si>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</si>
  <si>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</si>
  <si>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</si>
  <si>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</si>
  <si>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</si>
  <si>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</si>
  <si>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</si>
  <si>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</si>
  <si>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</si>
  <si>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</si>
  <si>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</si>
  <si>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</si>
  <si>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</si>
  <si>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</si>
  <si>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</si>
  <si>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</si>
  <si>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</si>
  <si>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</si>
  <si>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</si>
  <si>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</si>
  <si>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</si>
  <si>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</si>
  <si>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</si>
  <si>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</si>
  <si>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</si>
  <si>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</si>
  <si>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</si>
  <si>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</si>
  <si>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</si>
  <si>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</si>
  <si>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</si>
  <si>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</si>
  <si>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</si>
  <si>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</si>
  <si>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</si>
  <si>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</si>
  <si>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</si>
  <si>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</si>
  <si>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</si>
  <si>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</si>
  <si>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</si>
  <si>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</si>
  <si>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</si>
  <si>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</si>
  <si>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</si>
  <si>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</si>
  <si>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</si>
  <si>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</si>
  <si>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</si>
  <si>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</si>
  <si>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</si>
  <si>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</si>
  <si>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</si>
  <si>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</si>
  <si>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</si>
  <si>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</si>
  <si>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</si>
  <si>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</si>
  <si>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</si>
  <si>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</si>
  <si>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</si>
  <si>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</si>
  <si>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</si>
  <si>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</si>
  <si>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</si>
  <si>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</si>
  <si>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</si>
  <si>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</si>
  <si>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</si>
  <si>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</si>
  <si>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</si>
  <si>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</si>
  <si>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</si>
  <si>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</si>
  <si>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</si>
  <si>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</si>
  <si>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</si>
  <si>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</si>
  <si>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</si>
  <si>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</si>
  <si>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</si>
  <si>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</si>
  <si>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</si>
  <si>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</si>
  <si>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</si>
  <si>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</si>
  <si>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</si>
  <si>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</si>
  <si>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</si>
  <si>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</si>
  <si>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</si>
  <si>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</si>
  <si>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</si>
  <si>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</si>
  <si>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</si>
  <si>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</si>
  <si>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</si>
  <si>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</si>
  <si>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</si>
  <si>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</si>
  <si>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</si>
  <si>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</si>
  <si>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</si>
  <si>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</si>
  <si>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</si>
  <si>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</si>
  <si>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</si>
  <si>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</si>
  <si>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</si>
  <si>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</si>
  <si>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</si>
  <si>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</si>
  <si>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</si>
  <si>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</si>
  <si>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</si>
  <si>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</si>
  <si>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</si>
  <si>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</si>
  <si>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</si>
  <si>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</si>
  <si>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</si>
  <si>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</si>
  <si>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</si>
  <si>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</si>
  <si>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</si>
  <si>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</si>
  <si>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</si>
  <si>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</si>
  <si>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</si>
  <si>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</si>
  <si>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</si>
  <si>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</si>
  <si>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</si>
  <si>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</si>
  <si>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</si>
  <si>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</si>
  <si>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</si>
  <si>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</si>
  <si>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</si>
  <si>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</si>
  <si>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</si>
  <si>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</si>
  <si>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</si>
  <si>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</si>
  <si>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</si>
  <si>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</si>
  <si>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</si>
  <si>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</si>
  <si>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</si>
  <si>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</si>
  <si>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</si>
  <si>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</si>
  <si>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</si>
  <si>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</si>
  <si>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</si>
  <si>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</si>
  <si>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</si>
  <si>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</si>
  <si>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</si>
  <si>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</si>
  <si>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</si>
  <si>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</si>
  <si>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</si>
  <si>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</si>
  <si>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</si>
  <si>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</si>
  <si>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</si>
  <si>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</si>
  <si>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</si>
  <si>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</si>
  <si>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</si>
  <si>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</si>
  <si>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</si>
  <si>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</si>
  <si>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</si>
  <si>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</si>
  <si>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</si>
  <si>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</si>
  <si>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</si>
  <si>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</si>
  <si>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</si>
  <si>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</si>
  <si>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</si>
  <si>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</si>
  <si>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</si>
  <si>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</si>
  <si>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</si>
  <si>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</si>
  <si>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</si>
  <si>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</si>
  <si>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</si>
  <si>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</si>
  <si>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</si>
  <si>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</si>
  <si>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</si>
  <si>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</si>
  <si>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</si>
  <si>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</si>
  <si>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</si>
  <si>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</si>
  <si>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</si>
  <si>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</si>
  <si>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</si>
  <si>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</si>
  <si>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</si>
  <si>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</si>
  <si>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</si>
  <si>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</si>
  <si>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</si>
  <si>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</si>
  <si>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</si>
  <si>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</si>
  <si>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</si>
  <si>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</si>
  <si>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</si>
  <si>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</si>
  <si>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</si>
  <si>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</si>
  <si>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</si>
  <si>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</si>
  <si>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</si>
  <si>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</si>
  <si>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</si>
  <si>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</si>
  <si>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</si>
  <si>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</si>
  <si>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</si>
  <si>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</si>
  <si>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</si>
  <si>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</si>
  <si>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</si>
  <si>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</si>
  <si>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</si>
  <si>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</si>
  <si>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</si>
  <si>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</si>
  <si>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</si>
  <si>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</si>
  <si>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</si>
  <si>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</si>
  <si>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</si>
  <si>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</si>
  <si>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</si>
  <si>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</si>
  <si>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</si>
  <si>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</si>
  <si>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</si>
  <si>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</si>
  <si>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</si>
  <si>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</si>
  <si>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</si>
  <si>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</si>
  <si>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</si>
  <si>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</si>
  <si>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</si>
  <si>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</si>
  <si>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</si>
  <si>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</si>
  <si>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</si>
  <si>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</si>
  <si>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</si>
  <si>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</si>
  <si>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</si>
  <si>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</si>
  <si>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</si>
  <si>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</si>
  <si>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</si>
  <si>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</si>
  <si>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</si>
  <si>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</si>
  <si>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</si>
  <si>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</si>
  <si>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</si>
  <si>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</si>
  <si>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</si>
  <si>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</si>
  <si>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</si>
  <si>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</si>
  <si>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</si>
  <si>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</si>
  <si>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</si>
  <si>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</si>
  <si>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</si>
  <si>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</si>
  <si>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</si>
  <si>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</si>
  <si>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</si>
  <si>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</si>
  <si>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</si>
  <si>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</si>
  <si>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</si>
  <si>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</si>
  <si>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</si>
  <si>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</si>
  <si>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</si>
  <si>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</si>
  <si>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</si>
  <si>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</si>
  <si>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</si>
  <si>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</si>
  <si>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</si>
  <si>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</si>
  <si>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</si>
  <si>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</si>
  <si>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</si>
  <si>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</si>
  <si>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</si>
  <si>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</si>
  <si>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</si>
  <si>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</si>
  <si>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</si>
  <si>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</si>
  <si>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</si>
  <si>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</si>
  <si>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</si>
  <si>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</si>
  <si>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</si>
  <si>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</si>
  <si>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</si>
  <si>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</si>
  <si>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</si>
  <si>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</si>
  <si>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</si>
  <si>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</si>
  <si>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</si>
  <si>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</si>
  <si>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</si>
  <si>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</si>
  <si>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</si>
  <si>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</si>
  <si>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</si>
  <si>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</si>
  <si>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</si>
  <si>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</si>
  <si>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</si>
  <si>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</si>
  <si>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</si>
  <si>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</si>
  <si>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</si>
  <si>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</si>
  <si>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</si>
  <si>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</si>
  <si>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</si>
  <si>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</si>
  <si>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</si>
  <si>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</si>
  <si>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</si>
  <si>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</si>
  <si>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</si>
  <si>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</si>
  <si>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</si>
  <si>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</si>
  <si>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</si>
  <si>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</si>
  <si>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</si>
  <si>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</si>
  <si>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</si>
  <si>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</si>
  <si>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</si>
  <si>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</si>
  <si>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</si>
  <si>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</si>
  <si>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</si>
  <si>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</si>
  <si>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</si>
  <si>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</si>
  <si>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</si>
  <si>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</si>
  <si>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</si>
  <si>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</si>
  <si>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</si>
  <si>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</si>
  <si>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</si>
  <si>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</si>
  <si>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</si>
  <si>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</si>
  <si>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</si>
  <si>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</si>
  <si>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</si>
  <si>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</si>
  <si>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</si>
  <si>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</si>
  <si>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</si>
  <si>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</si>
  <si>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</si>
  <si>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</si>
  <si>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</si>
  <si>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</si>
  <si>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</si>
  <si>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</si>
  <si>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</si>
  <si>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</si>
  <si>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</si>
  <si>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</si>
  <si>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</si>
  <si>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</si>
  <si>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</si>
  <si>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</si>
  <si>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</si>
  <si>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</si>
  <si>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</si>
  <si>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</si>
  <si>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</si>
  <si>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</si>
  <si>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</si>
  <si>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</si>
  <si>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</si>
  <si>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</si>
  <si>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</si>
  <si>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</si>
  <si>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</si>
  <si>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</si>
  <si>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</si>
  <si>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</si>
  <si>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</si>
  <si>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</si>
  <si>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</si>
  <si>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</si>
  <si>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</si>
  <si>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</si>
  <si>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</si>
  <si>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</si>
  <si>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</si>
  <si>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</si>
  <si>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</si>
  <si>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</si>
  <si>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</si>
  <si>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</si>
  <si>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</si>
  <si>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</si>
  <si>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</si>
  <si>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</si>
  <si>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</si>
  <si>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</si>
  <si>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</si>
  <si>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</si>
  <si>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</si>
  <si>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</si>
  <si>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</si>
  <si>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</si>
  <si>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</si>
  <si>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</si>
  <si>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</si>
  <si>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</si>
  <si>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</si>
  <si>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</si>
  <si>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</si>
  <si>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</si>
  <si>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</si>
  <si>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</si>
  <si>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</si>
  <si>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</si>
  <si>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</si>
  <si>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</si>
  <si>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</si>
  <si>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</si>
  <si>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</si>
  <si>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</si>
  <si>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</si>
  <si>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</si>
  <si>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</si>
  <si>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</si>
  <si>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</si>
  <si>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</si>
  <si>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</si>
  <si>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</si>
  <si>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</si>
  <si>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</si>
  <si>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</si>
  <si>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</si>
  <si>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</si>
  <si>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</si>
  <si>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</si>
  <si>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</si>
  <si>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</si>
  <si>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</si>
  <si>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</si>
  <si>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</si>
  <si>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</si>
  <si>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</si>
  <si>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</si>
  <si>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</si>
  <si>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</si>
  <si>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</si>
  <si>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</si>
  <si>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</si>
  <si>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</si>
  <si>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</si>
  <si>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</si>
  <si>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</si>
  <si>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</si>
  <si>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</si>
  <si>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</si>
  <si>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</si>
  <si>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</si>
  <si>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</si>
  <si>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</si>
  <si>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</si>
  <si>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</si>
  <si>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</si>
  <si>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</si>
  <si>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</si>
  <si>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</si>
  <si>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</si>
  <si>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</si>
  <si>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</si>
  <si>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</si>
  <si>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</si>
  <si>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</si>
  <si>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</si>
  <si>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</si>
  <si>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</si>
  <si>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</si>
  <si>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</si>
  <si>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</si>
  <si>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</si>
  <si>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</si>
  <si>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</si>
  <si>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</si>
  <si>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</si>
  <si>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</si>
  <si>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</si>
  <si>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</si>
  <si>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</si>
  <si>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</si>
  <si>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</si>
  <si>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</si>
  <si>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</si>
  <si>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</si>
  <si>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</si>
  <si>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</si>
  <si>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</si>
  <si>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</si>
  <si>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</si>
  <si>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</si>
  <si>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</si>
  <si>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</si>
  <si>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</si>
  <si>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</si>
  <si>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</si>
  <si>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</si>
  <si>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</si>
  <si>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</si>
  <si>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</si>
  <si>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</si>
  <si>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</si>
  <si>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</si>
  <si>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</si>
  <si>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</si>
  <si>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</si>
  <si>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</si>
  <si>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</si>
  <si>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</si>
  <si>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</si>
  <si>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</si>
  <si>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</si>
  <si>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</si>
  <si>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</si>
  <si>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</si>
  <si>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</si>
  <si>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</si>
  <si>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</si>
  <si>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</si>
  <si>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</si>
  <si>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</si>
  <si>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</si>
  <si>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</si>
  <si>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</si>
  <si>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</si>
  <si>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</si>
  <si>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</si>
  <si>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</si>
  <si>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</si>
  <si>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</si>
  <si>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</si>
  <si>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</si>
  <si>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</si>
  <si>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</si>
  <si>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</si>
  <si>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</si>
  <si>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</si>
  <si>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</si>
  <si>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</si>
  <si>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</si>
  <si>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</si>
  <si>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</si>
  <si>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</si>
  <si>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</si>
  <si>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</si>
  <si>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</si>
  <si>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</si>
  <si>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</si>
  <si>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</si>
  <si>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</si>
  <si>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</si>
  <si>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</si>
  <si>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</si>
  <si>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</si>
  <si>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</si>
  <si>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</si>
  <si>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</si>
  <si>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</si>
  <si>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</si>
  <si>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</si>
  <si>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</si>
  <si>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</si>
  <si>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</si>
  <si>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</si>
  <si>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</si>
  <si>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</si>
  <si>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</si>
  <si>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</si>
  <si>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</si>
  <si>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</si>
  <si>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</si>
  <si>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</si>
  <si>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</si>
  <si>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</si>
  <si>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</si>
  <si>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</si>
  <si>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</si>
  <si>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</si>
  <si>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</si>
  <si>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</si>
  <si>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</si>
  <si>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</si>
  <si>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</si>
  <si>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</si>
  <si>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</si>
  <si>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</si>
  <si>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</si>
  <si>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</si>
  <si>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</si>
  <si>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</si>
  <si>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</si>
  <si>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</si>
  <si>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</si>
  <si>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</si>
  <si>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</si>
  <si>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</si>
  <si>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</si>
  <si>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</si>
  <si>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</si>
  <si>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</si>
  <si>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</si>
  <si>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</si>
  <si>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</si>
  <si>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</si>
  <si>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</si>
  <si>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</si>
  <si>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</si>
  <si>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</si>
  <si>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</si>
  <si>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</si>
  <si>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</si>
  <si>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</si>
  <si>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</si>
  <si>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</si>
  <si>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</si>
  <si>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</si>
  <si>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</si>
  <si>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</si>
  <si>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</si>
  <si>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</si>
  <si>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</si>
  <si>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</si>
  <si>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</si>
  <si>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</si>
  <si>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</si>
  <si>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</si>
  <si>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</si>
  <si>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</si>
  <si>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</si>
  <si>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</si>
  <si>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</si>
  <si>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</si>
  <si>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</si>
  <si>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</si>
  <si>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</si>
  <si>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</si>
  <si>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</si>
  <si>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</si>
  <si>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</si>
  <si>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</si>
  <si>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</si>
  <si>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</si>
  <si>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</si>
  <si>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</si>
  <si>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</si>
  <si>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</si>
  <si>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</si>
  <si>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</si>
  <si>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</si>
  <si>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</si>
  <si>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</si>
  <si>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</si>
  <si>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</si>
  <si>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</si>
  <si>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</si>
  <si>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</si>
  <si>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</si>
  <si>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</si>
  <si>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</si>
  <si>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</si>
  <si>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</si>
  <si>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</si>
  <si>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</si>
  <si>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</si>
  <si>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</si>
  <si>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</si>
  <si>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</si>
  <si>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</si>
  <si>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</si>
  <si>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</si>
  <si>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</si>
  <si>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</si>
  <si>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</si>
  <si>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</si>
  <si>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</si>
  <si>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</si>
  <si>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</si>
  <si>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</si>
  <si>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</si>
  <si>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</si>
  <si>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</si>
  <si>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</si>
  <si>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</si>
  <si>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</si>
  <si>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</si>
  <si>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</si>
  <si>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</si>
  <si>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</si>
  <si>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</si>
  <si>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</si>
  <si>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</si>
  <si>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</si>
  <si>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</si>
  <si>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</si>
  <si>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</si>
  <si>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</si>
  <si>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</si>
  <si>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</si>
  <si>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</si>
  <si>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</si>
  <si>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</si>
  <si>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</si>
  <si>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</si>
  <si>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</si>
  <si>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</si>
  <si>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</si>
  <si>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</si>
  <si>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</si>
  <si>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</si>
  <si>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</si>
  <si>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</si>
  <si>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</si>
  <si>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</si>
  <si>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</si>
  <si>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</si>
  <si>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</si>
  <si>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</si>
  <si>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</si>
  <si>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</si>
  <si>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</si>
  <si>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</si>
  <si>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</si>
  <si>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</si>
  <si>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</si>
  <si>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</si>
  <si>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</si>
  <si>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</si>
  <si>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</si>
  <si>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</si>
  <si>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</si>
  <si>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</si>
  <si>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</si>
  <si>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</si>
  <si>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</si>
  <si>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</si>
  <si>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</si>
  <si>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</si>
  <si>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</si>
  <si>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</si>
  <si>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</si>
  <si>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</si>
  <si>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</si>
  <si>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</si>
  <si>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</si>
  <si>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</si>
  <si>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</si>
  <si>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</si>
  <si>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</si>
  <si>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</si>
  <si>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</si>
  <si>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</si>
  <si>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</si>
  <si>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</si>
  <si>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</si>
  <si>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</si>
  <si>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</si>
  <si>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</si>
  <si>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</si>
  <si>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</si>
  <si>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</si>
  <si>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</si>
  <si>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</si>
  <si>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</si>
  <si>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</si>
  <si>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</si>
  <si>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</si>
  <si>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</si>
  <si>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</si>
  <si>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</si>
  <si>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</si>
  <si>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</si>
  <si>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</si>
  <si>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</si>
  <si>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</si>
  <si>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</si>
  <si>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</si>
  <si>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</si>
  <si>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</si>
  <si>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</si>
  <si>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</si>
  <si>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</si>
  <si>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</si>
  <si>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</si>
  <si>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</si>
  <si>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</si>
  <si>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</si>
  <si>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</si>
  <si>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</si>
  <si>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</si>
  <si>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</si>
  <si>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</si>
  <si>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</si>
  <si>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</si>
  <si>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</si>
  <si>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</si>
  <si>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</si>
  <si>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</si>
  <si>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</si>
  <si>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</si>
  <si>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</si>
  <si>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</si>
  <si>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</si>
  <si>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</si>
  <si>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</si>
  <si>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</si>
  <si>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</si>
  <si>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</si>
  <si>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</si>
  <si>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</si>
  <si>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</si>
  <si>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</si>
  <si>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</si>
  <si>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</si>
  <si>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</si>
  <si>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</si>
  <si>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</si>
  <si>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</si>
  <si>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</si>
  <si>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</si>
  <si>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</si>
  <si>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</si>
  <si>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</si>
  <si>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</si>
  <si>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</si>
  <si>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</si>
  <si>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</si>
  <si>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</si>
  <si>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</si>
  <si>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</si>
  <si>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</si>
  <si>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</si>
  <si>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</si>
  <si>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</si>
  <si>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</si>
  <si>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</si>
  <si>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</si>
  <si>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</si>
  <si>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</si>
  <si>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</si>
  <si>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</si>
  <si>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</si>
  <si>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</si>
  <si>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</si>
  <si>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</si>
  <si>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</si>
  <si>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</si>
  <si>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</si>
  <si>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</si>
  <si>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</si>
  <si>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</si>
  <si>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</si>
  <si>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</si>
  <si>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</si>
  <si>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</si>
  <si>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</si>
  <si>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</si>
  <si>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</si>
  <si>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</si>
  <si>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</si>
  <si>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</si>
  <si>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</si>
  <si>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</si>
  <si>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</si>
  <si>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</si>
  <si>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</si>
  <si>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</si>
  <si>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</si>
  <si>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</si>
  <si>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</si>
  <si>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</si>
  <si>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</si>
  <si>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</si>
  <si>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</si>
  <si>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</si>
  <si>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</si>
  <si>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</si>
  <si>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</si>
  <si>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</si>
  <si>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</si>
  <si>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</si>
  <si>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</si>
  <si>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</si>
  <si>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</si>
  <si>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</si>
  <si>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</si>
  <si>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</si>
  <si>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</si>
  <si>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</si>
  <si>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</si>
  <si>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</si>
  <si>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</si>
  <si>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</si>
  <si>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</si>
  <si>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</si>
  <si>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</si>
  <si>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</si>
  <si>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</si>
  <si>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</si>
  <si>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</si>
  <si>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</si>
  <si>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</si>
  <si>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</si>
  <si>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</si>
  <si>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</si>
  <si>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</si>
  <si>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</si>
  <si>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</si>
  <si>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</si>
  <si>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</si>
  <si>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</si>
  <si>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</si>
  <si>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</si>
  <si>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</si>
  <si>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</si>
  <si>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</si>
  <si>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</si>
  <si>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</si>
  <si>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</si>
  <si>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</si>
  <si>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</si>
  <si>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</si>
  <si>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</si>
  <si>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</si>
  <si>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</si>
  <si>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</si>
  <si>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</si>
  <si>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</si>
  <si>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</si>
  <si>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</si>
  <si>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</si>
  <si>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</si>
  <si>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</si>
  <si>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</si>
  <si>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</si>
  <si>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</si>
  <si>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</si>
  <si>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</si>
  <si>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</si>
  <si>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</si>
  <si>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</si>
  <si>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</si>
  <si>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</si>
  <si>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</si>
  <si>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</si>
  <si>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</si>
  <si>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</si>
  <si>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</si>
  <si>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</si>
  <si>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</si>
  <si>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</si>
  <si>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</si>
  <si>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</si>
  <si>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</si>
  <si>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</si>
  <si>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</si>
  <si>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</si>
  <si>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</si>
  <si>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</si>
  <si>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</si>
  <si>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</si>
  <si>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</si>
  <si>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</si>
  <si>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</si>
  <si>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</si>
  <si>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</si>
  <si>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</si>
  <si>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</si>
  <si>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</si>
  <si>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</si>
  <si>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</si>
  <si>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</si>
  <si>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</si>
  <si>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</si>
  <si>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</si>
  <si>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</si>
  <si>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</si>
  <si>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</si>
  <si>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</si>
  <si>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</si>
  <si>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</si>
  <si>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</si>
  <si>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</si>
  <si>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</si>
  <si>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</si>
  <si>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</si>
  <si>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</si>
  <si>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</si>
  <si>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</si>
  <si>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</si>
  <si>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</si>
  <si>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</si>
  <si>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</si>
  <si>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</si>
  <si>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</si>
  <si>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</si>
  <si>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</si>
  <si>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</si>
  <si>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</si>
  <si>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</si>
  <si>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</si>
  <si>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</si>
  <si>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</si>
  <si>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</si>
  <si>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</si>
  <si>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</si>
  <si>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</si>
  <si>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</si>
  <si>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</si>
  <si>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</si>
  <si>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</si>
  <si>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</si>
  <si>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</si>
  <si>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</si>
  <si>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</si>
  <si>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</si>
  <si>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</si>
  <si>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</si>
  <si>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</si>
  <si>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</si>
  <si>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</si>
  <si>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</si>
  <si>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</si>
  <si>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</si>
  <si>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</si>
  <si>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</si>
  <si>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</si>
  <si>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</si>
  <si>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</si>
  <si>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</si>
  <si>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</si>
  <si>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</si>
  <si>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</si>
  <si>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</si>
  <si>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</si>
  <si>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</si>
  <si>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</si>
  <si>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</si>
  <si>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</si>
  <si>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</si>
  <si>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</si>
  <si>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</si>
  <si>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</si>
  <si>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</si>
  <si>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</si>
  <si>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</si>
  <si>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</si>
  <si>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</si>
  <si>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</si>
  <si>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</si>
  <si>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</si>
  <si>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</si>
  <si>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</si>
  <si>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</si>
  <si>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</si>
  <si>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</si>
  <si>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</si>
  <si>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</si>
  <si>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</si>
  <si>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</si>
  <si>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</si>
  <si>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</si>
  <si>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</si>
  <si>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</si>
  <si>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</si>
  <si>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</si>
  <si>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</si>
  <si>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</si>
  <si>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</si>
  <si>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</si>
  <si>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</si>
  <si>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</si>
  <si>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</si>
  <si>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</si>
  <si>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</si>
  <si>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</si>
  <si>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</si>
  <si>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</si>
  <si>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</si>
  <si>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</si>
  <si>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</si>
  <si>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</si>
  <si>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</si>
  <si>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</si>
  <si>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</si>
  <si>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</si>
  <si>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</si>
  <si>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</si>
  <si>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</si>
  <si>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</si>
  <si>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</si>
  <si>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</si>
  <si>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</si>
  <si>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</si>
  <si>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</si>
  <si>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</si>
  <si>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</si>
  <si>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</si>
  <si>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</si>
  <si>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</si>
  <si>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</si>
  <si>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</si>
  <si>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</si>
  <si>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</si>
  <si>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</si>
  <si>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</si>
  <si>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</si>
  <si>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</si>
  <si>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</si>
  <si>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</si>
  <si>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</si>
  <si>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</si>
  <si>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</si>
  <si>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</si>
  <si>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</si>
  <si>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</si>
  <si>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</si>
  <si>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</si>
  <si>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</si>
  <si>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</si>
  <si>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</si>
  <si>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</si>
  <si>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</si>
  <si>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</si>
  <si>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</si>
  <si>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</si>
  <si>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</si>
  <si>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</si>
  <si>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</si>
  <si>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</si>
  <si>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</si>
  <si>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</si>
  <si>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</si>
  <si>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</si>
  <si>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</si>
  <si>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</si>
  <si>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</si>
  <si>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</si>
  <si>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</si>
  <si>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</si>
  <si>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</si>
  <si>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</si>
  <si>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</si>
  <si>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</si>
  <si>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</si>
  <si>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</si>
  <si>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</si>
  <si>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</si>
  <si>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</si>
  <si>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</si>
  <si>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</si>
  <si>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</si>
  <si>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</si>
  <si>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</si>
  <si>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</si>
  <si>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</si>
  <si>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</si>
  <si>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</si>
  <si>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</si>
  <si>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</si>
  <si>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</si>
  <si>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</si>
  <si>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</si>
  <si>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</si>
  <si>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</si>
  <si>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</si>
  <si>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</si>
  <si>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</si>
  <si>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</si>
  <si>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</si>
  <si>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</si>
  <si>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</si>
  <si>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</si>
  <si>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</si>
  <si>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</si>
  <si>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</si>
  <si>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</si>
  <si>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</si>
  <si>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</si>
  <si>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</si>
  <si>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</si>
  <si>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</si>
  <si>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</si>
  <si>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</si>
  <si>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</si>
  <si>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</si>
  <si>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</si>
  <si>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</si>
  <si>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</si>
  <si>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</si>
  <si>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</si>
  <si>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</si>
  <si>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</si>
  <si>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</si>
  <si>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</si>
  <si>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</si>
  <si>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</si>
  <si>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</si>
  <si>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</si>
  <si>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</si>
  <si>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</si>
  <si>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</si>
  <si>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</si>
  <si>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</si>
  <si>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</si>
  <si>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</si>
  <si>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</si>
  <si>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</si>
  <si>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</si>
  <si>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</si>
  <si>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</si>
  <si>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</si>
  <si>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</si>
  <si>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</si>
  <si>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</si>
  <si>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</si>
  <si>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</si>
  <si>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</si>
  <si>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</si>
  <si>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</si>
  <si>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</si>
  <si>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</si>
  <si>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</si>
  <si>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</si>
  <si>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</si>
  <si>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</si>
  <si>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</si>
  <si>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</si>
  <si>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</si>
  <si>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</si>
  <si>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</si>
  <si>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</si>
  <si>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</si>
  <si>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</si>
  <si>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</si>
  <si>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</si>
  <si>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</si>
  <si>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</si>
  <si>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</si>
  <si>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</si>
  <si>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</si>
  <si>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</si>
  <si>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</si>
  <si>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</si>
  <si>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</si>
  <si>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</si>
  <si>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</si>
  <si>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</si>
  <si>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</si>
  <si>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</si>
  <si>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</si>
  <si>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</si>
  <si>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</si>
  <si>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</si>
  <si>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</si>
  <si>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</si>
  <si>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</si>
  <si>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</si>
  <si>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</si>
  <si>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</si>
  <si>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</si>
  <si>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</si>
  <si>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</si>
  <si>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</si>
  <si>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</si>
  <si>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</si>
  <si>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</si>
  <si>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</si>
  <si>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</si>
  <si>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</si>
  <si>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</si>
  <si>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</si>
  <si>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</si>
  <si>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</si>
  <si>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</si>
  <si>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</si>
  <si>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</si>
  <si>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</si>
  <si>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</si>
  <si>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</si>
  <si>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</si>
  <si>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</si>
  <si>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</si>
  <si>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</si>
  <si>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</si>
  <si>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</si>
  <si>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</si>
  <si>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</si>
  <si>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</si>
  <si>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</si>
  <si>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</si>
  <si>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</si>
  <si>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</si>
  <si>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</si>
  <si>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</si>
  <si>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</si>
  <si>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</si>
  <si>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</si>
  <si>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</si>
  <si>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</si>
  <si>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</si>
  <si>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</si>
  <si>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</si>
  <si>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</si>
  <si>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</si>
  <si>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</si>
  <si>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</si>
  <si>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</si>
  <si>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</si>
  <si>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</si>
  <si>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</si>
  <si>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</si>
  <si>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</si>
  <si>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</si>
  <si>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</si>
  <si>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</si>
  <si>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</si>
  <si>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</si>
  <si>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</si>
  <si>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</si>
  <si>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</si>
  <si>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</si>
  <si>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</si>
  <si>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</si>
  <si>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</si>
  <si>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</si>
  <si>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</si>
  <si>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</si>
  <si>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</si>
  <si>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</si>
  <si>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</si>
  <si>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</si>
  <si>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</si>
  <si>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</si>
  <si>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</si>
  <si>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</si>
  <si>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</si>
  <si>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</si>
  <si>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</si>
  <si>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</si>
  <si>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</si>
  <si>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</si>
  <si>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</si>
  <si>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</si>
  <si>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</si>
  <si>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</si>
  <si>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</si>
  <si>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</si>
  <si>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</si>
  <si>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</si>
  <si>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</si>
  <si>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</si>
  <si>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</si>
  <si>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</si>
  <si>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</si>
  <si>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</si>
  <si>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</si>
  <si>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</si>
  <si>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</si>
  <si>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</si>
  <si>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</si>
  <si>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</si>
  <si>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</si>
  <si>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</si>
  <si>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</si>
  <si>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</si>
  <si>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</si>
  <si>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</si>
  <si>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</si>
  <si>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</si>
  <si>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</si>
  <si>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</si>
  <si>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</si>
  <si>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</si>
  <si>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</si>
  <si>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</si>
  <si>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</si>
  <si>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</si>
  <si>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</si>
  <si>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</si>
  <si>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</si>
  <si>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</si>
  <si>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</si>
  <si>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</si>
  <si>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</si>
  <si>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</si>
  <si>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</si>
  <si>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</si>
  <si>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</si>
  <si>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</si>
  <si>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</si>
  <si>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</si>
  <si>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</si>
  <si>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</si>
  <si>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</si>
  <si>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</si>
  <si>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</si>
  <si>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</si>
  <si>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</si>
  <si>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</si>
  <si>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</si>
  <si>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</si>
  <si>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</si>
  <si>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</si>
  <si>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</si>
  <si>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</si>
  <si>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</si>
  <si>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</si>
  <si>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</si>
  <si>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</si>
  <si>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</si>
  <si>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</si>
  <si>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</si>
  <si>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</si>
  <si>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</si>
  <si>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</si>
  <si>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</si>
  <si>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</si>
  <si>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</si>
  <si>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</si>
  <si>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</si>
  <si>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</si>
  <si>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</si>
  <si>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</si>
  <si>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</si>
  <si>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</si>
  <si>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</si>
  <si>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</si>
  <si>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</si>
  <si>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</si>
  <si>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</si>
  <si>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</si>
  <si>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</si>
  <si>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</si>
  <si>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</si>
  <si>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</si>
  <si>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</si>
  <si>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</si>
  <si>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</si>
  <si>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</si>
  <si>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</si>
  <si>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</si>
  <si>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</si>
  <si>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</si>
  <si>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</si>
  <si>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</si>
  <si>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</si>
  <si>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</si>
  <si>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</si>
  <si>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</si>
  <si>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</si>
  <si>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</si>
  <si>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</si>
  <si>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</si>
  <si>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</si>
  <si>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</si>
  <si>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</si>
  <si>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</si>
  <si>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</si>
  <si>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</si>
  <si>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</si>
  <si>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</si>
  <si>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</si>
  <si>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</si>
  <si>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</si>
  <si>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</si>
  <si>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</si>
  <si>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</si>
  <si>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</si>
  <si>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</si>
  <si>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</si>
  <si>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</si>
  <si>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</si>
  <si>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</si>
  <si>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</si>
  <si>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</si>
  <si>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</si>
  <si>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</si>
  <si>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</si>
  <si>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</si>
  <si>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</si>
  <si>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</si>
  <si>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</si>
  <si>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</si>
  <si>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</si>
  <si>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</si>
  <si>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</si>
  <si>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</si>
  <si>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</si>
  <si>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</si>
  <si>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</si>
  <si>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</si>
  <si>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</si>
  <si>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</si>
  <si>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</si>
  <si>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</si>
  <si>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</si>
  <si>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</si>
  <si>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</si>
  <si>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</si>
  <si>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</si>
  <si>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</si>
  <si>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</si>
  <si>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</si>
  <si>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</si>
  <si>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</si>
  <si>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</si>
  <si>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</si>
  <si>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</si>
  <si>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</si>
  <si>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</si>
  <si>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</si>
  <si>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</si>
  <si>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</si>
  <si>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</si>
  <si>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</si>
  <si>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</si>
  <si>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</si>
  <si>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</si>
  <si>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</si>
  <si>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</si>
  <si>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</si>
  <si>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</si>
  <si>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</si>
  <si>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</si>
  <si>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</si>
  <si>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</si>
  <si>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</si>
  <si>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</si>
  <si>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</si>
  <si>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</si>
  <si>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</si>
  <si>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</si>
  <si>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</si>
  <si>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</si>
  <si>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</si>
  <si>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</si>
  <si>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</si>
  <si>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</si>
  <si>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</si>
  <si>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</si>
  <si>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</si>
  <si>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</si>
  <si>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</si>
  <si>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</si>
  <si>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</si>
  <si>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</si>
  <si>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</si>
  <si>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</si>
  <si>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</si>
  <si>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</si>
  <si>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</si>
  <si>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</si>
  <si>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</si>
  <si>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</si>
  <si>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</si>
  <si>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</si>
  <si>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</si>
  <si>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</si>
  <si>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</si>
  <si>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</si>
  <si>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</si>
  <si>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</si>
  <si>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</si>
  <si>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</si>
  <si>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</si>
  <si>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</si>
  <si>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</si>
  <si>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</si>
  <si>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</si>
  <si>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</si>
  <si>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</si>
  <si>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</si>
  <si>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</si>
  <si>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</si>
  <si>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</si>
  <si>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</si>
  <si>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</si>
  <si>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</si>
  <si>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</si>
  <si>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</si>
  <si>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</si>
  <si>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</si>
  <si>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</si>
  <si>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</si>
  <si>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</si>
  <si>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</si>
  <si>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</si>
  <si>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</si>
  <si>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</si>
  <si>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</si>
  <si>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</si>
  <si>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</si>
  <si>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</si>
  <si>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</si>
  <si>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</si>
  <si>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</si>
  <si>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</si>
  <si>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</si>
  <si>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</si>
  <si>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</si>
  <si>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</si>
  <si>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</si>
  <si>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</si>
  <si>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</si>
  <si>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</si>
  <si>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</si>
  <si>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</si>
  <si>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</si>
  <si>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</si>
  <si>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</si>
  <si>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</si>
  <si>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</si>
  <si>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</si>
  <si>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</si>
  <si>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</si>
  <si>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</si>
  <si>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</si>
  <si>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</si>
  <si>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</si>
  <si>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</si>
  <si>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</si>
  <si>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</si>
  <si>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</si>
  <si>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</si>
  <si>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</si>
  <si>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</si>
  <si>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</si>
  <si>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</si>
  <si>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</si>
  <si>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</si>
  <si>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</si>
  <si>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</si>
  <si>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</si>
  <si>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</si>
  <si>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</si>
  <si>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</si>
  <si>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</si>
  <si>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</si>
  <si>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</si>
  <si>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</si>
  <si>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</si>
  <si>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</si>
  <si>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</si>
  <si>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</si>
  <si>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</si>
  <si>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</si>
  <si>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</si>
  <si>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</si>
  <si>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</si>
  <si>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</si>
  <si>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</si>
  <si>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</si>
  <si>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</si>
  <si>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</si>
  <si>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</si>
  <si>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</si>
  <si>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</si>
  <si>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</si>
  <si>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</si>
  <si>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</si>
  <si>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</si>
  <si>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</si>
  <si>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</si>
  <si>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</si>
  <si>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</si>
  <si>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</si>
  <si>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</si>
  <si>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</si>
  <si>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</si>
  <si>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</si>
  <si>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</si>
  <si>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</si>
  <si>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</si>
  <si>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</si>
  <si>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</si>
  <si>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</si>
  <si>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</si>
  <si>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</si>
  <si>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</si>
  <si>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</si>
  <si>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</si>
  <si>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</si>
  <si>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</si>
  <si>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</si>
  <si>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</si>
  <si>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</si>
  <si>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</si>
  <si>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</si>
  <si>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</si>
  <si>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</si>
  <si>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</si>
  <si>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</si>
  <si>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</si>
  <si>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</si>
  <si>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</si>
  <si>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</si>
  <si>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</si>
  <si>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</si>
  <si>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</si>
  <si>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</si>
  <si>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</si>
  <si>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</si>
  <si>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</si>
  <si>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</si>
  <si>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</si>
  <si>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</si>
  <si>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</si>
  <si>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</si>
  <si>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</si>
  <si>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</si>
  <si>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</si>
  <si>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</si>
  <si>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</si>
  <si>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</si>
  <si>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</si>
  <si>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</si>
  <si>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</si>
  <si>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</si>
  <si>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</si>
  <si>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</si>
  <si>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</si>
  <si>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</si>
  <si>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</si>
  <si>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</si>
  <si>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</si>
  <si>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</si>
  <si>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</si>
  <si>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</si>
  <si>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</si>
  <si>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</si>
  <si>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</si>
  <si>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</si>
  <si>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</si>
  <si>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</si>
  <si>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</si>
  <si>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</si>
  <si>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</si>
  <si>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</si>
  <si>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</si>
  <si>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</si>
  <si>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</si>
  <si>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</si>
  <si>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</si>
  <si>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</si>
  <si>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</si>
  <si>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</si>
  <si>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</si>
  <si>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</si>
  <si>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</si>
  <si>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</si>
  <si>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</si>
  <si>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</si>
  <si>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</si>
  <si>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</si>
  <si>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</si>
  <si>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</si>
  <si>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</si>
  <si>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</si>
  <si>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</si>
  <si>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</si>
  <si>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</si>
  <si>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</si>
  <si>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</si>
  <si>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</si>
  <si>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</si>
  <si>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</si>
  <si>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</si>
  <si>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</si>
  <si>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</si>
  <si>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</si>
  <si>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</si>
  <si>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</si>
  <si>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</si>
  <si>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</si>
  <si>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</si>
  <si>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</si>
  <si>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</si>
  <si>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</si>
  <si>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</si>
  <si>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</si>
  <si>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</si>
  <si>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</si>
  <si>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</si>
  <si>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</si>
  <si>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</si>
  <si>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</si>
  <si>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</si>
  <si>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</si>
  <si>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</si>
  <si>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</si>
  <si>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</si>
  <si>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</si>
  <si>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</si>
  <si>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</si>
  <si>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</si>
  <si>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</si>
  <si>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</si>
  <si>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</si>
  <si>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</si>
  <si>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</si>
  <si>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</si>
  <si>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</si>
  <si>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</si>
  <si>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</si>
  <si>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</si>
  <si>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</si>
  <si>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</si>
  <si>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</si>
  <si>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</si>
  <si>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</si>
  <si>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</si>
  <si>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</si>
  <si>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</si>
  <si>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</si>
  <si>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</si>
  <si>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</si>
  <si>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</si>
  <si>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</si>
  <si>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</si>
  <si>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</si>
  <si>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</si>
  <si>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</si>
  <si>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</si>
  <si>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</si>
  <si>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</si>
  <si>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</si>
  <si>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</si>
  <si>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</si>
  <si>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</si>
  <si>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</si>
  <si>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</si>
  <si>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</si>
  <si>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</si>
  <si>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</si>
  <si>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</si>
  <si>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</si>
  <si>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</si>
  <si>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</si>
  <si>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</si>
  <si>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</si>
  <si>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</si>
  <si>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</si>
  <si>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</si>
  <si>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</si>
  <si>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</si>
  <si>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</si>
  <si>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</si>
  <si>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</si>
  <si>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</si>
  <si>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</si>
  <si>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</si>
  <si>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</si>
  <si>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</si>
  <si>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</si>
  <si>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</si>
  <si>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</si>
  <si>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</si>
  <si>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</si>
  <si>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</si>
  <si>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</si>
  <si>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</si>
  <si>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</si>
  <si>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</si>
  <si>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</si>
  <si>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</si>
  <si>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</si>
  <si>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</si>
  <si>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</si>
  <si>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</si>
  <si>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</si>
  <si>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</si>
  <si>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</si>
  <si>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</si>
  <si>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</si>
  <si>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</si>
  <si>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</si>
  <si>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</si>
  <si>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</si>
  <si>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</si>
  <si>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</si>
  <si>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</si>
  <si>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</si>
  <si>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</si>
  <si>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</si>
  <si>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</si>
  <si>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</si>
  <si>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</si>
  <si>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</si>
  <si>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</si>
  <si>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</si>
  <si>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</si>
  <si>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</si>
  <si>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</si>
  <si>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</si>
  <si>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</si>
  <si>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</si>
  <si>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</si>
  <si>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</si>
  <si>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</si>
  <si>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</si>
  <si>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</si>
  <si>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</si>
  <si>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</si>
  <si>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</si>
  <si>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</si>
  <si>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</si>
  <si>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</si>
  <si>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</si>
  <si>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</si>
  <si>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</si>
  <si>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</si>
  <si>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</si>
  <si>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</si>
  <si>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</si>
  <si>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</si>
  <si>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</si>
  <si>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</si>
  <si>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</si>
  <si>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</si>
  <si>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</si>
  <si>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</si>
  <si>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</si>
  <si>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</si>
  <si>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</si>
  <si>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</si>
  <si>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</si>
  <si>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</si>
  <si>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</si>
  <si>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</si>
  <si>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</si>
  <si>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</si>
  <si>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</si>
  <si>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</si>
  <si>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</si>
  <si>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</si>
  <si>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</si>
  <si>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</si>
  <si>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</si>
  <si>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</si>
  <si>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</si>
  <si>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</si>
  <si>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</si>
  <si>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</si>
  <si>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</si>
  <si>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</si>
  <si>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</si>
  <si>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</si>
  <si>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</si>
  <si>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</si>
  <si>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</si>
  <si>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</si>
  <si>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</si>
  <si>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</si>
  <si>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</si>
  <si>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</si>
  <si>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</si>
  <si>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</si>
  <si>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</si>
  <si>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</si>
  <si>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</si>
  <si>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</si>
  <si>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</si>
  <si>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</si>
  <si>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</si>
  <si>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</si>
  <si>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</si>
  <si>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</si>
  <si>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</si>
  <si>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</si>
  <si>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</si>
  <si>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</si>
  <si>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</si>
  <si>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</si>
  <si>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</si>
  <si>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</si>
  <si>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</si>
  <si>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</si>
  <si>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</si>
  <si>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</si>
  <si>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</si>
  <si>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</si>
  <si>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</si>
  <si>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</si>
  <si>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</si>
  <si>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</si>
  <si>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</si>
  <si>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</si>
  <si>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</si>
  <si>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</si>
  <si>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</si>
  <si>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</si>
  <si>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</si>
  <si>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</si>
  <si>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</si>
  <si>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</si>
  <si>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</si>
  <si>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</si>
  <si>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</si>
  <si>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</si>
  <si>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</si>
  <si>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</si>
  <si>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</si>
  <si>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</si>
  <si>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</si>
  <si>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</si>
  <si>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</si>
  <si>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</si>
  <si>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</si>
  <si>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</si>
  <si>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</si>
  <si>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</si>
  <si>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</si>
  <si>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</si>
  <si>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</si>
  <si>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</si>
  <si>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</si>
  <si>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</si>
  <si>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</si>
  <si>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</si>
  <si>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</si>
  <si>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</si>
  <si>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</si>
  <si>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</si>
  <si>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</si>
  <si>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</si>
  <si>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</si>
  <si>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</si>
  <si>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</si>
  <si>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</si>
  <si>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</si>
  <si>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</si>
  <si>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</si>
  <si>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</si>
  <si>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</si>
  <si>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</si>
  <si>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</si>
  <si>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</si>
  <si>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</si>
  <si>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</si>
  <si>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</si>
  <si>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</si>
  <si>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</si>
  <si>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</si>
  <si>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</si>
  <si>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</si>
  <si>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</si>
  <si>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</si>
  <si>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</si>
  <si>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</si>
  <si>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</si>
  <si>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</si>
  <si>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</si>
  <si>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</si>
  <si>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</si>
  <si>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</si>
  <si>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</si>
  <si>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</si>
  <si>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</si>
  <si>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</si>
  <si>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</si>
  <si>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</si>
  <si>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</si>
  <si>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</si>
  <si>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</si>
  <si>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</si>
  <si>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</si>
  <si>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</si>
  <si>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</si>
  <si>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</si>
  <si>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</si>
  <si>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</si>
  <si>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</si>
  <si>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</si>
  <si>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</si>
  <si>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</si>
  <si>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</si>
  <si>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</si>
  <si>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</si>
  <si>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</si>
  <si>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</si>
  <si>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</si>
  <si>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</si>
  <si>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</si>
  <si>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</si>
  <si>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</si>
  <si>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</si>
  <si>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</si>
  <si>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</si>
  <si>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</si>
  <si>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</si>
  <si>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</si>
  <si>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</si>
  <si>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</si>
  <si>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</si>
  <si>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</si>
  <si>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</si>
  <si>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</si>
  <si>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</si>
  <si>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</si>
  <si>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</si>
  <si>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</si>
  <si>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</si>
  <si>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</si>
  <si>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</si>
  <si>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</si>
  <si>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</si>
  <si>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</si>
  <si>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</si>
  <si>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</si>
  <si>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</si>
  <si>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</si>
  <si>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</si>
  <si>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</si>
  <si>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</si>
  <si>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</si>
  <si>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</si>
  <si>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</si>
  <si>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</si>
  <si>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</si>
  <si>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</si>
  <si>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</si>
  <si>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</si>
  <si>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</si>
  <si>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</si>
  <si>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</si>
  <si>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</si>
  <si>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</si>
  <si>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</si>
  <si>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</si>
  <si>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</si>
  <si>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</si>
  <si>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</si>
  <si>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</si>
  <si>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</si>
  <si>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</si>
  <si>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</si>
  <si>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</si>
  <si>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</si>
  <si>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</si>
  <si>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</si>
  <si>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</si>
  <si>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</si>
  <si>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</si>
  <si>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</si>
  <si>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</si>
  <si>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</si>
  <si>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</si>
  <si>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</si>
  <si>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</si>
  <si>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</si>
  <si>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</si>
  <si>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</si>
  <si>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</si>
  <si>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</si>
  <si>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</si>
  <si>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</si>
  <si>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</si>
  <si>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</si>
  <si>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</si>
  <si>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</si>
  <si>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</si>
  <si>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</si>
  <si>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</si>
  <si>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</si>
  <si>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</si>
  <si>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</si>
  <si>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</si>
  <si>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</si>
  <si>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</si>
  <si>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</si>
  <si>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</si>
  <si>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</si>
  <si>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</si>
  <si>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</si>
  <si>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</si>
  <si>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</si>
  <si>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</si>
  <si>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</si>
  <si>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</si>
  <si>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</si>
  <si>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</si>
  <si>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</si>
  <si>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</si>
  <si>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</si>
  <si>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</si>
  <si>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</si>
  <si>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</si>
  <si>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</si>
  <si>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</si>
  <si>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</si>
  <si>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</si>
  <si>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</si>
  <si>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</si>
  <si>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</si>
  <si>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</si>
  <si>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</si>
  <si>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</si>
  <si>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</si>
  <si>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</si>
  <si>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</si>
  <si>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</si>
  <si>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</si>
  <si>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</si>
  <si>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</si>
  <si>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</si>
  <si>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</si>
  <si>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</si>
  <si>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</si>
  <si>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</si>
  <si>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</si>
  <si>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</si>
  <si>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</si>
  <si>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</si>
  <si>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</si>
  <si>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</si>
  <si>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</si>
  <si>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</si>
  <si>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</si>
  <si>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</si>
  <si>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</si>
  <si>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</si>
  <si>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</si>
  <si>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</si>
  <si>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</si>
  <si>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</si>
  <si>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</si>
  <si>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</si>
  <si>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</si>
  <si>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</si>
  <si>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</si>
  <si>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</si>
  <si>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</si>
  <si>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</si>
  <si>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</si>
  <si>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</si>
  <si>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</si>
  <si>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</si>
  <si>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</si>
  <si>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</si>
  <si>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</si>
  <si>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</si>
  <si>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</si>
  <si>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</si>
  <si>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</si>
  <si>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</si>
  <si>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</si>
  <si>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</si>
  <si>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</si>
  <si>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</si>
  <si>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</si>
  <si>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</si>
  <si>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</si>
  <si>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</si>
  <si>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</si>
  <si>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</si>
  <si>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</si>
  <si>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</si>
  <si>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</si>
  <si>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</si>
  <si>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</si>
  <si>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</si>
  <si>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</si>
  <si>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</si>
  <si>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</si>
  <si>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</si>
  <si>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</si>
  <si>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</si>
  <si>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</si>
  <si>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</si>
  <si>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</si>
  <si>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</si>
  <si>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</si>
  <si>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</si>
  <si>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</si>
  <si>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</si>
  <si>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</si>
  <si>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</si>
  <si>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</si>
  <si>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</si>
  <si>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</si>
  <si>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</si>
  <si>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</si>
  <si>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</si>
  <si>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</si>
  <si>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</si>
  <si>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</si>
  <si>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</si>
  <si>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</si>
  <si>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</si>
  <si>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</si>
  <si>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</si>
  <si>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</si>
  <si>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</si>
  <si>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</si>
  <si>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</si>
  <si>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</si>
  <si>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</si>
  <si>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</si>
  <si>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</si>
  <si>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</si>
  <si>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</si>
  <si>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</si>
  <si>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</si>
  <si>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</si>
  <si>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</si>
  <si>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</si>
  <si>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</si>
  <si>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</si>
  <si>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</si>
  <si>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</si>
  <si>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</si>
  <si>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</si>
  <si>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</si>
  <si>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</si>
  <si>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</si>
  <si>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</si>
  <si>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</si>
  <si>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钢混</t>
  </si>
  <si>
    <t>非生产用房</t>
  </si>
  <si>
    <t>砖混</t>
  </si>
  <si>
    <t>否</t>
  </si>
  <si>
    <t>是</t>
  </si>
  <si>
    <t>地上</t>
  </si>
  <si>
    <t>住宅</t>
    <phoneticPr fontId="7" type="noConversion"/>
  </si>
  <si>
    <t>成新度</t>
  </si>
  <si>
    <t>  </t>
  </si>
  <si>
    <t>2025-3-21804-RB</t>
  </si>
  <si>
    <t>刘征</t>
  </si>
  <si>
    <t>北京市朝阳区</t>
  </si>
  <si>
    <t>甜水园北里14号楼2层204</t>
  </si>
  <si>
    <t>碧水园</t>
  </si>
  <si>
    <t>郑宇</t>
  </si>
  <si>
    <t>商品房</t>
  </si>
  <si>
    <t>21（-02）</t>
  </si>
  <si>
    <t>2025-3-21280-RB</t>
  </si>
  <si>
    <t>从文文</t>
  </si>
  <si>
    <t>甜水园北里7号楼5层519</t>
  </si>
  <si>
    <t>甜水园北里</t>
  </si>
  <si>
    <t>2025-3-19829-RB</t>
  </si>
  <si>
    <t>贾梦珂、徐国梁</t>
  </si>
  <si>
    <t>甜水园北里5号楼17层1709</t>
  </si>
  <si>
    <t>房改房（成本价）</t>
  </si>
  <si>
    <t>2025-3-17073-RB</t>
  </si>
  <si>
    <t>刘媛</t>
  </si>
  <si>
    <t>甜水园北里2号楼10层1004</t>
  </si>
  <si>
    <t>2025-3-11364-RB</t>
  </si>
  <si>
    <t>黄倩倩</t>
  </si>
  <si>
    <t>甜水园北里17号楼16层北1601</t>
  </si>
  <si>
    <t>2025-3-09289-RB</t>
  </si>
  <si>
    <t>刘宣汝</t>
  </si>
  <si>
    <t>甜水园北里17号楼6层北610</t>
  </si>
  <si>
    <t>2025-3-07321-RB</t>
  </si>
  <si>
    <t>邢靖靖</t>
  </si>
  <si>
    <t>甜水园北里13号楼5层509</t>
  </si>
  <si>
    <t>2025-3-03998-RB</t>
  </si>
  <si>
    <t>朱昌平</t>
  </si>
  <si>
    <t>甜水园北里5号楼3层306</t>
  </si>
  <si>
    <t>李维琛</t>
  </si>
  <si>
    <t>18（-02）</t>
  </si>
  <si>
    <t>2024-3-51188-RB</t>
  </si>
  <si>
    <t>招商银行北京分行</t>
  </si>
  <si>
    <t>甜水园北里7号楼9层915</t>
  </si>
  <si>
    <t>2024-3-44802-RA</t>
  </si>
  <si>
    <t>中国工商银行北京市分行</t>
  </si>
  <si>
    <t>甜水园北里17号楼13层北1307</t>
  </si>
  <si>
    <t>2024-3-44774-RB</t>
  </si>
  <si>
    <t>刘童</t>
  </si>
  <si>
    <t>甜水园北里2号楼12层1203</t>
  </si>
  <si>
    <t>2024-3-38905-RB</t>
  </si>
  <si>
    <t>孟冬晴</t>
  </si>
  <si>
    <t>甜水园北里15号楼1层1门102</t>
  </si>
  <si>
    <t>2024-3-38648-RB</t>
  </si>
  <si>
    <t>时幼冰</t>
  </si>
  <si>
    <t>甜水园北里6号楼6层10单元601</t>
  </si>
  <si>
    <t>2024-3-38124-RB</t>
  </si>
  <si>
    <t>李徐伟</t>
  </si>
  <si>
    <t>甜水园北里13号楼508</t>
  </si>
  <si>
    <t>2024-3-29446-RB</t>
  </si>
  <si>
    <t>洪山</t>
  </si>
  <si>
    <t>甜水园北里6号楼1层8门101</t>
  </si>
  <si>
    <t>甜水园北里</t>
    <phoneticPr fontId="134" type="noConversion"/>
  </si>
  <si>
    <t>东南</t>
  </si>
  <si>
    <t>东南</t>
    <phoneticPr fontId="134" type="noConversion"/>
  </si>
  <si>
    <t>普通装修</t>
  </si>
  <si>
    <t>普通装修</t>
    <phoneticPr fontId="134" type="noConversion"/>
  </si>
  <si>
    <t>西南</t>
  </si>
  <si>
    <t>西南</t>
    <phoneticPr fontId="134" type="noConversion"/>
  </si>
  <si>
    <t>南</t>
  </si>
  <si>
    <t>南</t>
    <phoneticPr fontId="134" type="noConversion"/>
  </si>
  <si>
    <t>甜水园北里</t>
    <phoneticPr fontId="3" type="noConversion"/>
  </si>
  <si>
    <t>99.4</t>
    <phoneticPr fontId="24" type="noConversion"/>
  </si>
  <si>
    <t>南北</t>
  </si>
  <si>
    <t>东西</t>
  </si>
  <si>
    <t>东</t>
  </si>
  <si>
    <t>西</t>
  </si>
  <si>
    <t>东北</t>
  </si>
  <si>
    <t>西北</t>
  </si>
  <si>
    <t xml:space="preserve"> 北</t>
  </si>
  <si>
    <t>5/6</t>
    <phoneticPr fontId="24" type="noConversion"/>
  </si>
  <si>
    <t>5/12</t>
    <phoneticPr fontId="24" type="noConversion"/>
  </si>
  <si>
    <t>10/18</t>
    <phoneticPr fontId="24" type="noConversion"/>
  </si>
  <si>
    <t>2/18</t>
    <phoneticPr fontId="24" type="noConversion"/>
  </si>
  <si>
    <t>钢混</t>
    <phoneticPr fontId="24" type="noConversion"/>
  </si>
  <si>
    <t>混合</t>
  </si>
  <si>
    <t>混合</t>
    <phoneticPr fontId="24" type="noConversion"/>
  </si>
  <si>
    <t>普通装修</t>
    <phoneticPr fontId="24" type="noConversion"/>
  </si>
  <si>
    <t>物业公司管理</t>
  </si>
  <si>
    <t>物业公司管理</t>
    <phoneticPr fontId="24" type="noConversion"/>
  </si>
  <si>
    <t>多层板楼</t>
  </si>
  <si>
    <t>多层板楼</t>
    <phoneticPr fontId="24" type="noConversion"/>
  </si>
  <si>
    <t>高层塔楼</t>
  </si>
  <si>
    <t>高层塔楼</t>
    <phoneticPr fontId="24" type="noConversion"/>
  </si>
  <si>
    <t>好</t>
  </si>
  <si>
    <t>较好</t>
  </si>
  <si>
    <t>正常</t>
  </si>
  <si>
    <t>售价</t>
  </si>
  <si>
    <t>单套模式</t>
  </si>
  <si>
    <t>押一</t>
  </si>
  <si>
    <t>收益法 (元)</t>
  </si>
  <si>
    <t>城镇住宅用地</t>
  </si>
  <si>
    <t>有</t>
  </si>
  <si>
    <t>500-1000米</t>
  </si>
  <si>
    <t>与级别开发程度一致</t>
  </si>
  <si>
    <t>一般</t>
  </si>
  <si>
    <t>比较法-住宅</t>
  </si>
  <si>
    <t>未包含在土地购买价格中</t>
  </si>
  <si>
    <t>已包含在土地取得成本中</t>
  </si>
  <si>
    <t>有无电梯</t>
    <phoneticPr fontId="24" type="noConversion"/>
  </si>
  <si>
    <t>无电梯</t>
    <phoneticPr fontId="24" type="noConversion"/>
  </si>
  <si>
    <t>有电梯</t>
    <phoneticPr fontId="24" type="noConversion"/>
  </si>
  <si>
    <t>序号</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</si>
  <si>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</si>
  <si>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</si>
  <si>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</si>
  <si>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</si>
  <si>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</si>
  <si>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</si>
  <si>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</si>
  <si>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</si>
  <si>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</si>
  <si>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</si>
  <si>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</si>
  <si>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</si>
  <si>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</si>
  <si>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</si>
  <si>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</si>
  <si>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</si>
  <si>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</si>
  <si>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甜水园西街2号楼4层401</t>
  </si>
  <si>
    <t>甜水园西街</t>
  </si>
  <si>
    <t>甜水园东里46号楼2层11门201</t>
  </si>
  <si>
    <t>甜水园东里</t>
  </si>
  <si>
    <t>甜水园东里24号楼6层1门601</t>
  </si>
  <si>
    <t>甜水园北街3号楼6层3单元362</t>
  </si>
  <si>
    <t>甜水园北街</t>
  </si>
  <si>
    <t>甜水园西里2号楼4层2门402</t>
  </si>
  <si>
    <t>甜水园西里</t>
  </si>
  <si>
    <t>甜水园东里45号楼4层8门401</t>
  </si>
  <si>
    <t>甜水园东里48号楼18层1803</t>
  </si>
  <si>
    <t>甜水园东里4号楼5层506</t>
  </si>
  <si>
    <t>甜水园东里甲16号楼3层3门302</t>
  </si>
  <si>
    <t>甜水园东里13号楼4层4门401</t>
  </si>
  <si>
    <t>甜水园东里39号楼6层1门603</t>
  </si>
  <si>
    <t>竣工1999，登记表1987，谨慎出1987</t>
  </si>
  <si>
    <t>甜水园东里17号楼2层5单元201</t>
  </si>
  <si>
    <t>甜水园西里2号楼2门302号</t>
  </si>
  <si>
    <t>光大补报告</t>
  </si>
  <si>
    <t>甜水园东里45号楼12层1门1202</t>
  </si>
  <si>
    <t>甜水园东里26号楼-1层1门地01</t>
  </si>
  <si>
    <t>6（-1）</t>
  </si>
  <si>
    <t>甜水园东里39号楼1层1门103</t>
  </si>
  <si>
    <t>甜水园东里14号楼2层3单元201</t>
  </si>
  <si>
    <t>甜水园东里38号楼6层2门602</t>
  </si>
  <si>
    <t>甜水园东里38号楼6层3门602</t>
  </si>
  <si>
    <t>张国威</t>
  </si>
  <si>
    <t>甜水园东里26号楼2层2门201</t>
  </si>
  <si>
    <t>甜水园东里36号楼6层3单元601</t>
  </si>
  <si>
    <t>甜水园东里13号楼6层2单元601</t>
  </si>
  <si>
    <t>甜水园东里4号楼1层1</t>
  </si>
  <si>
    <t>甜水园东里46号楼1层3门101</t>
  </si>
  <si>
    <t>甜水园东里36号楼6层5门602</t>
  </si>
  <si>
    <t>甜水园东里40号楼6层5门602</t>
  </si>
  <si>
    <t>甜水园东街7号楼3层2门232</t>
  </si>
  <si>
    <t>甜水园东街</t>
  </si>
  <si>
    <t>甜水园西里1号楼4层4单元402</t>
  </si>
  <si>
    <t>甜水园北里2号楼6层604</t>
  </si>
  <si>
    <t>甜水园东里26号楼5层4门502</t>
  </si>
  <si>
    <t>甜水园北里4号楼5层7-501</t>
  </si>
  <si>
    <t>甜水园东里16号楼3层1门303</t>
  </si>
  <si>
    <t>甜水园北街3号楼4层2门403</t>
  </si>
  <si>
    <t>竣工1981、登记表1982、谨慎出1981</t>
  </si>
  <si>
    <t>甜水园东里46号楼5层8-502</t>
  </si>
  <si>
    <t>甜水园东里16号楼4层3门401</t>
  </si>
  <si>
    <t>甜水园西里2号楼6层2门603</t>
  </si>
  <si>
    <t>甜水园北街1号楼3层1单元131</t>
  </si>
  <si>
    <t>6（实地查勘）</t>
  </si>
  <si>
    <t>甜水园东里11号楼4门402号</t>
  </si>
  <si>
    <t>甜水园北里17号楼15层北1507</t>
  </si>
  <si>
    <t>甜水园北里4号楼4层5门402</t>
  </si>
  <si>
    <t>甜水园北里14号楼9层904</t>
  </si>
  <si>
    <t>甜水园北里2号楼11层1102</t>
  </si>
  <si>
    <t>甜水园东里45号楼11层3门1102</t>
  </si>
  <si>
    <t>甜水园北里17号楼8层北807</t>
  </si>
  <si>
    <t>18（-2）</t>
  </si>
  <si>
    <t>甜水园东里25号楼4层1门401</t>
  </si>
  <si>
    <t>甜水园北里8号楼18层1809</t>
  </si>
  <si>
    <t>甜水园东里26号楼2-402</t>
  </si>
  <si>
    <t>裴筝</t>
  </si>
  <si>
    <t>甜水园北里8号楼11层1107</t>
  </si>
  <si>
    <t>冯力</t>
  </si>
  <si>
    <t>甜水园北里2号楼10层1008</t>
  </si>
  <si>
    <t>甜水园北里8号楼10层1007</t>
  </si>
  <si>
    <t>甜水园西里1号楼3层4单元302</t>
  </si>
  <si>
    <t>甜水园东里甲24号楼5层2门503</t>
  </si>
  <si>
    <t>06（-01）</t>
  </si>
  <si>
    <t>甜水园北街3号楼5层4单元453</t>
  </si>
  <si>
    <t>甜水园东里23号楼4层1门403</t>
  </si>
  <si>
    <t>甜水园西里2号楼5层6门502</t>
  </si>
  <si>
    <t>甜水园北街1号楼3单元403号</t>
  </si>
  <si>
    <t>甜水园东里2号楼2层205</t>
  </si>
  <si>
    <t>甜水园北街1号楼4层4单元443</t>
  </si>
  <si>
    <t>甜水园东里甲23号楼-1层1门002</t>
  </si>
  <si>
    <t>甜水园东里13号楼5门303</t>
  </si>
  <si>
    <t>甜水园北里2号楼14层1405</t>
  </si>
  <si>
    <t>甜水园东里44号楼4层4门403</t>
  </si>
  <si>
    <t>甜水园西里1号楼6层1单元603</t>
  </si>
  <si>
    <t>甜水园东里9号楼1门601</t>
  </si>
  <si>
    <t>甜水园北街3号楼2-262</t>
  </si>
  <si>
    <t>甜水园东里3号楼502</t>
  </si>
  <si>
    <t>6（现场勘查）</t>
  </si>
  <si>
    <t>甜水园东里41号楼5层4门502</t>
  </si>
  <si>
    <t>甜水园北里17号楼15层北1510</t>
  </si>
  <si>
    <t>甜水园西街2号楼5层4</t>
  </si>
  <si>
    <t>甜水园东里41号楼3门401</t>
  </si>
  <si>
    <t>甜水园东里甲23号楼6层1门602</t>
  </si>
  <si>
    <t>甜水园东里41号楼3层2门301</t>
  </si>
  <si>
    <t>甜水园北里8号楼4层407</t>
  </si>
  <si>
    <t>甜水园北里7号楼7层707</t>
  </si>
  <si>
    <t>甜水园北里8号楼12层1205</t>
  </si>
  <si>
    <t>甜水园北里4号楼3层4门302</t>
  </si>
  <si>
    <t>甜水园东里46号楼2层4-201</t>
  </si>
  <si>
    <t>甜水园北里5号楼17层1703</t>
  </si>
  <si>
    <t>甜水园东里21号楼3单元602号</t>
  </si>
  <si>
    <t>甜水园北里5号楼15层1507</t>
  </si>
  <si>
    <t>甜水园东里14号楼5层1门502</t>
  </si>
  <si>
    <t>甜水园北里8号楼9层906</t>
  </si>
  <si>
    <t>甜水园西里2号楼5层2门502</t>
  </si>
  <si>
    <t>甜水园东里5号楼202</t>
  </si>
  <si>
    <t>小高层板楼</t>
  </si>
  <si>
    <t>小高层板楼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</si>
</sst>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333333"/>
      <name val="Microsoft YaHei"/>
      <family val="2"/>
      <charset val="134"/>
    </font>
    <font>
      <sz val="12"/>
      <color rgb="FF333333"/>
      <name val="Microsoft YaHei"/>
      <family val="2"/>
      <charset val="134"/>
    </font>
    <font>
      <sz val="9"/>
      <color rgb="FFFF0000"/>
      <name val="Microsoft YaHei"/>
      <family val="2"/>
      <charset val="134"/>
    </font>
    <font>
      <sz val="14"/>
      <color theme="1"/>
      <name val="仿宋_GB2312"/>
      <family val="3"/>
      <charset val="134"/>
    </font>
    <font>
      <sz val="11"/>
      <color rgb="FFFF0000"/>
      <name val="宋体"/>
      <family val="3"/>
      <charset val="134"/>
      <scheme val="minor"/>
    </font>
    <font>
      <sz val="9"/>
      <color rgb="FF00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theme="9" tint="0.79998168889431442"/>
        <bgColor indexed="64"/>
      </patternFill>
    </fill>
    <fill>
      <patternFill patternType="solid">
        <fgColor theme="4"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4" fontId="0" fillId="0" borderId="0" xfId="0" applyNumberFormat="1">
      <alignment vertical="center"/>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1" fillId="12" borderId="176" xfId="0" applyNumberFormat="1"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1" fillId="22" borderId="176" xfId="0" applyNumberFormat="1" applyFont="1" applyFill="1" applyBorder="1" applyAlignment="1">
      <alignment horizontal="center" vertical="center" wrapText="1"/>
    </xf>
    <xf numFmtId="0" fontId="271" fillId="23" borderId="176" xfId="0"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1" fillId="23" borderId="176" xfId="0" applyNumberFormat="1" applyFont="1" applyFill="1" applyBorder="1" applyAlignment="1">
      <alignment horizontal="center" vertical="center" wrapText="1"/>
    </xf>
    <xf numFmtId="0" fontId="271" fillId="12" borderId="177" xfId="0"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3" fillId="12" borderId="177" xfId="0" applyFont="1" applyFill="1" applyBorder="1" applyAlignment="1">
      <alignment horizontal="center" vertical="center" wrapText="1"/>
    </xf>
    <xf numFmtId="0" fontId="273" fillId="22" borderId="176"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0" fontId="272" fillId="24" borderId="176"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1" fillId="24" borderId="176" xfId="0" applyNumberFormat="1" applyFont="1" applyFill="1" applyBorder="1" applyAlignment="1">
      <alignment horizontal="center" vertical="center" wrapText="1"/>
    </xf>
    <xf numFmtId="0" fontId="271" fillId="0" borderId="176" xfId="0" applyFont="1" applyBorder="1" applyAlignment="1">
      <alignment horizontal="center" vertical="center" wrapText="1"/>
    </xf>
    <xf numFmtId="0" fontId="272" fillId="0" borderId="176" xfId="0" applyFont="1" applyBorder="1" applyAlignment="1">
      <alignment horizontal="center" vertical="center" wrapText="1"/>
    </xf>
    <xf numFmtId="0" fontId="273" fillId="0" borderId="176" xfId="0" applyFont="1" applyBorder="1" applyAlignment="1">
      <alignment horizontal="center" vertical="center" wrapText="1"/>
    </xf>
    <xf numFmtId="31" fontId="271" fillId="0" borderId="176" xfId="0" applyNumberFormat="1" applyFont="1" applyBorder="1" applyAlignment="1">
      <alignment horizontal="center" vertical="center" wrapText="1"/>
    </xf>
    <xf numFmtId="0" fontId="274" fillId="0" borderId="82" xfId="0" applyFont="1" applyBorder="1" applyAlignment="1" applyProtection="1">
      <alignment horizontal="center" vertical="center" wrapText="1"/>
      <protection locked="0"/>
    </xf>
    <xf numFmtId="0" fontId="274" fillId="0" borderId="6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275" fillId="0" borderId="0" xfId="0" applyFont="1">
      <alignment vertical="center"/>
    </xf>
    <xf numFmtId="0" fontId="276" fillId="15" borderId="178" xfId="0" applyFont="1" applyFill="1" applyBorder="1" applyAlignment="1">
      <alignment horizontal="center" vertical="center" wrapText="1"/>
    </xf>
    <xf numFmtId="0" fontId="273" fillId="15" borderId="178"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0" fontId="273" fillId="25" borderId="176" xfId="0" applyFont="1" applyFill="1" applyBorder="1" applyAlignment="1">
      <alignment horizontal="center" vertical="center" wrapText="1"/>
    </xf>
    <xf numFmtId="31" fontId="271" fillId="25" borderId="176" xfId="0" applyNumberFormat="1" applyFont="1" applyFill="1" applyBorder="1" applyAlignment="1">
      <alignment horizontal="center" vertical="center" wrapText="1"/>
    </xf>
    <xf numFmtId="31" fontId="273" fillId="25" borderId="176"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599400</xdr:colOff>
      <xdr:row>31</xdr:row>
      <xdr:rowOff>75526</xdr:rowOff>
    </xdr:to>
    <xdr:pic>
      <xdr:nvPicPr>
        <xdr:cNvPr id="2" name="图片 1">
          <a:extLst>
            <a:ext uri="{FF2B5EF4-FFF2-40B4-BE49-F238E27FC236}">
              <a16:creationId xmlns:a16="http://schemas.microsoft.com/office/drawing/2014/main" id="{DAFF292B-100C-0DF1-1D13-BB64CA0A7687}"/>
            </a:ext>
          </a:extLst>
        </xdr:cNvPr>
        <xdr:cNvPicPr>
          <a:picLocks noChangeAspect="1"/>
        </xdr:cNvPicPr>
      </xdr:nvPicPr>
      <xdr:blipFill>
        <a:blip xmlns:r="http://schemas.openxmlformats.org/officeDocument/2006/relationships" r:embed="rId1"/>
        <a:stretch>
          <a:fillRect/>
        </a:stretch>
      </xdr:blipFill>
      <xdr:spPr>
        <a:xfrm>
          <a:off x="0" y="0"/>
          <a:ext cx="5400000" cy="5390476"/>
        </a:xfrm>
        <a:prstGeom prst="rect">
          <a:avLst/>
        </a:prstGeom>
      </xdr:spPr>
    </xdr:pic>
    <xdr:clientData/>
  </xdr:twoCellAnchor>
  <xdr:twoCellAnchor editAs="oneCell">
    <xdr:from>
      <xdr:col>7</xdr:col>
      <xdr:colOff>676276</xdr:colOff>
      <xdr:row>0</xdr:row>
      <xdr:rowOff>0</xdr:rowOff>
    </xdr:from>
    <xdr:to>
      <xdr:col>22</xdr:col>
      <xdr:colOff>390526</xdr:colOff>
      <xdr:row>57</xdr:row>
      <xdr:rowOff>140716</xdr:rowOff>
    </xdr:to>
    <xdr:pic>
      <xdr:nvPicPr>
        <xdr:cNvPr id="4" name="图片 3">
          <a:extLst>
            <a:ext uri="{FF2B5EF4-FFF2-40B4-BE49-F238E27FC236}">
              <a16:creationId xmlns:a16="http://schemas.microsoft.com/office/drawing/2014/main" id="{4D5ABA23-8B8E-F2D1-66D2-4B17C29A3487}"/>
            </a:ext>
          </a:extLst>
        </xdr:cNvPr>
        <xdr:cNvPicPr>
          <a:picLocks noChangeAspect="1"/>
        </xdr:cNvPicPr>
      </xdr:nvPicPr>
      <xdr:blipFill>
        <a:blip xmlns:r="http://schemas.openxmlformats.org/officeDocument/2006/relationships" r:embed="rId2"/>
        <a:stretch>
          <a:fillRect/>
        </a:stretch>
      </xdr:blipFill>
      <xdr:spPr>
        <a:xfrm>
          <a:off x="5476876" y="0"/>
          <a:ext cx="10001250" cy="9913366"/>
        </a:xfrm>
        <a:prstGeom prst="rect">
          <a:avLst/>
        </a:prstGeom>
      </xdr:spPr>
    </xdr:pic>
    <xdr:clientData/>
  </xdr:twoCellAnchor>
  <xdr:twoCellAnchor editAs="oneCell">
    <xdr:from>
      <xdr:col>22</xdr:col>
      <xdr:colOff>552450</xdr:colOff>
      <xdr:row>0</xdr:row>
      <xdr:rowOff>0</xdr:rowOff>
    </xdr:from>
    <xdr:to>
      <xdr:col>33</xdr:col>
      <xdr:colOff>618174</xdr:colOff>
      <xdr:row>52</xdr:row>
      <xdr:rowOff>122695</xdr:rowOff>
    </xdr:to>
    <xdr:pic>
      <xdr:nvPicPr>
        <xdr:cNvPr id="5" name="图片 4">
          <a:extLst>
            <a:ext uri="{FF2B5EF4-FFF2-40B4-BE49-F238E27FC236}">
              <a16:creationId xmlns:a16="http://schemas.microsoft.com/office/drawing/2014/main" id="{7CC2EE6D-8907-3A0B-A0C6-29C44CA08AB1}"/>
            </a:ext>
          </a:extLst>
        </xdr:cNvPr>
        <xdr:cNvPicPr>
          <a:picLocks noChangeAspect="1"/>
        </xdr:cNvPicPr>
      </xdr:nvPicPr>
      <xdr:blipFill>
        <a:blip xmlns:r="http://schemas.openxmlformats.org/officeDocument/2006/relationships" r:embed="rId3"/>
        <a:stretch>
          <a:fillRect/>
        </a:stretch>
      </xdr:blipFill>
      <xdr:spPr>
        <a:xfrm>
          <a:off x="15640050" y="0"/>
          <a:ext cx="7609524" cy="9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122690</xdr:colOff>
      <xdr:row>0</xdr:row>
      <xdr:rowOff>9524</xdr:rowOff>
    </xdr:from>
    <xdr:to>
      <xdr:col>31</xdr:col>
      <xdr:colOff>406219</xdr:colOff>
      <xdr:row>16</xdr:row>
      <xdr:rowOff>171449</xdr:rowOff>
    </xdr:to>
    <xdr:pic>
      <xdr:nvPicPr>
        <xdr:cNvPr id="2" name="图片 1">
          <a:extLst>
            <a:ext uri="{FF2B5EF4-FFF2-40B4-BE49-F238E27FC236}">
              <a16:creationId xmlns:a16="http://schemas.microsoft.com/office/drawing/2014/main" id="{16E9E4BF-B30B-4136-9841-F0FB7E5FA432}"/>
            </a:ext>
          </a:extLst>
        </xdr:cNvPr>
        <xdr:cNvPicPr>
          <a:picLocks noChangeAspect="1"/>
        </xdr:cNvPicPr>
      </xdr:nvPicPr>
      <xdr:blipFill>
        <a:blip xmlns:r="http://schemas.openxmlformats.org/officeDocument/2006/relationships" r:embed="rId1"/>
        <a:stretch>
          <a:fillRect/>
        </a:stretch>
      </xdr:blipFill>
      <xdr:spPr>
        <a:xfrm>
          <a:off x="17153390" y="9524"/>
          <a:ext cx="5084129" cy="7381875"/>
        </a:xfrm>
        <a:prstGeom prst="rect">
          <a:avLst/>
        </a:prstGeom>
      </xdr:spPr>
    </xdr:pic>
    <xdr:clientData/>
  </xdr:twoCellAnchor>
  <xdr:twoCellAnchor editAs="oneCell">
    <xdr:from>
      <xdr:col>33</xdr:col>
      <xdr:colOff>114300</xdr:colOff>
      <xdr:row>6</xdr:row>
      <xdr:rowOff>3641</xdr:rowOff>
    </xdr:from>
    <xdr:to>
      <xdr:col>39</xdr:col>
      <xdr:colOff>446582</xdr:colOff>
      <xdr:row>8</xdr:row>
      <xdr:rowOff>399760</xdr:rowOff>
    </xdr:to>
    <xdr:pic>
      <xdr:nvPicPr>
        <xdr:cNvPr id="3" name="图片 2">
          <a:extLst>
            <a:ext uri="{FF2B5EF4-FFF2-40B4-BE49-F238E27FC236}">
              <a16:creationId xmlns:a16="http://schemas.microsoft.com/office/drawing/2014/main" id="{96CF9358-159E-5DA1-C1A7-2D28BEED4007}"/>
            </a:ext>
          </a:extLst>
        </xdr:cNvPr>
        <xdr:cNvPicPr>
          <a:picLocks noChangeAspect="1"/>
        </xdr:cNvPicPr>
      </xdr:nvPicPr>
      <xdr:blipFill>
        <a:blip xmlns:r="http://schemas.openxmlformats.org/officeDocument/2006/relationships" r:embed="rId2"/>
        <a:stretch>
          <a:fillRect/>
        </a:stretch>
      </xdr:blipFill>
      <xdr:spPr>
        <a:xfrm>
          <a:off x="23317200" y="2384891"/>
          <a:ext cx="4447082" cy="1177169"/>
        </a:xfrm>
        <a:prstGeom prst="rect">
          <a:avLst/>
        </a:prstGeom>
      </xdr:spPr>
    </xdr:pic>
    <xdr:clientData/>
  </xdr:twoCellAnchor>
  <xdr:twoCellAnchor editAs="oneCell">
    <xdr:from>
      <xdr:col>32</xdr:col>
      <xdr:colOff>628650</xdr:colOff>
      <xdr:row>1</xdr:row>
      <xdr:rowOff>123825</xdr:rowOff>
    </xdr:from>
    <xdr:to>
      <xdr:col>39</xdr:col>
      <xdr:colOff>532319</xdr:colOff>
      <xdr:row>6</xdr:row>
      <xdr:rowOff>209170</xdr:rowOff>
    </xdr:to>
    <xdr:pic>
      <xdr:nvPicPr>
        <xdr:cNvPr id="4" name="图片 3">
          <a:extLst>
            <a:ext uri="{FF2B5EF4-FFF2-40B4-BE49-F238E27FC236}">
              <a16:creationId xmlns:a16="http://schemas.microsoft.com/office/drawing/2014/main" id="{88EAB80D-F14F-2DA7-7F5B-B75F80B371B8}"/>
            </a:ext>
          </a:extLst>
        </xdr:cNvPr>
        <xdr:cNvPicPr>
          <a:picLocks noChangeAspect="1"/>
        </xdr:cNvPicPr>
      </xdr:nvPicPr>
      <xdr:blipFill>
        <a:blip xmlns:r="http://schemas.openxmlformats.org/officeDocument/2006/relationships" r:embed="rId3"/>
        <a:stretch>
          <a:fillRect/>
        </a:stretch>
      </xdr:blipFill>
      <xdr:spPr>
        <a:xfrm>
          <a:off x="23145750" y="295275"/>
          <a:ext cx="4704269" cy="2295145"/>
        </a:xfrm>
        <a:prstGeom prst="rect">
          <a:avLst/>
        </a:prstGeom>
      </xdr:spPr>
    </xdr:pic>
    <xdr:clientData/>
  </xdr:twoCellAnchor>
  <xdr:twoCellAnchor editAs="oneCell">
    <xdr:from>
      <xdr:col>31</xdr:col>
      <xdr:colOff>619125</xdr:colOff>
      <xdr:row>8</xdr:row>
      <xdr:rowOff>359423</xdr:rowOff>
    </xdr:from>
    <xdr:to>
      <xdr:col>42</xdr:col>
      <xdr:colOff>294243</xdr:colOff>
      <xdr:row>17</xdr:row>
      <xdr:rowOff>85131</xdr:rowOff>
    </xdr:to>
    <xdr:pic>
      <xdr:nvPicPr>
        <xdr:cNvPr id="5" name="图片 4">
          <a:extLst>
            <a:ext uri="{FF2B5EF4-FFF2-40B4-BE49-F238E27FC236}">
              <a16:creationId xmlns:a16="http://schemas.microsoft.com/office/drawing/2014/main" id="{EE28E232-F931-88ED-A5B7-CF8FAF51A4A6}"/>
            </a:ext>
          </a:extLst>
        </xdr:cNvPr>
        <xdr:cNvPicPr>
          <a:picLocks noChangeAspect="1"/>
        </xdr:cNvPicPr>
      </xdr:nvPicPr>
      <xdr:blipFill>
        <a:blip xmlns:r="http://schemas.openxmlformats.org/officeDocument/2006/relationships" r:embed="rId4"/>
        <a:stretch>
          <a:fillRect/>
        </a:stretch>
      </xdr:blipFill>
      <xdr:spPr>
        <a:xfrm>
          <a:off x="22450425" y="3521723"/>
          <a:ext cx="7218918" cy="4154833"/>
        </a:xfrm>
        <a:prstGeom prst="rect">
          <a:avLst/>
        </a:prstGeom>
      </xdr:spPr>
    </xdr:pic>
    <xdr:clientData/>
  </xdr:twoCellAnchor>
  <xdr:twoCellAnchor editAs="oneCell">
    <xdr:from>
      <xdr:col>31</xdr:col>
      <xdr:colOff>619286</xdr:colOff>
      <xdr:row>16</xdr:row>
      <xdr:rowOff>247649</xdr:rowOff>
    </xdr:from>
    <xdr:to>
      <xdr:col>42</xdr:col>
      <xdr:colOff>103742</xdr:colOff>
      <xdr:row>36</xdr:row>
      <xdr:rowOff>75635</xdr:rowOff>
    </xdr:to>
    <xdr:pic>
      <xdr:nvPicPr>
        <xdr:cNvPr id="6" name="图片 5">
          <a:extLst>
            <a:ext uri="{FF2B5EF4-FFF2-40B4-BE49-F238E27FC236}">
              <a16:creationId xmlns:a16="http://schemas.microsoft.com/office/drawing/2014/main" id="{F8213E02-777B-A792-1C94-ECBE9EDD5EE0}"/>
            </a:ext>
          </a:extLst>
        </xdr:cNvPr>
        <xdr:cNvPicPr>
          <a:picLocks noChangeAspect="1"/>
        </xdr:cNvPicPr>
      </xdr:nvPicPr>
      <xdr:blipFill>
        <a:blip xmlns:r="http://schemas.openxmlformats.org/officeDocument/2006/relationships" r:embed="rId5"/>
        <a:stretch>
          <a:fillRect/>
        </a:stretch>
      </xdr:blipFill>
      <xdr:spPr>
        <a:xfrm>
          <a:off x="22450586" y="7467599"/>
          <a:ext cx="7028256" cy="3838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估价对象为北京市房地产，为所有。根据《国有土地使用证》[]，估价对象（分摊）出让国有建设用地使用权面积为0平方米，建筑面积为63.97平方米。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估价对象为北京市房地产,属开发建设的，该项目尚在开发建设中。根据《国有土地使用证》[]，估价对象（分摊）出让国有建设用地使用权面积为0平方米，规划建筑面积为63.97平方米。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2025年6月4日（评估专业人员实地查勘之日）</v>
      </c>
    </row>
    <row r="13" spans="1:2">
      <c r="A13" s="1119" t="s">
        <v>529</v>
      </c>
      <c r="B13" s="1120"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63.97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42" t="s">
        <v>2580</v>
      </c>
      <c r="J2" s="3242"/>
      <c r="K2" s="3242"/>
      <c r="L2" s="3242"/>
      <c r="M2" s="3242"/>
      <c r="N2" s="3242"/>
      <c r="O2" s="3242"/>
      <c r="P2" s="3242"/>
      <c r="Q2" s="3242"/>
      <c r="R2" s="3242"/>
    </row>
    <row r="3" spans="1:18">
      <c r="A3" s="2762" t="s">
        <v>2501</v>
      </c>
      <c r="B3" s="2763">
        <f>项目基本情况!D3</f>
        <v>45812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1.54</v>
      </c>
      <c r="D5" s="2767">
        <f>IF(ISERROR(ROUND(POWER(1+E5,A5-C5)*(POWER(1+E5,C5)-1)/(POWER(1+E5,A5)-1),3)),0,ROUND(POWER(1+E5,A5-C5)*(POWER(1+E5,C5)-1)/(POWER(1+E5,A5)-1),4))</f>
        <v>7.3999999999999996E-2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11.55</v>
      </c>
      <c r="D6" s="2767">
        <f>IF(ISERROR(ROUND(POWER(1+E6,A6-C6)*(POWER(1+E6,C6)-1)/(POWER(1+E6,A6)-1),3)),0,ROUND(POWER(1+E6,A6-C6)*(POWER(1+E6,C6)-1)/(POWER(1+E6,A6)-1),4))</f>
        <v>0.4239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50" t="str">
        <f>IF(B10="北京市","北京市",C10)&amp;F10&amp;IF(结果表!G1="在建","出让国有建设用地使用权及在建建筑物",IF(结果表!G1="土地","出让国有建设用地使用权",))&amp;B9&amp;"预评估"</f>
        <v>北京市房地产市场价值预评估</v>
      </c>
      <c r="C1" s="3251"/>
      <c r="D1" s="3251"/>
      <c r="E1" s="3251"/>
      <c r="F1" s="3251"/>
      <c r="G1" s="3251"/>
      <c r="H1" s="3251"/>
      <c r="I1" s="3252"/>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45812</v>
      </c>
      <c r="C3" s="2185" t="s">
        <v>2171</v>
      </c>
      <c r="D3" s="2184">
        <f>B3</f>
        <v>45812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3412</v>
      </c>
      <c r="C8" s="2200"/>
      <c r="D8" s="3253" t="s">
        <v>2177</v>
      </c>
      <c r="E8" s="2201"/>
      <c r="F8" s="2202"/>
      <c r="G8" s="2441"/>
      <c r="H8" s="2441"/>
      <c r="I8" s="2441"/>
      <c r="J8" s="2244"/>
      <c r="K8" s="2399"/>
      <c r="L8" s="2398"/>
      <c r="M8" s="2398"/>
      <c r="N8" s="2244"/>
      <c r="O8" s="1670"/>
      <c r="P8" s="2244"/>
      <c r="Q8" s="2244"/>
      <c r="R8" s="2244"/>
    </row>
    <row r="9" spans="1:30" ht="13.5" thickBot="1">
      <c r="A9" s="2203" t="s">
        <v>2178</v>
      </c>
      <c r="B9" s="2204" t="s">
        <v>3413</v>
      </c>
      <c r="C9" s="2205"/>
      <c r="D9" s="3254"/>
      <c r="E9" s="2204"/>
      <c r="F9" s="2206"/>
      <c r="G9" s="2442"/>
      <c r="H9" s="2442"/>
      <c r="I9" s="2442"/>
      <c r="J9" s="2244"/>
      <c r="K9" s="2401"/>
      <c r="L9" s="2398"/>
      <c r="M9" s="2398"/>
      <c r="N9" s="2244"/>
      <c r="O9" s="1670"/>
      <c r="P9" s="2244"/>
      <c r="Q9" s="2244"/>
      <c r="R9" s="2244"/>
    </row>
    <row r="10" spans="1:30" ht="13.5" thickTop="1">
      <c r="A10" s="2207" t="s">
        <v>2179</v>
      </c>
      <c r="B10" s="2208" t="s">
        <v>3414</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3415</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v>59901</v>
      </c>
      <c r="D13" s="803"/>
      <c r="E13" s="803"/>
      <c r="F13" s="803"/>
      <c r="G13" s="803"/>
      <c r="H13" s="803"/>
      <c r="I13" s="803"/>
      <c r="J13" s="2802"/>
      <c r="K13" s="2398"/>
      <c r="L13" s="1670">
        <f>1993+70</f>
        <v>2063</v>
      </c>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38.6</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60"/>
      <c r="C16" s="3261"/>
      <c r="D16" s="3262"/>
      <c r="E16" s="2221" t="s">
        <v>2194</v>
      </c>
      <c r="F16" s="3263"/>
      <c r="G16" s="3264"/>
      <c r="H16" s="3264"/>
      <c r="I16" s="3265"/>
      <c r="J16" s="2244"/>
      <c r="K16" s="2402"/>
      <c r="L16" s="1670"/>
      <c r="M16" s="1670"/>
      <c r="N16" s="2244"/>
      <c r="O16" s="1670"/>
      <c r="P16" s="2244"/>
      <c r="Q16" s="2244"/>
      <c r="R16" s="2244"/>
    </row>
    <row r="17" spans="1:28">
      <c r="A17" s="305" t="s">
        <v>2195</v>
      </c>
      <c r="B17" s="294" t="s">
        <v>2196</v>
      </c>
      <c r="C17" s="8">
        <f>'数据-汇总表'!E3</f>
        <v>63.97</v>
      </c>
      <c r="D17" s="1256" t="s">
        <v>2197</v>
      </c>
      <c r="E17" s="3266" t="s">
        <v>2198</v>
      </c>
      <c r="F17" s="3267"/>
      <c r="G17" s="3267"/>
      <c r="H17" s="3267"/>
      <c r="I17" s="3268"/>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69" t="s">
        <v>2202</v>
      </c>
      <c r="F18" s="3270"/>
      <c r="G18" s="3270"/>
      <c r="H18" s="3270"/>
      <c r="I18" s="3271"/>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56" t="s">
        <v>2206</v>
      </c>
      <c r="C20" s="3257"/>
      <c r="D20" s="3258" t="s">
        <v>2207</v>
      </c>
      <c r="E20" s="3259"/>
      <c r="F20" s="2429" t="s">
        <v>1056</v>
      </c>
      <c r="G20" s="2441"/>
      <c r="H20" s="2441"/>
      <c r="I20" s="2441"/>
      <c r="J20" s="2244"/>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4"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5"/>
      <c r="B30" s="294" t="s">
        <v>2218</v>
      </c>
      <c r="C30" s="3246"/>
      <c r="D30" s="3247"/>
      <c r="E30" s="2441"/>
      <c r="F30" s="2441"/>
      <c r="G30" s="2441"/>
      <c r="H30" s="2441"/>
      <c r="I30" s="2441"/>
      <c r="J30" s="2244"/>
      <c r="K30" s="2401"/>
      <c r="L30" s="2398"/>
      <c r="M30" s="2398"/>
      <c r="N30" s="2244"/>
      <c r="O30" s="1670"/>
      <c r="P30" s="2244"/>
      <c r="Q30" s="2244"/>
      <c r="R30" s="2244"/>
      <c r="S30" s="2244"/>
      <c r="T30" s="2244"/>
      <c r="U30" s="2244"/>
      <c r="V30" s="2244"/>
    </row>
    <row r="31" spans="1:28">
      <c r="A31" s="3248"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296</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236</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63.97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63.97</v>
      </c>
      <c r="H5" s="13">
        <f t="shared" ref="H5:AT5" si="0">SUM(H13:H656)</f>
        <v>63.97</v>
      </c>
      <c r="I5" s="13">
        <f t="shared" si="0"/>
        <v>63.97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63.97</v>
      </c>
      <c r="BA5" s="15">
        <f t="shared" si="1"/>
        <v>63.97</v>
      </c>
      <c r="BB5" s="15">
        <f t="shared" si="1"/>
        <v>63.97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3406</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3420</v>
      </c>
      <c r="E13" s="13">
        <f>IF($C$3="是",ROUND($A$3*G13/$B$3,2),ROUND($A$3*(G13-AT13)/$B$3,2))</f>
        <v>0</v>
      </c>
      <c r="F13" s="29"/>
      <c r="G13" s="30">
        <f>H13+AC13+AT13</f>
        <v>63.97</v>
      </c>
      <c r="H13" s="17">
        <f>SUMIF(I$12:AB$12,"总值",I13:AB13)</f>
        <v>63.97</v>
      </c>
      <c r="I13" s="1514">
        <v>63.97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63.97</v>
      </c>
      <c r="BA13" s="13">
        <f>SUM(BB13:BK13)</f>
        <v>63.97</v>
      </c>
      <c r="BB13" s="13">
        <f>IF($D13="是",I13-J13,0)</f>
        <v>63.97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1" t="s">
        <v>1131</v>
      </c>
      <c r="B2" s="3281"/>
      <c r="C2" s="3281"/>
      <c r="D2" s="748" t="s">
        <v>1107</v>
      </c>
      <c r="E2" s="1523" t="s">
        <v>1108</v>
      </c>
      <c r="F2" s="2438"/>
      <c r="G2" s="2431"/>
      <c r="H2" s="2432"/>
      <c r="I2" s="2145" t="s">
        <v>1132</v>
      </c>
      <c r="J2" s="2438"/>
      <c r="K2" s="2438"/>
      <c r="L2" s="2438"/>
      <c r="M2" s="2438"/>
      <c r="N2" s="2439"/>
      <c r="O2" s="2438"/>
      <c r="P2" s="2438"/>
    </row>
    <row r="3" spans="1:16" ht="15.75" thickBot="1">
      <c r="A3" s="3282" t="s">
        <v>1105</v>
      </c>
      <c r="B3" s="3282"/>
      <c r="C3" s="3282"/>
      <c r="D3" s="41">
        <f>'数据-基础表'!AY6</f>
        <v>0</v>
      </c>
      <c r="E3" s="41">
        <f>'数据-基础表'!AZ5</f>
        <v>63.97</v>
      </c>
      <c r="F3" s="2438"/>
      <c r="G3" s="42"/>
      <c r="H3" s="43" t="s">
        <v>1106</v>
      </c>
      <c r="I3" s="802" t="e">
        <f>ROUND('数据-基础表'!B3/'数据-基础表'!A3,2)</f>
        <v>#DIV/0!</v>
      </c>
      <c r="J3" s="2438"/>
      <c r="K3" s="2438"/>
      <c r="L3" s="2438"/>
      <c r="M3" s="2438"/>
      <c r="N3" s="2439"/>
      <c r="O3" s="2438"/>
      <c r="P3" s="2438"/>
    </row>
    <row r="4" spans="1:16" ht="15">
      <c r="A4" s="3283"/>
      <c r="B4" s="3284"/>
      <c r="C4" s="328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86" t="s">
        <v>1110</v>
      </c>
      <c r="C5" s="3286"/>
      <c r="D5" s="43">
        <f>ROUND($D$3*E5/$E$3,2)</f>
        <v>0</v>
      </c>
      <c r="E5" s="44">
        <f>SUMIF('数据-基础表'!$11:$11,"住宅",'数据-基础表'!$5:$5)</f>
        <v>63.97</v>
      </c>
      <c r="F5" s="2438"/>
      <c r="G5" s="42"/>
      <c r="H5" s="43" t="s">
        <v>1106</v>
      </c>
      <c r="I5" s="802" t="e">
        <f>ROUND(E31/D31,2)</f>
        <v>#DIV/0!</v>
      </c>
      <c r="J5" s="2438"/>
      <c r="K5" s="2438"/>
      <c r="L5" s="2438"/>
      <c r="M5" s="2438"/>
      <c r="N5" s="2438"/>
      <c r="O5" s="2438"/>
      <c r="P5" s="2438"/>
    </row>
    <row r="6" spans="1:16" ht="15" thickBot="1">
      <c r="A6" s="1527"/>
      <c r="B6" s="3286" t="s">
        <v>1111</v>
      </c>
      <c r="C6" s="3286"/>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78"/>
      <c r="B7" s="3279"/>
      <c r="C7" s="3280"/>
      <c r="D7" s="1524" t="s">
        <v>1107</v>
      </c>
      <c r="E7" s="1528" t="s">
        <v>1114</v>
      </c>
      <c r="F7" s="2438"/>
      <c r="G7" s="2435" t="s">
        <v>1115</v>
      </c>
      <c r="H7" s="95"/>
      <c r="I7" s="2436">
        <v>2.2000000000000002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63.97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63.97</v>
      </c>
      <c r="F16" s="2438"/>
      <c r="G16" s="2438"/>
      <c r="H16" s="1531" t="s">
        <v>1135</v>
      </c>
      <c r="I16" s="1532"/>
      <c r="J16" s="1071"/>
      <c r="K16" s="3275" t="s">
        <v>1135</v>
      </c>
      <c r="L16" s="3276"/>
      <c r="M16" s="3276"/>
      <c r="N16" s="3276"/>
      <c r="O16" s="3276"/>
      <c r="P16" s="3277"/>
    </row>
    <row r="17" spans="1:19" ht="15">
      <c r="A17" s="1533" t="s">
        <v>1136</v>
      </c>
      <c r="B17" s="1534" t="s">
        <v>1137</v>
      </c>
      <c r="C17" s="1535" t="s">
        <v>1138</v>
      </c>
      <c r="D17" s="1536" t="s">
        <v>1126</v>
      </c>
      <c r="E17" s="1537" t="s">
        <v>1127</v>
      </c>
      <c r="F17" s="1538"/>
      <c r="G17" s="1539"/>
      <c r="H17" s="1540" t="s">
        <v>1139</v>
      </c>
      <c r="I17" s="1541" t="s">
        <v>1124</v>
      </c>
      <c r="J17" s="1071"/>
      <c r="K17" s="3272" t="s">
        <v>1140</v>
      </c>
      <c r="L17" s="3273"/>
      <c r="M17" s="3274"/>
      <c r="N17" s="3272" t="s">
        <v>1141</v>
      </c>
      <c r="O17" s="3273"/>
      <c r="P17" s="327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3422</v>
      </c>
      <c r="D19" s="43">
        <f>ROUND($D$3*E19/$E$3,2)</f>
        <v>0</v>
      </c>
      <c r="E19" s="51">
        <f t="shared" ref="E19:E26" si="1">SUM(F19:G19)</f>
        <v>63.97</v>
      </c>
      <c r="F19" s="2557">
        <f>'数据-基础表'!I13</f>
        <v>63.97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63.97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63.97</v>
      </c>
      <c r="F27" s="1072">
        <f>IF(SUM(F19:F26)=E8,SUM(F19:F26),"地上面积有误")</f>
        <v>63.97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63.97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63.97</v>
      </c>
      <c r="F31" s="644">
        <f>F27+F30</f>
        <v>63.97</v>
      </c>
      <c r="G31" s="645">
        <f>G27+G30</f>
        <v>0</v>
      </c>
      <c r="H31" s="2438"/>
      <c r="I31" s="2438"/>
      <c r="J31" s="2438"/>
      <c r="K31" s="2438"/>
      <c r="L31" s="2438"/>
      <c r="M31" s="2438"/>
      <c r="N31" s="2438"/>
      <c r="O31" s="2438"/>
      <c r="P31" s="2438"/>
    </row>
    <row r="32" spans="1:19">
      <c r="A32" s="1526"/>
      <c r="B32" s="1526" t="s">
        <v>1159</v>
      </c>
      <c r="C32" s="1526"/>
      <c r="D32" s="1526"/>
      <c r="E32" s="990">
        <f>SUMIF(C19:C26,"*住宅*",E19:E26)</f>
        <v>63.97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3406</v>
      </c>
      <c r="D6" s="805">
        <f>SUMIF(项目基本情况!C$12:I$12,C6,项目基本情况!C$14:I$14)</f>
        <v>70</v>
      </c>
      <c r="E6" s="804">
        <f>IF(B6="","",SUMIF(项目基本情况!C$12:I$12,C6,项目基本情况!C$13:I$13))</f>
        <v>59901</v>
      </c>
      <c r="F6" s="61">
        <f>SUMIF(项目基本情况!C$12:I$12,C6,项目基本情况!C$15:I$15)</f>
        <v>38.6</v>
      </c>
      <c r="G6" s="62">
        <f>IF(ISERROR(ROUND(POWER(1+H6,D6-F6)*(POWER(1+H6,F6)-1)/(POWER(1+H6,D6)-1),3)),0,ROUND(POWER(1+H6,D6-F6)*(POWER(1+H6,F6)-1)/(POWER(1+H6,D6)-1),3))</f>
        <v>0.877</v>
      </c>
      <c r="H6" s="691">
        <v>0.05</v>
      </c>
      <c r="I6" s="691">
        <v>0.03</v>
      </c>
      <c r="J6" s="63">
        <v>0.06</v>
      </c>
      <c r="K6" s="970">
        <f>SUMIF('数据-汇总表'!C$19:C$33,A6,'数据-汇总表'!E$19:E$33)</f>
        <v>63.97</v>
      </c>
      <c r="L6" s="692">
        <v>3000</v>
      </c>
      <c r="M6" s="64">
        <f t="shared" ref="M6:M14" si="0">ROUND(K6*L6/10000,0)</f>
        <v>19</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6000</v>
      </c>
      <c r="V6" s="67">
        <v>1.4999999999999999E-2</v>
      </c>
      <c r="W6" s="67">
        <v>0.05</v>
      </c>
      <c r="X6" s="979"/>
      <c r="Y6" s="68">
        <f>N6</f>
        <v>0.7</v>
      </c>
      <c r="Z6" s="69"/>
      <c r="AA6" s="63"/>
      <c r="AB6" s="63"/>
      <c r="AC6" s="979"/>
      <c r="AD6" s="70"/>
      <c r="AE6" s="980">
        <f ca="1">IF(AN6="",0,SUMIF(INDIRECT("'"&amp;AN6&amp;"'"&amp;"!E:E"),$AE$5,INDIRECT("'"&amp;AN6&amp;"'"&amp;"!F:F")))</f>
        <v>38.6</v>
      </c>
      <c r="AF6" s="74"/>
      <c r="AG6" s="130">
        <f>IF(AF6="",0,AE6-AF6)</f>
        <v>0</v>
      </c>
      <c r="AH6" s="71">
        <v>1</v>
      </c>
      <c r="AI6" s="73">
        <v>12</v>
      </c>
      <c r="AJ6" s="74"/>
      <c r="AK6" s="75">
        <v>2E-3</v>
      </c>
      <c r="AL6" s="76">
        <v>1E-3</v>
      </c>
      <c r="AM6" s="77">
        <v>0.01</v>
      </c>
      <c r="AN6" s="1589" t="s">
        <v>3517</v>
      </c>
      <c r="AO6" s="50">
        <f ca="1">SUMIF(INDIRECT("'"&amp;AN6&amp;"'"&amp;"!A:A"),"总价",INDIRECT("'"&amp;AN6&amp;"'"&amp;"!B:B"))</f>
        <v>188.44589999999999</v>
      </c>
      <c r="AP6" s="1590">
        <f>IF(C6="住宅",K6*L6,0)</f>
        <v>191910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0.877</v>
      </c>
      <c r="H16" s="84">
        <f>ROUND(SUMPRODUCT(H6:H13,K6:K13)/SUMPRODUCT((H6:H13&gt;0)*(K6:K13)),3)</f>
        <v>0.05</v>
      </c>
      <c r="I16" s="85"/>
      <c r="J16" s="85"/>
      <c r="K16" s="86">
        <f>SUM(K6:K15)</f>
        <v>63.97</v>
      </c>
      <c r="L16" s="87">
        <f>ROUND(M16*10000/SUM(K6:K14),0)</f>
        <v>2970</v>
      </c>
      <c r="M16" s="87">
        <f>SUM(M6:M14)</f>
        <v>19</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2300</v>
      </c>
      <c r="D20" s="2451"/>
      <c r="E20" s="2438"/>
      <c r="F20" s="2438"/>
      <c r="G20" s="2438"/>
      <c r="H20" s="2438"/>
      <c r="I20" s="2438"/>
      <c r="J20" s="2438"/>
      <c r="K20" s="2449"/>
      <c r="L20" s="2449"/>
      <c r="M20" s="2448"/>
      <c r="N20" s="2448">
        <v>1995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f>1-(1-2%)*(2025-N20)/50</f>
        <v>0.41200000000000003</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3384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3385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87" t="s">
        <v>2286</v>
      </c>
      <c r="B1" s="3288"/>
      <c r="C1" s="3288"/>
      <c r="D1" s="3288"/>
      <c r="E1" s="3288"/>
      <c r="F1" s="3288"/>
      <c r="G1" s="328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63.97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45812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335.24119999999999</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63.97</v>
      </c>
      <c r="C14" s="2305"/>
      <c r="D14" s="2305">
        <f ca="1">ROUND(B14*E14/10000,4)</f>
        <v>335.24119999999999</v>
      </c>
      <c r="E14" s="2305">
        <f ca="1">结果表!G20</f>
        <v>52406</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4" t="s">
        <v>1265</v>
      </c>
      <c r="B4" s="1625" t="s">
        <v>1266</v>
      </c>
      <c r="C4" s="1626" t="s">
        <v>3517</v>
      </c>
      <c r="D4" s="1626" t="s">
        <v>3523</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3" t="s">
        <v>1268</v>
      </c>
      <c r="B5" s="3290">
        <v>25</v>
      </c>
      <c r="C5" s="3306"/>
      <c r="D5" s="3326"/>
      <c r="E5" s="123" t="s">
        <v>1269</v>
      </c>
      <c r="F5" s="1627"/>
      <c r="G5" s="1627"/>
      <c r="H5" s="1627"/>
      <c r="I5" s="1281"/>
    </row>
    <row r="6" spans="1:12" ht="12.75">
      <c r="A6" s="3303"/>
      <c r="B6" s="3290"/>
      <c r="C6" s="3307"/>
      <c r="D6" s="3326"/>
      <c r="E6" s="123" t="s">
        <v>1270</v>
      </c>
      <c r="F6" s="1627"/>
      <c r="G6" s="1627"/>
      <c r="H6" s="1627"/>
      <c r="I6" s="1281"/>
    </row>
    <row r="7" spans="1:12" ht="12.75">
      <c r="A7" s="3303"/>
      <c r="B7" s="3290"/>
      <c r="C7" s="3308"/>
      <c r="D7" s="3326"/>
      <c r="E7" s="123" t="s">
        <v>1271</v>
      </c>
      <c r="F7" s="1627"/>
      <c r="G7" s="1627"/>
      <c r="H7" s="1627"/>
      <c r="I7" s="1281"/>
    </row>
    <row r="8" spans="1:12" ht="12.75">
      <c r="A8" s="3303" t="s">
        <v>1272</v>
      </c>
      <c r="B8" s="3290">
        <v>15</v>
      </c>
      <c r="C8" s="3306"/>
      <c r="D8" s="3326"/>
      <c r="E8" s="123" t="s">
        <v>1273</v>
      </c>
      <c r="F8" s="1627"/>
      <c r="G8" s="1627"/>
      <c r="H8" s="1627"/>
      <c r="I8" s="1281"/>
    </row>
    <row r="9" spans="1:12" ht="12.75">
      <c r="A9" s="3303"/>
      <c r="B9" s="3290"/>
      <c r="C9" s="3308"/>
      <c r="D9" s="3326"/>
      <c r="E9" s="123" t="s">
        <v>1274</v>
      </c>
      <c r="F9" s="1627"/>
      <c r="G9" s="1627"/>
      <c r="H9" s="1627"/>
      <c r="I9" s="1281"/>
    </row>
    <row r="10" spans="1:12" ht="12.75">
      <c r="A10" s="3303" t="s">
        <v>1275</v>
      </c>
      <c r="B10" s="3290">
        <v>15</v>
      </c>
      <c r="C10" s="3306"/>
      <c r="D10" s="3326"/>
      <c r="E10" s="123" t="s">
        <v>1276</v>
      </c>
      <c r="F10" s="1627"/>
      <c r="G10" s="1627"/>
      <c r="H10" s="1627"/>
      <c r="I10" s="1281"/>
    </row>
    <row r="11" spans="1:12" ht="12.75">
      <c r="A11" s="3303"/>
      <c r="B11" s="3290"/>
      <c r="C11" s="3308"/>
      <c r="D11" s="3326"/>
      <c r="E11" s="123" t="s">
        <v>1277</v>
      </c>
      <c r="F11" s="1627"/>
      <c r="G11" s="1627"/>
      <c r="H11" s="1627"/>
      <c r="I11" s="1281"/>
    </row>
    <row r="12" spans="1:12" ht="12.75">
      <c r="A12" s="3303" t="s">
        <v>1278</v>
      </c>
      <c r="B12" s="3290">
        <v>15</v>
      </c>
      <c r="C12" s="3306"/>
      <c r="D12" s="3326"/>
      <c r="E12" s="123" t="s">
        <v>1279</v>
      </c>
      <c r="F12" s="1627"/>
      <c r="G12" s="1627"/>
      <c r="H12" s="1627"/>
      <c r="I12" s="1281"/>
    </row>
    <row r="13" spans="1:12" ht="12.75">
      <c r="A13" s="3303"/>
      <c r="B13" s="3290"/>
      <c r="C13" s="3308"/>
      <c r="D13" s="3326"/>
      <c r="E13" s="123" t="s">
        <v>1280</v>
      </c>
      <c r="F13" s="1627"/>
      <c r="G13" s="1627"/>
      <c r="H13" s="1627"/>
      <c r="I13" s="1281"/>
    </row>
    <row r="14" spans="1:12" ht="12.75">
      <c r="A14" s="3303" t="s">
        <v>1281</v>
      </c>
      <c r="B14" s="3290">
        <v>30</v>
      </c>
      <c r="C14" s="3306">
        <v>2</v>
      </c>
      <c r="D14" s="3326">
        <f>10-C14</f>
        <v>8</v>
      </c>
      <c r="E14" s="123" t="s">
        <v>1282</v>
      </c>
      <c r="F14" s="1627"/>
      <c r="G14" s="1627"/>
      <c r="H14" s="1627"/>
      <c r="I14" s="1281"/>
    </row>
    <row r="15" spans="1:12" ht="12.75">
      <c r="A15" s="3303"/>
      <c r="B15" s="3290"/>
      <c r="C15" s="3307"/>
      <c r="D15" s="3326"/>
      <c r="E15" s="123" t="s">
        <v>1283</v>
      </c>
      <c r="F15" s="1627"/>
      <c r="G15" s="1627"/>
      <c r="H15" s="1627"/>
      <c r="I15" s="1281"/>
    </row>
    <row r="16" spans="1:12" ht="12.75">
      <c r="A16" s="3303"/>
      <c r="B16" s="3290"/>
      <c r="C16" s="3308"/>
      <c r="D16" s="3326"/>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13" t="s">
        <v>2131</v>
      </c>
      <c r="F18" s="3314"/>
      <c r="G18" s="3314"/>
      <c r="H18" s="3314"/>
      <c r="I18" s="3314"/>
      <c r="K18" s="294" t="s">
        <v>1289</v>
      </c>
      <c r="L18" s="294">
        <f>IF(C1="",'数据-汇总表'!E3,SUMIF(项目类型,C1,'数据-汇总表'!E17:E26)+SUMIF(项目类型,C1,'数据-汇总表'!I17:I26))</f>
        <v>63.97</v>
      </c>
      <c r="M18" s="294">
        <f>IF(C1="",'数据-汇总表'!E3,SUMIF(项目类型,C1,'数据-汇总表'!E17:E26))</f>
        <v>63.97</v>
      </c>
    </row>
    <row r="19" spans="1:36" ht="15">
      <c r="A19" s="1630" t="s">
        <v>1290</v>
      </c>
      <c r="B19" s="1631" t="s">
        <v>1291</v>
      </c>
      <c r="C19" s="126">
        <f ca="1">SUMIF(INDIRECT("'"&amp;C4&amp;"'"&amp;"!A:A"),结果表!B19,INDIRECT("'"&amp;C4&amp;"'"&amp;"!B:B"))</f>
        <v>188.44589999999999</v>
      </c>
      <c r="D19" s="127">
        <f ca="1">SUMIF(INDIRECT("'"&amp;D4&amp;"'"&amp;"!A:A"),结果表!B19,INDIRECT("'"&amp;D4&amp;"'"&amp;"!B:B"))</f>
        <v>371.94080000000002</v>
      </c>
      <c r="E19" s="1630" t="s">
        <v>1292</v>
      </c>
      <c r="F19" s="1631" t="s">
        <v>1291</v>
      </c>
      <c r="G19" s="128">
        <f ca="1">ROUND(C19*$C$18+D19*$D$18,0)</f>
        <v>335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29458</v>
      </c>
      <c r="D20" s="130">
        <f ca="1">SUMIF(INDIRECT("'"&amp;D4&amp;"'"&amp;"!A:A"),结果表!B20,INDIRECT("'"&amp;D4&amp;"'"&amp;"!B:B"))</f>
        <v>58143</v>
      </c>
      <c r="E20" s="1633"/>
      <c r="F20" s="43" t="s">
        <v>1295</v>
      </c>
      <c r="G20" s="131">
        <f ca="1">ROUND(C20*$C$18+D20*$D$18,0)</f>
        <v>52406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0.97372720764951648</v>
      </c>
      <c r="E22" s="121"/>
      <c r="F22" s="121"/>
      <c r="G22" s="121">
        <f ca="1">G20*系统读取表!B14</f>
        <v>3352411.82</v>
      </c>
      <c r="H22" s="121"/>
      <c r="I22" s="121"/>
    </row>
    <row r="23" spans="1:36" ht="13.5" thickBot="1">
      <c r="A23" s="646"/>
      <c r="B23" s="646"/>
      <c r="C23" s="646"/>
      <c r="D23" s="646"/>
      <c r="E23" s="121"/>
      <c r="F23" s="121"/>
      <c r="G23" s="121"/>
      <c r="H23" s="121"/>
      <c r="I23" s="121"/>
    </row>
    <row r="24" spans="1:36" ht="14.25">
      <c r="A24" s="3297" t="s">
        <v>1299</v>
      </c>
      <c r="B24" s="1631" t="s">
        <v>1291</v>
      </c>
      <c r="C24" s="128">
        <f>IF(B30=0,0,D30)</f>
        <v>0</v>
      </c>
      <c r="D24" s="1637"/>
      <c r="E24" s="121"/>
      <c r="F24" s="121"/>
      <c r="G24" s="121"/>
      <c r="H24" s="121"/>
      <c r="I24" s="121"/>
    </row>
    <row r="25" spans="1:36" ht="14.25">
      <c r="A25" s="329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52406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7" t="s">
        <v>1312</v>
      </c>
      <c r="B36" s="1652" t="s">
        <v>1313</v>
      </c>
      <c r="C36" s="137"/>
      <c r="D36" s="1653"/>
      <c r="E36" s="1567"/>
      <c r="F36" s="1654"/>
      <c r="G36" s="121"/>
      <c r="H36" s="121"/>
      <c r="I36" s="121"/>
    </row>
    <row r="37" spans="1:15" ht="15.75" thickBot="1">
      <c r="A37" s="3318"/>
      <c r="B37" s="1555" t="s">
        <v>1314</v>
      </c>
      <c r="C37" s="139"/>
      <c r="D37" s="1071"/>
      <c r="E37" s="1071"/>
      <c r="F37" s="1654"/>
      <c r="G37" s="121"/>
      <c r="H37" s="121"/>
      <c r="I37" s="121"/>
    </row>
    <row r="38" spans="1:15" ht="15.75" thickBot="1">
      <c r="A38" s="331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94" t="s">
        <v>1326</v>
      </c>
      <c r="B45" s="3295"/>
      <c r="C45" s="3296"/>
      <c r="D45" s="147" t="e">
        <f ca="1">ROUND(H101*F45,0)</f>
        <v>#REF!</v>
      </c>
      <c r="E45" s="148" t="s">
        <v>1327</v>
      </c>
      <c r="F45" s="149">
        <v>1</v>
      </c>
      <c r="G45" s="150" t="s">
        <v>1328</v>
      </c>
      <c r="H45" s="121"/>
      <c r="I45" s="121"/>
      <c r="J45" s="3372" t="s">
        <v>1329</v>
      </c>
      <c r="K45" s="3372"/>
      <c r="L45" s="3372"/>
      <c r="M45" s="3372"/>
      <c r="N45" s="3372"/>
      <c r="O45" s="3372"/>
    </row>
    <row r="46" spans="1:15" ht="14.25" customHeight="1">
      <c r="A46" s="3291" t="s">
        <v>1330</v>
      </c>
      <c r="B46" s="3292"/>
      <c r="C46" s="3292"/>
      <c r="D46" s="3292"/>
      <c r="E46" s="3292"/>
      <c r="F46" s="3292"/>
      <c r="G46" s="3293"/>
      <c r="H46" s="1668"/>
      <c r="I46" s="151"/>
      <c r="J46" s="2309">
        <v>1</v>
      </c>
      <c r="K46" s="3353" t="s">
        <v>1331</v>
      </c>
      <c r="L46" s="3353"/>
      <c r="M46" s="3373"/>
      <c r="N46" s="3373"/>
      <c r="O46" s="3373"/>
    </row>
    <row r="47" spans="1:15" ht="12" customHeight="1">
      <c r="A47" s="152" t="s">
        <v>1332</v>
      </c>
      <c r="B47" s="153"/>
      <c r="C47" s="154"/>
      <c r="D47" s="1024" t="s">
        <v>1333</v>
      </c>
      <c r="E47" s="294" t="s">
        <v>1334</v>
      </c>
      <c r="F47" s="155" t="s">
        <v>1335</v>
      </c>
      <c r="G47" s="2332" t="s">
        <v>1336</v>
      </c>
      <c r="H47" s="2333"/>
      <c r="I47" s="151"/>
      <c r="J47" s="2309">
        <v>2</v>
      </c>
      <c r="K47" s="3353" t="s">
        <v>1337</v>
      </c>
      <c r="L47" s="3353"/>
      <c r="M47" s="3374">
        <f>'数据-取费表'!B2</f>
        <v>45812</v>
      </c>
      <c r="N47" s="3374"/>
      <c r="O47" s="3374"/>
    </row>
    <row r="48" spans="1:15" ht="25.5">
      <c r="A48" s="3322" t="s">
        <v>1338</v>
      </c>
      <c r="B48" s="3305"/>
      <c r="C48" s="330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53" t="s">
        <v>1340</v>
      </c>
      <c r="L48" s="3353"/>
      <c r="M48" s="3375" t="e">
        <f ca="1">H101</f>
        <v>#REF!</v>
      </c>
      <c r="N48" s="3375"/>
      <c r="O48" s="3375"/>
    </row>
    <row r="49" spans="1:35" ht="25.5" customHeight="1">
      <c r="A49" s="2151" t="s">
        <v>1341</v>
      </c>
      <c r="B49" s="3289" t="s">
        <v>1342</v>
      </c>
      <c r="C49" s="3289"/>
      <c r="D49" s="1478">
        <v>0</v>
      </c>
      <c r="E49" s="316" t="s">
        <v>1343</v>
      </c>
      <c r="F49" s="2232" t="s">
        <v>28</v>
      </c>
      <c r="G49" s="3359"/>
      <c r="H49" s="2133" t="s">
        <v>2134</v>
      </c>
      <c r="I49" s="2134"/>
      <c r="J49" s="2309">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7"/>
      <c r="B50" s="3289" t="s">
        <v>1344</v>
      </c>
      <c r="C50" s="3289"/>
      <c r="D50" s="2188"/>
      <c r="E50" s="323"/>
      <c r="F50" s="2232"/>
      <c r="G50" s="3360"/>
      <c r="H50" s="2135" t="s">
        <v>2135</v>
      </c>
      <c r="I50" s="2134"/>
      <c r="J50" s="3372" t="s">
        <v>1345</v>
      </c>
      <c r="K50" s="3372"/>
      <c r="L50" s="3372"/>
      <c r="M50" s="3372"/>
      <c r="N50" s="3372"/>
      <c r="O50" s="3372"/>
    </row>
    <row r="51" spans="1:35" ht="20.45" customHeight="1">
      <c r="A51" s="2338"/>
      <c r="B51" s="3289" t="s">
        <v>1346</v>
      </c>
      <c r="C51" s="3289"/>
      <c r="D51" s="1024"/>
      <c r="E51" s="319"/>
      <c r="F51" s="2232"/>
      <c r="G51" s="3361"/>
      <c r="H51" s="2135" t="s">
        <v>2136</v>
      </c>
      <c r="I51" s="2134"/>
      <c r="J51" s="2310" t="s">
        <v>1347</v>
      </c>
      <c r="K51" s="3353" t="s">
        <v>1348</v>
      </c>
      <c r="L51" s="3353"/>
      <c r="M51" s="2310" t="s">
        <v>1349</v>
      </c>
      <c r="N51" s="2310" t="s">
        <v>1350</v>
      </c>
      <c r="O51" s="2310" t="s">
        <v>1351</v>
      </c>
    </row>
    <row r="52" spans="1:35" ht="24" customHeight="1">
      <c r="A52" s="2152" t="s">
        <v>1352</v>
      </c>
      <c r="B52" s="3289" t="s">
        <v>1353</v>
      </c>
      <c r="C52" s="3289"/>
      <c r="D52" s="1024" t="e">
        <f ca="1">ROUND(D45*'数据-取费表'!B41/(1+'数据-取费表'!C42),0)</f>
        <v>#REF!</v>
      </c>
      <c r="E52" s="1256" t="s">
        <v>1354</v>
      </c>
      <c r="F52" s="2339">
        <f>'数据-取费表'!B41</f>
        <v>5.6000000000000001E-2</v>
      </c>
      <c r="G52" s="2340"/>
      <c r="H52" s="2330"/>
      <c r="I52" s="1669"/>
      <c r="J52" s="2309">
        <v>1</v>
      </c>
      <c r="K52" s="3354" t="s">
        <v>1355</v>
      </c>
      <c r="L52" s="3354"/>
      <c r="M52" s="2311" t="b">
        <f>D48</f>
        <v>0</v>
      </c>
      <c r="N52" s="2309" t="str">
        <f>E48</f>
        <v>销售额×税（费）率</v>
      </c>
      <c r="O52" s="2312">
        <f>F48</f>
        <v>5.6000000000000001E-2</v>
      </c>
    </row>
    <row r="53" spans="1:35" ht="12" customHeight="1">
      <c r="A53" s="2152" t="s">
        <v>1356</v>
      </c>
      <c r="B53" s="3315" t="s">
        <v>2291</v>
      </c>
      <c r="C53" s="3316"/>
      <c r="D53" s="1024" t="e">
        <f ca="1">ROUND(D45*'数据-取费表'!B41/(1+'数据-取费表'!C42),0)</f>
        <v>#REF!</v>
      </c>
      <c r="E53" s="1256" t="s">
        <v>1354</v>
      </c>
      <c r="F53" s="2339">
        <f>'数据-取费表'!B41</f>
        <v>5.6000000000000001E-2</v>
      </c>
      <c r="G53" s="2340"/>
      <c r="H53" s="2330"/>
      <c r="I53" s="1669"/>
      <c r="J53" s="2309">
        <v>2</v>
      </c>
      <c r="K53" s="3354" t="s">
        <v>1357</v>
      </c>
      <c r="L53" s="3354"/>
      <c r="M53" s="2311" t="e">
        <f t="shared" ref="M53:O54" ca="1" si="0">D55</f>
        <v>#REF!</v>
      </c>
      <c r="N53" s="2309" t="str">
        <f t="shared" si="0"/>
        <v>销售额×税（费）率</v>
      </c>
      <c r="O53" s="2312" t="str">
        <f t="shared" si="0"/>
        <v>免征</v>
      </c>
    </row>
    <row r="54" spans="1:35" ht="12" customHeight="1">
      <c r="A54" s="2152" t="s">
        <v>1358</v>
      </c>
      <c r="B54" s="3315" t="s">
        <v>2292</v>
      </c>
      <c r="C54" s="3316"/>
      <c r="D54" s="1024" t="e">
        <f ca="1">C68</f>
        <v>#REF!</v>
      </c>
      <c r="E54" s="319" t="s">
        <v>1359</v>
      </c>
      <c r="F54" s="2339">
        <f>'数据-取费表'!B41</f>
        <v>5.6000000000000001E-2</v>
      </c>
      <c r="G54" s="2340"/>
      <c r="H54" s="2341"/>
      <c r="I54" s="1669"/>
      <c r="J54" s="2309">
        <v>3</v>
      </c>
      <c r="K54" s="3354" t="s">
        <v>1360</v>
      </c>
      <c r="L54" s="3354"/>
      <c r="M54" s="2311" t="e">
        <f t="shared" ca="1" si="0"/>
        <v>#REF!</v>
      </c>
      <c r="N54" s="2309" t="str">
        <f t="shared" si="0"/>
        <v>增值额×税（费）率</v>
      </c>
      <c r="O54" s="2313" t="str">
        <f t="shared" si="0"/>
        <v>免征</v>
      </c>
    </row>
    <row r="55" spans="1:35" ht="24" customHeight="1">
      <c r="A55" s="3304" t="s">
        <v>1361</v>
      </c>
      <c r="B55" s="3305"/>
      <c r="C55" s="3305"/>
      <c r="D55" s="12" t="e">
        <f ca="1">IF(H55="个人住宅",0,ROUND(D45*I55,0))</f>
        <v>#REF!</v>
      </c>
      <c r="E55" s="1256" t="s">
        <v>1362</v>
      </c>
      <c r="F55" s="2339" t="str">
        <f>IF(H55="正常",I55,"免征")</f>
        <v>免征</v>
      </c>
      <c r="G55" s="2340"/>
      <c r="H55" s="2336"/>
      <c r="I55" s="157">
        <f>'数据-取费表'!B49</f>
        <v>5.0000000000000001E-4</v>
      </c>
      <c r="J55" s="2309">
        <f>IF(H59="非个人房产","",4)</f>
        <v>4</v>
      </c>
      <c r="K55" s="3354" t="str">
        <f>IF(H59="非个人房产","——","个人所得税")</f>
        <v>个人所得税</v>
      </c>
      <c r="L55" s="3354"/>
      <c r="M55" s="2314" t="e">
        <f ca="1">D59</f>
        <v>#REF!</v>
      </c>
      <c r="N55" s="1882" t="str">
        <f>E59</f>
        <v>差额计税</v>
      </c>
      <c r="O55" s="2315">
        <f>F59</f>
        <v>0.01</v>
      </c>
    </row>
    <row r="56" spans="1:35" ht="24.75">
      <c r="A56" s="3304" t="s">
        <v>1363</v>
      </c>
      <c r="B56" s="3305"/>
      <c r="C56" s="3305"/>
      <c r="D56" s="12" t="e">
        <f ca="1">IF(H56="个人住宅",D57,D58)</f>
        <v>#REF!</v>
      </c>
      <c r="E56" s="1256" t="s">
        <v>1364</v>
      </c>
      <c r="F56" s="2339" t="str">
        <f>IF(H56="正常",F58,"免征")</f>
        <v>免征</v>
      </c>
      <c r="G56" s="2342" t="s">
        <v>1365</v>
      </c>
      <c r="H56" s="2343"/>
      <c r="I56" s="1670"/>
      <c r="J56" s="2309" t="str">
        <f>IF(项目基本情况!K6="上海银行",IF(J55="",4,J55+1),"")</f>
        <v/>
      </c>
      <c r="K56" s="3377" t="str">
        <f>IF(项目基本情况!K6="上海银行","其他处置费用","")</f>
        <v/>
      </c>
      <c r="L56" s="3378"/>
      <c r="M56" s="2311" t="str">
        <f>IF(项目基本情况!K6="上海银行",M69,"")</f>
        <v/>
      </c>
      <c r="N56" s="3377" t="str">
        <f>IF(项目基本情况!K6="上海银行","包含处置中涉及的律师、诉讼、拍卖、评估等费用","")</f>
        <v/>
      </c>
      <c r="O56" s="3380"/>
    </row>
    <row r="57" spans="1:35" ht="12.75">
      <c r="A57" s="2152" t="s">
        <v>1341</v>
      </c>
      <c r="B57" s="3315" t="s">
        <v>1366</v>
      </c>
      <c r="C57" s="3316"/>
      <c r="D57" s="1478">
        <v>0</v>
      </c>
      <c r="E57" s="316" t="s">
        <v>1343</v>
      </c>
      <c r="F57" s="294"/>
      <c r="G57" s="2340"/>
      <c r="H57" s="2344"/>
      <c r="I57" s="1670"/>
      <c r="J57" s="3354">
        <f>IF(AND(J55="",J56=""),4,IF(项目基本情况!K6="上海银行",结果表!J56+1,结果表!J55+1))</f>
        <v>5</v>
      </c>
      <c r="K57" s="3354" t="s">
        <v>1367</v>
      </c>
      <c r="L57" s="2316" t="s">
        <v>1368</v>
      </c>
      <c r="M57" s="2317"/>
      <c r="N57" s="2318">
        <f ca="1">SUMIF(M52:M56,"&lt;9e307")</f>
        <v>0</v>
      </c>
      <c r="O57" s="2319"/>
      <c r="P57" s="2464" t="e">
        <f ca="1">N57/M49</f>
        <v>#VALUE!</v>
      </c>
    </row>
    <row r="58" spans="1:35" ht="24.75">
      <c r="A58" s="2152" t="s">
        <v>1352</v>
      </c>
      <c r="B58" s="3315" t="s">
        <v>1369</v>
      </c>
      <c r="C58" s="3289"/>
      <c r="D58" s="12" t="e">
        <f ca="1">IF(H58="转让取得",C81,C97)</f>
        <v>#REF!</v>
      </c>
      <c r="E58" s="1256" t="s">
        <v>1364</v>
      </c>
      <c r="F58" s="294" t="s">
        <v>28</v>
      </c>
      <c r="G58" s="2340"/>
      <c r="H58" s="2343"/>
      <c r="I58" s="1670"/>
      <c r="J58" s="3354"/>
      <c r="K58" s="3354"/>
      <c r="L58" s="2316" t="s">
        <v>1370</v>
      </c>
      <c r="M58" s="2320"/>
      <c r="N58" s="2321" t="str">
        <f ca="1">NUMBERSTRING(INT(N57*10000),2)&amp;"元整"</f>
        <v>零元整</v>
      </c>
      <c r="O58" s="2322"/>
    </row>
    <row r="59" spans="1:35" ht="24.75" thickBot="1">
      <c r="A59" s="3357" t="s">
        <v>1371</v>
      </c>
      <c r="B59" s="3358"/>
      <c r="C59" s="335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55">
        <f>J57+1</f>
        <v>6</v>
      </c>
      <c r="K59" s="3354" t="s">
        <v>1372</v>
      </c>
      <c r="L59" s="2309" t="s">
        <v>1368</v>
      </c>
      <c r="M59" s="2323"/>
      <c r="N59" s="2324" t="e">
        <f ca="1">M49-N57</f>
        <v>#VALUE!</v>
      </c>
      <c r="O59" s="2325"/>
    </row>
    <row r="60" spans="1:35" ht="12" customHeight="1">
      <c r="A60" s="1671"/>
      <c r="B60" s="646"/>
      <c r="C60" s="646"/>
      <c r="D60" s="646"/>
      <c r="E60" s="1466"/>
      <c r="F60" s="1670"/>
      <c r="G60" s="1670"/>
      <c r="H60" s="151"/>
      <c r="I60" s="121"/>
      <c r="J60" s="3356"/>
      <c r="K60" s="3354"/>
      <c r="L60" s="2316" t="s">
        <v>1370</v>
      </c>
      <c r="M60" s="2320"/>
      <c r="N60" s="2321" t="e">
        <f ca="1">NUMBERSTRING(INT(N59*10000),2)&amp;"元整"</f>
        <v>#VALUE!</v>
      </c>
      <c r="O60" s="2322"/>
    </row>
    <row r="61" spans="1:35" ht="13.5" thickBot="1">
      <c r="A61" s="3302" t="s">
        <v>1373</v>
      </c>
      <c r="B61" s="3302"/>
      <c r="C61" s="3302"/>
      <c r="D61" s="3302"/>
      <c r="E61" s="3302"/>
      <c r="F61" s="1670"/>
      <c r="G61" s="1670"/>
      <c r="H61" s="151"/>
      <c r="I61" s="121"/>
      <c r="J61" s="2309">
        <f>J59+1</f>
        <v>7</v>
      </c>
      <c r="K61" s="3354" t="s">
        <v>1374</v>
      </c>
      <c r="L61" s="3354"/>
      <c r="M61" s="2326"/>
      <c r="N61" s="2327" t="e">
        <f ca="1">ROUND(N59*10000/'数据-汇总表'!E3,0)</f>
        <v>#VALUE!</v>
      </c>
      <c r="O61" s="2328"/>
    </row>
    <row r="62" spans="1:35" ht="12.75">
      <c r="A62" s="3320" t="s">
        <v>1375</v>
      </c>
      <c r="B62" s="3321"/>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7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7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7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79"/>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7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7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79"/>
      <c r="K69" s="1245" t="s">
        <v>1393</v>
      </c>
      <c r="L69" s="1245"/>
      <c r="M69" s="294" t="e">
        <f>ROUND(SUM(M63:M68),0)</f>
        <v>#VALUE!</v>
      </c>
      <c r="N69" s="2331" t="e">
        <f>M69/M49</f>
        <v>#VALUE!</v>
      </c>
      <c r="Z69" s="1623"/>
      <c r="AI69" s="1561"/>
    </row>
    <row r="70" spans="1:35" s="642" customFormat="1" ht="15" thickBot="1">
      <c r="A70" s="3341" t="s">
        <v>1394</v>
      </c>
      <c r="B70" s="3342"/>
      <c r="C70" s="3342"/>
      <c r="D70" s="3342"/>
      <c r="E70" s="3342"/>
      <c r="F70" s="3342"/>
      <c r="G70" s="3342"/>
      <c r="H70" s="334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0" t="s">
        <v>1375</v>
      </c>
      <c r="B71" s="3321"/>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5" t="s">
        <v>1402</v>
      </c>
      <c r="F76" s="3289"/>
      <c r="G76" s="3289"/>
      <c r="H76" s="334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1" t="s">
        <v>1410</v>
      </c>
      <c r="B83" s="3342"/>
      <c r="C83" s="3342"/>
      <c r="D83" s="3342"/>
      <c r="E83" s="3342"/>
      <c r="F83" s="3342"/>
      <c r="G83" s="3342"/>
      <c r="H83" s="334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0" t="s">
        <v>1375</v>
      </c>
      <c r="B84" s="3321"/>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81" t="s">
        <v>2129</v>
      </c>
      <c r="H90" s="338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10" t="s">
        <v>1426</v>
      </c>
      <c r="F94" s="3311"/>
      <c r="G94" s="3311"/>
      <c r="H94" s="331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70" t="str">
        <f>C4</f>
        <v>收益法 (元)</v>
      </c>
      <c r="D101" s="2371" t="str">
        <f>D4</f>
        <v>比较法-住宅</v>
      </c>
      <c r="E101" s="3376" t="s">
        <v>1431</v>
      </c>
      <c r="F101" s="3333"/>
      <c r="G101" s="1687" t="s">
        <v>1432</v>
      </c>
      <c r="H101" s="2380" t="e">
        <f ca="1">H118</f>
        <v>#REF!</v>
      </c>
      <c r="I101" s="121"/>
    </row>
    <row r="102" spans="1:35" ht="18.75" customHeight="1">
      <c r="A102" s="3335" t="s">
        <v>1433</v>
      </c>
      <c r="B102" s="2369" t="s">
        <v>1432</v>
      </c>
      <c r="C102" s="2370">
        <f ca="1">IF(D32="楼面单价",ROUND(C19,0),C19)</f>
        <v>188.44589999999999</v>
      </c>
      <c r="D102" s="2371">
        <f ca="1">IF(D32="楼面单价",ROUND(D19,0),D19)</f>
        <v>371.94080000000002</v>
      </c>
      <c r="E102" s="3376"/>
      <c r="F102" s="3333"/>
      <c r="G102" s="1687" t="s">
        <v>1434</v>
      </c>
      <c r="H102" s="2340" t="e">
        <f ca="1">I118</f>
        <v>#REF!</v>
      </c>
      <c r="I102" s="121"/>
    </row>
    <row r="103" spans="1:35" ht="42.75" customHeight="1">
      <c r="A103" s="3335"/>
      <c r="B103" s="2369" t="s">
        <v>1434</v>
      </c>
      <c r="C103" s="2372">
        <f ca="1">C20</f>
        <v>29458</v>
      </c>
      <c r="D103" s="2373">
        <f ca="1">D20</f>
        <v>58143</v>
      </c>
      <c r="E103" s="3370" t="s">
        <v>1435</v>
      </c>
      <c r="F103" s="3371"/>
      <c r="G103" s="1688" t="s">
        <v>1436</v>
      </c>
      <c r="H103" s="2380">
        <f>IF(D36="正常操作",H104+H105+H106,H105+H106)</f>
        <v>0</v>
      </c>
      <c r="I103" s="121"/>
    </row>
    <row r="104" spans="1:35" ht="18.75" customHeight="1">
      <c r="A104" s="3335"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3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32" t="str">
        <f>IF(项目基本情况!E8="已注销","——","3.房地产抵押价值")</f>
        <v>3.房地产抵押价值</v>
      </c>
      <c r="F107" s="3333"/>
      <c r="G107" s="1687" t="s">
        <v>1432</v>
      </c>
      <c r="H107" s="2380" t="e">
        <f ca="1">IF(E107="——","——",H101-H103)</f>
        <v>#REF!</v>
      </c>
      <c r="I107" s="121"/>
    </row>
    <row r="108" spans="1:35" ht="18.75" customHeight="1">
      <c r="A108" s="121"/>
      <c r="B108" s="121"/>
      <c r="C108" s="121"/>
      <c r="D108" s="121"/>
      <c r="E108" s="3332"/>
      <c r="F108" s="3333"/>
      <c r="G108" s="1687" t="s">
        <v>1434</v>
      </c>
      <c r="H108" s="2340">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7" t="s">
        <v>1432</v>
      </c>
      <c r="H109" s="2383" t="str">
        <f>IF(E109="——","——",H101-H105-H106)</f>
        <v>——</v>
      </c>
      <c r="I109" s="121"/>
    </row>
    <row r="110" spans="1:35" ht="18.75" customHeight="1">
      <c r="A110" s="121"/>
      <c r="B110" s="121"/>
      <c r="C110" s="121"/>
      <c r="D110" s="121"/>
      <c r="E110" s="3332"/>
      <c r="F110" s="3333"/>
      <c r="G110" s="1687" t="s">
        <v>1434</v>
      </c>
      <c r="H110" s="2340"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v>
      </c>
      <c r="F111" s="3334"/>
      <c r="G111" s="1687" t="s">
        <v>1432</v>
      </c>
      <c r="H111" s="2380" t="str">
        <f>IF(E111="——","——",N59)</f>
        <v>——</v>
      </c>
      <c r="I111" s="121"/>
    </row>
    <row r="112" spans="1:35" ht="18.75" customHeight="1" thickBot="1">
      <c r="A112" s="121"/>
      <c r="B112" s="121"/>
      <c r="C112" s="121"/>
      <c r="D112" s="121"/>
      <c r="E112" s="3365"/>
      <c r="F112" s="3366"/>
      <c r="G112" s="1690" t="s">
        <v>1434</v>
      </c>
      <c r="H112" s="2384"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1"/>
      <c r="F114" s="1671"/>
      <c r="G114" s="1671"/>
      <c r="H114" s="1671"/>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63.97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03" t="s">
        <v>1452</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
      </c>
      <c r="B120" s="3368"/>
      <c r="C120" s="3369"/>
      <c r="D120" s="3367">
        <f>H103</f>
        <v>0</v>
      </c>
      <c r="E120" s="3368"/>
      <c r="F120" s="3368"/>
      <c r="G120" s="3368"/>
      <c r="H120" s="3368"/>
      <c r="I120" s="336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
      </c>
      <c r="B122" s="3334"/>
      <c r="C122" s="3334"/>
      <c r="D122" s="3367" t="e">
        <f ca="1">H107</f>
        <v>#REF!</v>
      </c>
      <c r="E122" s="3368"/>
      <c r="F122" s="3368"/>
      <c r="G122" s="3368"/>
      <c r="H122" s="3368"/>
      <c r="I122" s="3369"/>
      <c r="AA122" s="684"/>
    </row>
    <row r="123" spans="1:27" ht="18.75" customHeight="1">
      <c r="A123" s="3303" t="s">
        <v>1452</v>
      </c>
      <c r="B123" s="3303"/>
      <c r="C123" s="3303"/>
      <c r="D123" s="3343" t="e">
        <f ca="1">NUMBERSTRING(INT(D122*10000),2)&amp;"元整"</f>
        <v>#REF!</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
      </c>
      <c r="B126" s="3334"/>
      <c r="C126" s="3334"/>
      <c r="D126" s="3367" t="str">
        <f>H111</f>
        <v>——</v>
      </c>
      <c r="E126" s="3368"/>
      <c r="F126" s="3368"/>
      <c r="G126" s="3368"/>
      <c r="H126" s="3368"/>
      <c r="I126" s="3369"/>
      <c r="AA126" s="684"/>
    </row>
    <row r="127" spans="1:27" ht="18.75" customHeight="1">
      <c r="A127" s="3303" t="s">
        <v>1452</v>
      </c>
      <c r="B127" s="3303"/>
      <c r="C127" s="3303"/>
      <c r="D127" s="3343" t="e">
        <f>NUMBERSTRING(INT(D126*10000),2)&amp;"元整"</f>
        <v>#VALUE!</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63.97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63.97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63.97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83" t="s">
        <v>1544</v>
      </c>
    </row>
    <row r="43" spans="1:7" ht="13.5" customHeight="1">
      <c r="A43" s="734" t="s">
        <v>347</v>
      </c>
      <c r="B43" s="207" t="s">
        <v>1545</v>
      </c>
      <c r="C43" s="230">
        <f ca="1">ROUND(IF('数据-取费表'!B22&lt;=1,C39*F22*'数据-取费表'!B21/2,C39*(POWER((1+F22),'数据-取费表'!B21/2)-1)),0)</f>
        <v>0</v>
      </c>
      <c r="D43" s="230"/>
      <c r="E43" s="230"/>
      <c r="F43" s="231"/>
      <c r="G43" s="3384"/>
    </row>
    <row r="44" spans="1:7" ht="13.5" customHeight="1">
      <c r="A44" s="734" t="s">
        <v>348</v>
      </c>
      <c r="B44" s="207" t="s">
        <v>1546</v>
      </c>
      <c r="C44" s="230">
        <f ca="1">ROUND(IF('数据-取费表'!B22&lt;=1,C40*F22*'数据-取费表'!B21/2,C40*(POWER((1+F22),'数据-取费表'!B21/2)-1)),4)</f>
        <v>5.0000000000000001E-4</v>
      </c>
      <c r="D44" s="230"/>
      <c r="E44" s="230"/>
      <c r="F44" s="231"/>
      <c r="G44" s="3385"/>
    </row>
    <row r="45" spans="1:7" s="206" customFormat="1" ht="13.5" customHeight="1">
      <c r="A45" s="247" t="s">
        <v>1547</v>
      </c>
      <c r="B45" s="236" t="s">
        <v>1513</v>
      </c>
      <c r="C45" s="237">
        <f ca="1">C46</f>
        <v>3</v>
      </c>
      <c r="D45" s="227">
        <f ca="1">C47</f>
        <v>4.4999999999999997E-3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19</v>
      </c>
      <c r="D51" s="224"/>
      <c r="E51" s="224"/>
      <c r="F51" s="256"/>
      <c r="G51" s="226" t="s">
        <v>1560</v>
      </c>
    </row>
    <row r="52" spans="1:7" s="200" customFormat="1" ht="16.5" thickBot="1">
      <c r="A52" s="257" t="s">
        <v>1561</v>
      </c>
      <c r="B52" s="258"/>
      <c r="C52" s="259">
        <f ca="1">C31+C51</f>
        <v>20</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北京市房地产市场价值预评估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-156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63.97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8" t="s">
        <v>694</v>
      </c>
      <c r="C6" s="1011">
        <f ca="1">ROUND(F6*F8*F7*(1-F9)/10000,0)</f>
        <v>0</v>
      </c>
      <c r="D6" s="147" t="s">
        <v>2109</v>
      </c>
      <c r="E6" s="294" t="s">
        <v>696</v>
      </c>
      <c r="F6" s="295">
        <f ca="1">INDIRECT("'数据-取费表'!u"&amp;$G$1)</f>
        <v>0</v>
      </c>
      <c r="G6" s="1292"/>
      <c r="H6" s="1006" t="s">
        <v>398</v>
      </c>
      <c r="I6" s="3388" t="s">
        <v>694</v>
      </c>
      <c r="J6" s="293">
        <f ca="1">ROUND(M6*M8*M7*(1-M9)/10000,0)</f>
        <v>0</v>
      </c>
      <c r="K6" s="147" t="s">
        <v>2108</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0</v>
      </c>
      <c r="G7" s="1292"/>
      <c r="H7" s="296"/>
      <c r="I7" s="3389"/>
      <c r="J7" s="298"/>
      <c r="K7" s="299"/>
      <c r="L7" s="294" t="s">
        <v>697</v>
      </c>
      <c r="M7" s="295">
        <f ca="1">F7</f>
        <v>0</v>
      </c>
    </row>
    <row r="8" spans="1:37" ht="18" customHeight="1">
      <c r="A8" s="296"/>
      <c r="B8" s="3389"/>
      <c r="C8" s="298"/>
      <c r="D8" s="299"/>
      <c r="E8" s="294" t="s">
        <v>698</v>
      </c>
      <c r="F8" s="295">
        <f ca="1">INDIRECT("'数据-取费表'!ai"&amp;$G$1)</f>
        <v>0</v>
      </c>
      <c r="G8" s="1292"/>
      <c r="H8" s="296"/>
      <c r="I8" s="3389"/>
      <c r="J8" s="298"/>
      <c r="K8" s="299"/>
      <c r="L8" s="294" t="s">
        <v>698</v>
      </c>
      <c r="M8" s="295">
        <f ca="1">INDIRECT("'数据-取费表'!ai"&amp;$G$1)</f>
        <v>0</v>
      </c>
    </row>
    <row r="9" spans="1:37" ht="18" customHeight="1">
      <c r="A9" s="296"/>
      <c r="B9" s="3390"/>
      <c r="C9" s="298"/>
      <c r="D9" s="299"/>
      <c r="E9" s="294" t="s">
        <v>699</v>
      </c>
      <c r="F9" s="304">
        <f ca="1">INDIRECT("'数据-取费表'!w"&amp;$G$1)</f>
        <v>0</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86" t="s">
        <v>837</v>
      </c>
      <c r="L53" s="338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3" zoomScaleNormal="60" zoomScaleSheetLayoutView="100" workbookViewId="0">
      <selection activeCell="K35" sqref="K3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3406</v>
      </c>
      <c r="E1" s="3124" t="s">
        <v>3515</v>
      </c>
      <c r="F1" s="1735" t="s">
        <v>3514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371.94080000000002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58143</v>
      </c>
      <c r="C3" s="344" t="s">
        <v>1665</v>
      </c>
      <c r="D3" s="343">
        <f>IF(D1="",'数据-汇总表'!E3,SUMIF('数据-汇总表'!$C19:$C33,D1,'数据-汇总表'!$E19:$E33))</f>
        <v>63.97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09" t="s">
        <v>1667</v>
      </c>
      <c r="D4" s="3410"/>
      <c r="E4" s="3411" t="s">
        <v>1668</v>
      </c>
      <c r="F4" s="3412"/>
      <c r="G4" s="3409" t="s">
        <v>1669</v>
      </c>
      <c r="H4" s="3410"/>
      <c r="I4" s="3409" t="s">
        <v>1670</v>
      </c>
      <c r="J4" s="3410"/>
      <c r="K4" s="1744" t="s">
        <v>1671</v>
      </c>
      <c r="L4" s="2486"/>
      <c r="M4" s="2487"/>
      <c r="N4" s="2487"/>
      <c r="O4" s="2487"/>
      <c r="P4" s="3413" t="s">
        <v>1672</v>
      </c>
      <c r="Q4" s="3414"/>
      <c r="R4" s="3419" t="s">
        <v>1668</v>
      </c>
      <c r="S4" s="3420"/>
      <c r="T4" s="3419" t="s">
        <v>1669</v>
      </c>
      <c r="U4" s="3420"/>
      <c r="V4" s="3395" t="s">
        <v>1670</v>
      </c>
      <c r="W4" s="3395"/>
      <c r="X4" s="1265"/>
      <c r="Y4" s="3419" t="s">
        <v>1672</v>
      </c>
      <c r="Z4" s="3420"/>
      <c r="AA4" s="3406" t="s">
        <v>1668</v>
      </c>
      <c r="AB4" s="3406" t="s">
        <v>1669</v>
      </c>
      <c r="AC4" s="3406" t="s">
        <v>1670</v>
      </c>
    </row>
    <row r="5" spans="1:29" ht="15">
      <c r="A5" s="348"/>
      <c r="B5" s="349"/>
      <c r="C5" s="3432" t="s">
        <v>3488</v>
      </c>
      <c r="D5" s="3428"/>
      <c r="E5" s="3435" t="str">
        <f>C5</f>
        <v>甜水园北里</v>
      </c>
      <c r="F5" s="3436"/>
      <c r="G5" s="3427" t="str">
        <f>E5</f>
        <v>甜水园北里</v>
      </c>
      <c r="H5" s="3428"/>
      <c r="I5" s="3427" t="str">
        <f>G5</f>
        <v>甜水园北里</v>
      </c>
      <c r="J5" s="3428"/>
      <c r="K5" s="1745"/>
      <c r="L5" s="2486"/>
      <c r="M5" s="2487"/>
      <c r="N5" s="2487"/>
      <c r="O5" s="2487"/>
      <c r="P5" s="3415"/>
      <c r="Q5" s="3416"/>
      <c r="R5" s="3421"/>
      <c r="S5" s="3422"/>
      <c r="T5" s="3421"/>
      <c r="U5" s="3422"/>
      <c r="V5" s="3395"/>
      <c r="W5" s="3395"/>
      <c r="X5" s="1265"/>
      <c r="Y5" s="3421"/>
      <c r="Z5" s="3422"/>
      <c r="AA5" s="3407"/>
      <c r="AB5" s="3407"/>
      <c r="AC5" s="3407"/>
    </row>
    <row r="6" spans="1:29" ht="15.75" thickBot="1">
      <c r="A6" s="350"/>
      <c r="B6" s="351"/>
      <c r="C6" s="3425" t="s">
        <v>1677</v>
      </c>
      <c r="D6" s="3426"/>
      <c r="E6" s="3433" t="s">
        <v>1677</v>
      </c>
      <c r="F6" s="3434"/>
      <c r="G6" s="3425" t="s">
        <v>1677</v>
      </c>
      <c r="H6" s="3426"/>
      <c r="I6" s="3425" t="s">
        <v>1677</v>
      </c>
      <c r="J6" s="3426"/>
      <c r="K6" s="1745" t="s">
        <v>1678</v>
      </c>
      <c r="L6" s="2486"/>
      <c r="M6" s="2487"/>
      <c r="N6" s="2487"/>
      <c r="O6" s="2487"/>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45812</v>
      </c>
      <c r="D7" s="355">
        <v>100</v>
      </c>
      <c r="E7" s="356">
        <f>Sheet2!V4</f>
        <v>45804</v>
      </c>
      <c r="F7" s="357">
        <f>SUMIF(58:58,YEAR(E7)&amp;"-"&amp;MONTH(E7),59:59)</f>
        <v>100</v>
      </c>
      <c r="G7" s="356">
        <f>Sheet2!V6</f>
        <v>45772</v>
      </c>
      <c r="H7" s="355">
        <f>SUMIF(58:58,YEAR(G7)&amp;"-"&amp;MONTH(G7),59:59)</f>
        <v>100.2</v>
      </c>
      <c r="I7" s="356">
        <f>Sheet2!V7</f>
        <v>45760</v>
      </c>
      <c r="J7" s="355">
        <f>SUMIF(58:58,YEAR(I7)&amp;"-"&amp;MONTH(I7),59:59)</f>
        <v>100.2</v>
      </c>
      <c r="K7" s="1746"/>
      <c r="L7" s="2488"/>
      <c r="M7" s="2439"/>
      <c r="N7" s="2439"/>
      <c r="O7" s="2439"/>
      <c r="P7" s="3429" t="s">
        <v>1680</v>
      </c>
      <c r="Q7" s="3431"/>
      <c r="R7" s="664" t="s">
        <v>20</v>
      </c>
      <c r="S7" s="665">
        <f t="shared" ref="S7:S15" si="0">F7</f>
        <v>100</v>
      </c>
      <c r="T7" s="664" t="s">
        <v>20</v>
      </c>
      <c r="U7" s="665">
        <f t="shared" ref="U7:U15" si="1">H7</f>
        <v>100.2</v>
      </c>
      <c r="V7" s="664" t="s">
        <v>20</v>
      </c>
      <c r="W7" s="665">
        <f t="shared" ref="W7:W15" si="2">J7</f>
        <v>100.2</v>
      </c>
      <c r="X7" s="666"/>
      <c r="Y7" s="3429" t="s">
        <v>1680</v>
      </c>
      <c r="Z7" s="3430"/>
      <c r="AA7" s="50">
        <f>D7/F7</f>
        <v>1</v>
      </c>
      <c r="AB7" s="50">
        <f>D7/H7</f>
        <v>0.99800399201596801</v>
      </c>
      <c r="AC7" s="50">
        <f>D7/J7</f>
        <v>0.99800399201596801</v>
      </c>
    </row>
    <row r="8" spans="1:29" s="102" customFormat="1" ht="15.75" thickBot="1">
      <c r="A8" s="352" t="s">
        <v>1681</v>
      </c>
      <c r="B8" s="353"/>
      <c r="C8" s="358" t="s">
        <v>3513</v>
      </c>
      <c r="D8" s="355">
        <v>100</v>
      </c>
      <c r="E8" s="358" t="s">
        <v>3513</v>
      </c>
      <c r="F8" s="357">
        <f>SUMIF(61:61,E8,62:62)-SUMIF(61:61,C8,62:62)+100</f>
        <v>100</v>
      </c>
      <c r="G8" s="358" t="s">
        <v>3513</v>
      </c>
      <c r="H8" s="355">
        <f>SUMIF(61:61,G8,62:62)-SUMIF(61:61,C8,62:62)+100</f>
        <v>100</v>
      </c>
      <c r="I8" s="358" t="s">
        <v>3513</v>
      </c>
      <c r="J8" s="355">
        <f>SUMIF(61:61,I8,62:62)-SUMIF(61:61,C8,62:62)+100</f>
        <v>100</v>
      </c>
      <c r="K8" s="1746"/>
      <c r="L8" s="2488"/>
      <c r="M8" s="2439"/>
      <c r="N8" s="2439"/>
      <c r="O8" s="2439"/>
      <c r="P8" s="3429" t="s">
        <v>1683</v>
      </c>
      <c r="Q8" s="3430"/>
      <c r="R8" s="664" t="s">
        <v>20</v>
      </c>
      <c r="S8" s="665">
        <f t="shared" si="0"/>
        <v>100</v>
      </c>
      <c r="T8" s="664" t="s">
        <v>20</v>
      </c>
      <c r="U8" s="665">
        <f t="shared" si="1"/>
        <v>100</v>
      </c>
      <c r="V8" s="664" t="s">
        <v>20</v>
      </c>
      <c r="W8" s="665">
        <f t="shared" si="2"/>
        <v>100</v>
      </c>
      <c r="X8" s="666"/>
      <c r="Y8" s="3429" t="s">
        <v>1683</v>
      </c>
      <c r="Z8" s="343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05"/>
      <c r="Q11" s="530" t="str">
        <f t="shared" si="6"/>
        <v>容积率</v>
      </c>
      <c r="R11" s="664" t="s">
        <v>18</v>
      </c>
      <c r="S11" s="665">
        <f t="shared" si="0"/>
        <v>100</v>
      </c>
      <c r="T11" s="664" t="s">
        <v>18</v>
      </c>
      <c r="U11" s="665">
        <f t="shared" si="1"/>
        <v>100</v>
      </c>
      <c r="V11" s="664" t="s">
        <v>18</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5"/>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5"/>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5"/>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3"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04"/>
      <c r="Q16" s="1263"/>
      <c r="R16" s="667"/>
      <c r="S16" s="668"/>
      <c r="T16" s="667"/>
      <c r="U16" s="668"/>
      <c r="V16" s="667"/>
      <c r="W16" s="668"/>
      <c r="X16" s="1265"/>
      <c r="Y16" s="3397"/>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4"/>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04"/>
      <c r="Q18" s="1263"/>
      <c r="R18" s="667"/>
      <c r="S18" s="668"/>
      <c r="T18" s="667"/>
      <c r="U18" s="668"/>
      <c r="V18" s="667"/>
      <c r="W18" s="668"/>
      <c r="X18" s="1265"/>
      <c r="Y18" s="3397"/>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4"/>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04"/>
      <c r="Q20" s="1263"/>
      <c r="R20" s="667"/>
      <c r="S20" s="668"/>
      <c r="T20" s="667"/>
      <c r="U20" s="668"/>
      <c r="V20" s="667"/>
      <c r="W20" s="668"/>
      <c r="X20" s="1265"/>
      <c r="Y20" s="3397"/>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4"/>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04"/>
      <c r="Q22" s="1263"/>
      <c r="R22" s="667"/>
      <c r="S22" s="668"/>
      <c r="T22" s="667"/>
      <c r="U22" s="668"/>
      <c r="V22" s="667"/>
      <c r="W22" s="668"/>
      <c r="X22" s="1265"/>
      <c r="Y22" s="3397"/>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4"/>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04"/>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3490</v>
      </c>
      <c r="D26" s="374">
        <v>100</v>
      </c>
      <c r="E26" s="399" t="s">
        <v>3484</v>
      </c>
      <c r="F26" s="374">
        <f>SUMIF(88:88,E26,89:89)-SUMIF(88:88,C26,89:89)+100</f>
        <v>98.5</v>
      </c>
      <c r="G26" s="1760" t="s">
        <v>3486</v>
      </c>
      <c r="H26" s="374">
        <f>SUMIF(88:88,G26,89:89)-SUMIF(88:88,C26,89:89)+100</f>
        <v>99.5</v>
      </c>
      <c r="I26" s="1760" t="s">
        <v>3480</v>
      </c>
      <c r="J26" s="374">
        <f>SUMIF(88:88,I26,89:89)-SUMIF(88:88,C26,89:89)+100</f>
        <v>99</v>
      </c>
      <c r="K26" s="365">
        <v>0.5</v>
      </c>
      <c r="L26" s="2492"/>
      <c r="M26" s="2487"/>
      <c r="N26" s="2487"/>
      <c r="O26" s="2487"/>
      <c r="P26" s="3404"/>
      <c r="Q26" s="1263" t="str">
        <f t="shared" si="11"/>
        <v>朝向</v>
      </c>
      <c r="R26" s="667" t="s">
        <v>18</v>
      </c>
      <c r="S26" s="668">
        <f t="shared" si="12"/>
        <v>98.5</v>
      </c>
      <c r="T26" s="667" t="s">
        <v>18</v>
      </c>
      <c r="U26" s="668">
        <f t="shared" si="13"/>
        <v>99.5</v>
      </c>
      <c r="V26" s="667" t="s">
        <v>18</v>
      </c>
      <c r="W26" s="668">
        <f t="shared" si="14"/>
        <v>99</v>
      </c>
      <c r="X26" s="1265"/>
      <c r="Y26" s="3397"/>
      <c r="Z26" s="1264" t="str">
        <f>Q26</f>
        <v>朝向</v>
      </c>
      <c r="AA26" s="1264">
        <f t="shared" si="15"/>
        <v>1.015228426395939</v>
      </c>
      <c r="AB26" s="1264">
        <f t="shared" si="16"/>
        <v>1.0050251256281406</v>
      </c>
      <c r="AC26" s="1264">
        <f t="shared" si="17"/>
        <v>1.0101010101010102</v>
      </c>
    </row>
    <row r="27" spans="1:29" s="102" customFormat="1" ht="15">
      <c r="A27" s="370"/>
      <c r="B27" s="1066">
        <v>111</v>
      </c>
      <c r="C27" s="403" t="str">
        <f>C90</f>
        <v>5/6</v>
      </c>
      <c r="D27" s="401">
        <v>100</v>
      </c>
      <c r="E27" s="403" t="str">
        <f>D90</f>
        <v>5/12</v>
      </c>
      <c r="F27" s="401">
        <f>SUMIF(90:90,E27,91:91)-SUMIF(90:90,C27,91:91)+100</f>
        <v>101</v>
      </c>
      <c r="G27" s="402" t="str">
        <f>E90</f>
        <v>10/18</v>
      </c>
      <c r="H27" s="401">
        <f>SUMIF(90:90,G27,91:91)-SUMIF(90:90,C27,91:91)+100</f>
        <v>101</v>
      </c>
      <c r="I27" s="402" t="str">
        <f>F90</f>
        <v>2/18</v>
      </c>
      <c r="J27" s="401">
        <f>SUMIF(90:90,I27,91:91)-SUMIF(90:90,C27,91:91)+100</f>
        <v>100</v>
      </c>
      <c r="K27" s="1747"/>
      <c r="L27" s="2488"/>
      <c r="M27" s="2439"/>
      <c r="N27" s="2439"/>
      <c r="O27" s="2439"/>
      <c r="P27" s="3404"/>
      <c r="Q27" s="530">
        <f t="shared" si="11"/>
        <v>111</v>
      </c>
      <c r="R27" s="664" t="s">
        <v>18</v>
      </c>
      <c r="S27" s="665">
        <f t="shared" si="12"/>
        <v>101</v>
      </c>
      <c r="T27" s="664" t="s">
        <v>18</v>
      </c>
      <c r="U27" s="665">
        <f t="shared" si="13"/>
        <v>101</v>
      </c>
      <c r="V27" s="664" t="s">
        <v>18</v>
      </c>
      <c r="W27" s="665">
        <f t="shared" si="14"/>
        <v>100</v>
      </c>
      <c r="X27" s="666"/>
      <c r="Y27" s="3397"/>
      <c r="Z27" s="50">
        <f>Q27</f>
        <v>111</v>
      </c>
      <c r="AA27" s="1264">
        <f t="shared" si="15"/>
        <v>0.99009900990099009</v>
      </c>
      <c r="AB27" s="1264">
        <f t="shared" si="16"/>
        <v>0.99009900990099009</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4"/>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4"/>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4"/>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4"/>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3" t="s">
        <v>3507</v>
      </c>
      <c r="D32" s="405">
        <v>100</v>
      </c>
      <c r="E32" s="1764" t="s">
        <v>3647</v>
      </c>
      <c r="F32" s="400">
        <f>SUMIF(100:100,E32,101:101)-SUMIF(100:100,C32,101:101)+100</f>
        <v>97</v>
      </c>
      <c r="G32" s="1763" t="s">
        <v>3509</v>
      </c>
      <c r="H32" s="405">
        <f>SUMIF(100:100,G32,101:101)-SUMIF(100:100,C32,101:101)+100</f>
        <v>94</v>
      </c>
      <c r="I32" s="1764" t="s">
        <v>3509</v>
      </c>
      <c r="J32" s="374">
        <f>SUMIF(100:100,I32,101:101)-SUMIF(100:100,C32,101:101)+100</f>
        <v>94</v>
      </c>
      <c r="K32" s="365">
        <v>3</v>
      </c>
      <c r="L32" s="2492"/>
      <c r="M32" s="2487"/>
      <c r="N32" s="2487"/>
      <c r="O32" s="2487"/>
      <c r="P32" s="3398" t="s">
        <v>1696</v>
      </c>
      <c r="Q32" s="1263" t="str">
        <f t="shared" si="11"/>
        <v>建筑类型</v>
      </c>
      <c r="R32" s="667" t="s">
        <v>18</v>
      </c>
      <c r="S32" s="668">
        <f t="shared" si="12"/>
        <v>97</v>
      </c>
      <c r="T32" s="667" t="s">
        <v>18</v>
      </c>
      <c r="U32" s="668">
        <f t="shared" si="13"/>
        <v>94</v>
      </c>
      <c r="V32" s="667" t="s">
        <v>18</v>
      </c>
      <c r="W32" s="668">
        <f t="shared" si="14"/>
        <v>94</v>
      </c>
      <c r="X32" s="1265"/>
      <c r="Y32" s="3401" t="s">
        <v>1696</v>
      </c>
      <c r="Z32" s="1264" t="str">
        <f t="shared" si="18"/>
        <v>建筑类型</v>
      </c>
      <c r="AA32" s="1264">
        <f t="shared" si="15"/>
        <v>1.0309278350515463</v>
      </c>
      <c r="AB32" s="1264">
        <f t="shared" si="16"/>
        <v>1.0638297872340425</v>
      </c>
      <c r="AC32" s="1264">
        <f t="shared" si="17"/>
        <v>1.0638297872340425</v>
      </c>
    </row>
    <row r="33" spans="1:29" s="408" customFormat="1" ht="15">
      <c r="A33" s="406"/>
      <c r="B33" s="364" t="s">
        <v>1697</v>
      </c>
      <c r="C33" s="407">
        <f>'数据-汇总表'!F19</f>
        <v>63.97</v>
      </c>
      <c r="D33" s="119">
        <v>100</v>
      </c>
      <c r="E33" s="369">
        <f>Sheet2!K4</f>
        <v>88.59</v>
      </c>
      <c r="F33" s="364">
        <f>LOOKUP(E33,103:103,104:104)-LOOKUP(C33,103:103,104:104)+100</f>
        <v>100</v>
      </c>
      <c r="G33" s="368">
        <f>Sheet2!K6</f>
        <v>57.33</v>
      </c>
      <c r="H33" s="119">
        <f>LOOKUP(G33,103:103,104:104)-LOOKUP(C33,103:103,104:104)+100</f>
        <v>100</v>
      </c>
      <c r="I33" s="369">
        <f>Sheet2!K7</f>
        <v>61.55</v>
      </c>
      <c r="J33" s="119">
        <f>LOOKUP(I33,103:103,104:104)-LOOKUP(C33,103:103,104:104)+100</f>
        <v>100</v>
      </c>
      <c r="K33" s="1747"/>
      <c r="L33" s="2491"/>
      <c r="M33" s="2493"/>
      <c r="N33" s="2493"/>
      <c r="O33" s="2493"/>
      <c r="P33" s="3399"/>
      <c r="Q33" s="531" t="str">
        <f t="shared" si="11"/>
        <v>项目建筑规模</v>
      </c>
      <c r="R33" s="669" t="s">
        <v>18</v>
      </c>
      <c r="S33" s="670">
        <f t="shared" si="12"/>
        <v>100</v>
      </c>
      <c r="T33" s="669" t="s">
        <v>18</v>
      </c>
      <c r="U33" s="670">
        <f t="shared" si="13"/>
        <v>100</v>
      </c>
      <c r="V33" s="669" t="s">
        <v>18</v>
      </c>
      <c r="W33" s="670">
        <f t="shared" si="14"/>
        <v>100</v>
      </c>
      <c r="X33" s="671"/>
      <c r="Y33" s="3401"/>
      <c r="Z33" s="672" t="str">
        <f t="shared" si="18"/>
        <v>项目建筑规模</v>
      </c>
      <c r="AA33" s="1264">
        <f t="shared" si="15"/>
        <v>1</v>
      </c>
      <c r="AB33" s="1264">
        <f t="shared" si="16"/>
        <v>1</v>
      </c>
      <c r="AC33" s="1264">
        <f t="shared" si="17"/>
        <v>1</v>
      </c>
    </row>
    <row r="34" spans="1:29" ht="15">
      <c r="A34" s="409"/>
      <c r="B34" s="364" t="s">
        <v>1698</v>
      </c>
      <c r="C34" s="399" t="s">
        <v>3502</v>
      </c>
      <c r="D34" s="374">
        <v>100</v>
      </c>
      <c r="E34" s="1765" t="s">
        <v>3416</v>
      </c>
      <c r="F34" s="400">
        <f>SUMIF(105:105,E34,106:106)-SUMIF(105:105,C34,106:106)+100</f>
        <v>101</v>
      </c>
      <c r="G34" s="1765" t="s">
        <v>3416</v>
      </c>
      <c r="H34" s="374">
        <f>SUMIF(105:105,G34,106:106)-SUMIF(105:105,C34,106:106)+100</f>
        <v>101</v>
      </c>
      <c r="I34" s="1765" t="s">
        <v>3416</v>
      </c>
      <c r="J34" s="374">
        <f>SUMIF(105:105,I34,106:106)-SUMIF(105:105,C34,106:106)+100</f>
        <v>101</v>
      </c>
      <c r="K34" s="365">
        <v>1</v>
      </c>
      <c r="L34" s="2492"/>
      <c r="M34" s="2487"/>
      <c r="N34" s="2487"/>
      <c r="O34" s="2487"/>
      <c r="P34" s="3399"/>
      <c r="Q34" s="1263" t="str">
        <f t="shared" si="11"/>
        <v>建筑结构</v>
      </c>
      <c r="R34" s="667" t="s">
        <v>18</v>
      </c>
      <c r="S34" s="668">
        <f t="shared" si="12"/>
        <v>101</v>
      </c>
      <c r="T34" s="667" t="s">
        <v>18</v>
      </c>
      <c r="U34" s="668">
        <f t="shared" si="13"/>
        <v>101</v>
      </c>
      <c r="V34" s="667" t="s">
        <v>18</v>
      </c>
      <c r="W34" s="668">
        <f t="shared" si="14"/>
        <v>101</v>
      </c>
      <c r="X34" s="1265"/>
      <c r="Y34" s="3401"/>
      <c r="Z34" s="1264" t="str">
        <f t="shared" si="18"/>
        <v>建筑结构</v>
      </c>
      <c r="AA34" s="1264">
        <f t="shared" si="15"/>
        <v>0.99009900990099009</v>
      </c>
      <c r="AB34" s="1264">
        <f t="shared" si="16"/>
        <v>0.99009900990099009</v>
      </c>
      <c r="AC34" s="1264">
        <f t="shared" si="17"/>
        <v>0.99009900990099009</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9"/>
      <c r="Q35" s="1263" t="str">
        <f t="shared" si="11"/>
        <v>建筑品质</v>
      </c>
      <c r="R35" s="667" t="s">
        <v>18</v>
      </c>
      <c r="S35" s="668">
        <f t="shared" si="12"/>
        <v>100</v>
      </c>
      <c r="T35" s="667" t="s">
        <v>18</v>
      </c>
      <c r="U35" s="668">
        <f t="shared" si="13"/>
        <v>100</v>
      </c>
      <c r="V35" s="667" t="s">
        <v>18</v>
      </c>
      <c r="W35" s="668">
        <f t="shared" si="14"/>
        <v>100</v>
      </c>
      <c r="X35" s="1265"/>
      <c r="Y35" s="3401"/>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9"/>
      <c r="Q36" s="1263" t="str">
        <f t="shared" si="11"/>
        <v>公共部分装修</v>
      </c>
      <c r="R36" s="667" t="s">
        <v>18</v>
      </c>
      <c r="S36" s="668">
        <f t="shared" si="12"/>
        <v>100</v>
      </c>
      <c r="T36" s="667" t="s">
        <v>18</v>
      </c>
      <c r="U36" s="668">
        <f t="shared" si="13"/>
        <v>100</v>
      </c>
      <c r="V36" s="667" t="s">
        <v>18</v>
      </c>
      <c r="W36" s="668">
        <f t="shared" si="14"/>
        <v>100</v>
      </c>
      <c r="X36" s="1265"/>
      <c r="Y36" s="3401"/>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399"/>
      <c r="Q37" s="530" t="str">
        <f t="shared" si="11"/>
        <v>成新度</v>
      </c>
      <c r="R37" s="664" t="s">
        <v>18</v>
      </c>
      <c r="S37" s="665">
        <f t="shared" si="12"/>
        <v>100</v>
      </c>
      <c r="T37" s="664" t="s">
        <v>18</v>
      </c>
      <c r="U37" s="665">
        <f t="shared" si="13"/>
        <v>100</v>
      </c>
      <c r="V37" s="664" t="s">
        <v>18</v>
      </c>
      <c r="W37" s="665">
        <f t="shared" si="14"/>
        <v>100</v>
      </c>
      <c r="X37" s="666"/>
      <c r="Y37" s="3401"/>
      <c r="Z37" s="50" t="str">
        <f t="shared" si="18"/>
        <v>成新度</v>
      </c>
      <c r="AA37" s="50">
        <f t="shared" si="15"/>
        <v>1</v>
      </c>
      <c r="AB37" s="50">
        <f t="shared" si="16"/>
        <v>1</v>
      </c>
      <c r="AC37" s="50">
        <f t="shared" si="17"/>
        <v>1</v>
      </c>
    </row>
    <row r="38" spans="1:29" ht="15">
      <c r="A38" s="409"/>
      <c r="B38" s="364" t="s">
        <v>1702</v>
      </c>
      <c r="C38" s="1759" t="s">
        <v>3505</v>
      </c>
      <c r="D38" s="374">
        <v>100</v>
      </c>
      <c r="E38" s="1759" t="s">
        <v>3505</v>
      </c>
      <c r="F38" s="400">
        <f>SUMIF(114:114,E38,115:115)-SUMIF(114:114,C38,115:115)+100</f>
        <v>100</v>
      </c>
      <c r="G38" s="1759" t="s">
        <v>3505</v>
      </c>
      <c r="H38" s="374">
        <f>SUMIF(114:114,G38,115:115)-SUMIF(114:114,C38,115:115)+100</f>
        <v>100</v>
      </c>
      <c r="I38" s="1759" t="s">
        <v>3505</v>
      </c>
      <c r="J38" s="374">
        <f>SUMIF(114:114,I38,115:115)-SUMIF(114:114,C38,115:115)+100</f>
        <v>100</v>
      </c>
      <c r="K38" s="365"/>
      <c r="L38" s="2492"/>
      <c r="M38" s="2487"/>
      <c r="N38" s="2487"/>
      <c r="O38" s="2487"/>
      <c r="P38" s="3399" t="s">
        <v>1696</v>
      </c>
      <c r="Q38" s="1263" t="str">
        <f t="shared" si="11"/>
        <v>物业管理</v>
      </c>
      <c r="R38" s="667" t="s">
        <v>18</v>
      </c>
      <c r="S38" s="668">
        <f t="shared" si="12"/>
        <v>100</v>
      </c>
      <c r="T38" s="667" t="s">
        <v>18</v>
      </c>
      <c r="U38" s="668">
        <f t="shared" si="13"/>
        <v>100</v>
      </c>
      <c r="V38" s="667" t="s">
        <v>18</v>
      </c>
      <c r="W38" s="668">
        <f t="shared" si="14"/>
        <v>100</v>
      </c>
      <c r="X38" s="1265"/>
      <c r="Y38" s="3401"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9"/>
      <c r="Q39" s="1263" t="str">
        <f t="shared" si="11"/>
        <v>市政基础设施</v>
      </c>
      <c r="R39" s="667" t="s">
        <v>18</v>
      </c>
      <c r="S39" s="668">
        <f t="shared" si="12"/>
        <v>100</v>
      </c>
      <c r="T39" s="667" t="s">
        <v>18</v>
      </c>
      <c r="U39" s="668">
        <f t="shared" si="13"/>
        <v>100</v>
      </c>
      <c r="V39" s="667" t="s">
        <v>18</v>
      </c>
      <c r="W39" s="668">
        <f t="shared" si="14"/>
        <v>100</v>
      </c>
      <c r="X39" s="1265"/>
      <c r="Y39" s="3401"/>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9"/>
      <c r="Q40" s="1263" t="str">
        <f t="shared" si="11"/>
        <v>房型</v>
      </c>
      <c r="R40" s="667" t="s">
        <v>18</v>
      </c>
      <c r="S40" s="668">
        <f t="shared" si="12"/>
        <v>100</v>
      </c>
      <c r="T40" s="667" t="s">
        <v>18</v>
      </c>
      <c r="U40" s="668">
        <f t="shared" si="13"/>
        <v>100</v>
      </c>
      <c r="V40" s="667" t="s">
        <v>18</v>
      </c>
      <c r="W40" s="668">
        <f t="shared" si="14"/>
        <v>100</v>
      </c>
      <c r="X40" s="1265"/>
      <c r="Y40" s="340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4">
        <f t="shared" si="15"/>
        <v>1</v>
      </c>
      <c r="AB41" s="1264">
        <f t="shared" si="16"/>
        <v>1</v>
      </c>
      <c r="AC41" s="1264">
        <f t="shared" si="17"/>
        <v>1</v>
      </c>
    </row>
    <row r="42" spans="1:29" ht="15">
      <c r="A42" s="409"/>
      <c r="B42" s="364" t="s">
        <v>1706</v>
      </c>
      <c r="C42" s="1759" t="s">
        <v>3482</v>
      </c>
      <c r="D42" s="374">
        <v>100</v>
      </c>
      <c r="E42" s="1759" t="s">
        <v>3482</v>
      </c>
      <c r="F42" s="400">
        <f>SUMIF(122:122,E42,123:123)-SUMIF(122:122,C42,123:123)+100</f>
        <v>100</v>
      </c>
      <c r="G42" s="1759" t="s">
        <v>3482</v>
      </c>
      <c r="H42" s="374">
        <f>SUMIF(122:122,G42,123:123)-SUMIF(122:122,C42,123:123)+100</f>
        <v>100</v>
      </c>
      <c r="I42" s="1759" t="s">
        <v>3482</v>
      </c>
      <c r="J42" s="374">
        <f>SUMIF(122:122,I42,123:123)-SUMIF(122:122,C42,123:123)+100</f>
        <v>100</v>
      </c>
      <c r="K42" s="365"/>
      <c r="L42" s="2492"/>
      <c r="M42" s="2487"/>
      <c r="N42" s="2487"/>
      <c r="O42" s="2487"/>
      <c r="P42" s="3399"/>
      <c r="Q42" s="1263" t="str">
        <f t="shared" si="11"/>
        <v>内部装修</v>
      </c>
      <c r="R42" s="667" t="s">
        <v>18</v>
      </c>
      <c r="S42" s="668">
        <f t="shared" si="12"/>
        <v>100</v>
      </c>
      <c r="T42" s="667" t="s">
        <v>18</v>
      </c>
      <c r="U42" s="668">
        <f t="shared" si="13"/>
        <v>100</v>
      </c>
      <c r="V42" s="667" t="s">
        <v>18</v>
      </c>
      <c r="W42" s="668">
        <f t="shared" si="14"/>
        <v>100</v>
      </c>
      <c r="X42" s="1265"/>
      <c r="Y42" s="3401"/>
      <c r="Z42" s="1264" t="str">
        <f t="shared" si="18"/>
        <v>内部装修</v>
      </c>
      <c r="AA42" s="1264">
        <f t="shared" si="15"/>
        <v>1</v>
      </c>
      <c r="AB42" s="1264">
        <f t="shared" si="16"/>
        <v>1</v>
      </c>
      <c r="AC42" s="1264">
        <f t="shared" si="17"/>
        <v>1</v>
      </c>
    </row>
    <row r="43" spans="1:29" ht="15">
      <c r="A43" s="409"/>
      <c r="B43" s="364" t="s">
        <v>1707</v>
      </c>
      <c r="C43" s="1759" t="s">
        <v>3512</v>
      </c>
      <c r="D43" s="374">
        <v>100</v>
      </c>
      <c r="E43" s="1759" t="s">
        <v>3512</v>
      </c>
      <c r="F43" s="400">
        <f>SUMIF(124:124,E43,125:125)-SUMIF(124:124,C43,125:125)+100</f>
        <v>100</v>
      </c>
      <c r="G43" s="1759" t="s">
        <v>3512</v>
      </c>
      <c r="H43" s="374">
        <f>SUMIF(124:124,G43,125:125)-SUMIF(124:124,C43,125:125)+100</f>
        <v>100</v>
      </c>
      <c r="I43" s="1759" t="s">
        <v>3512</v>
      </c>
      <c r="J43" s="374">
        <f>SUMIF(124:124,I43,125:125)-SUMIF(124:124,C43,125:125)+100</f>
        <v>100</v>
      </c>
      <c r="K43" s="365"/>
      <c r="L43" s="2492"/>
      <c r="M43" s="2487"/>
      <c r="N43" s="2487"/>
      <c r="O43" s="2487"/>
      <c r="P43" s="3399"/>
      <c r="Q43" s="1263" t="str">
        <f t="shared" si="11"/>
        <v>内部装修维护情况</v>
      </c>
      <c r="R43" s="667" t="s">
        <v>18</v>
      </c>
      <c r="S43" s="668">
        <f t="shared" si="12"/>
        <v>100</v>
      </c>
      <c r="T43" s="667" t="s">
        <v>18</v>
      </c>
      <c r="U43" s="668">
        <f t="shared" si="13"/>
        <v>100</v>
      </c>
      <c r="V43" s="667" t="s">
        <v>18</v>
      </c>
      <c r="W43" s="668">
        <f t="shared" si="14"/>
        <v>100</v>
      </c>
      <c r="X43" s="1265"/>
      <c r="Y43" s="3401"/>
      <c r="Z43" s="1264" t="str">
        <f t="shared" si="18"/>
        <v>内部装修维护情况</v>
      </c>
      <c r="AA43" s="1264">
        <f t="shared" si="15"/>
        <v>1</v>
      </c>
      <c r="AB43" s="1264">
        <f t="shared" si="16"/>
        <v>1</v>
      </c>
      <c r="AC43" s="1264">
        <f t="shared" si="17"/>
        <v>1</v>
      </c>
    </row>
    <row r="44" spans="1:29" s="102" customFormat="1" ht="15">
      <c r="A44" s="410"/>
      <c r="B44" s="3192" t="s">
        <v>3526</v>
      </c>
      <c r="C44" s="3193" t="s">
        <v>3527</v>
      </c>
      <c r="D44" s="119">
        <v>100</v>
      </c>
      <c r="E44" s="3193" t="s">
        <v>3528</v>
      </c>
      <c r="F44" s="364">
        <f>SUMIF(126:126,E44,127:127)-SUMIF(126:126,C44,127:127)+100</f>
        <v>105</v>
      </c>
      <c r="G44" s="3193" t="s">
        <v>3528</v>
      </c>
      <c r="H44" s="119">
        <f>SUMIF(126:126,G44,127:127)-SUMIF(126:126,C44,127:127)+100</f>
        <v>105</v>
      </c>
      <c r="I44" s="3193" t="s">
        <v>3528</v>
      </c>
      <c r="J44" s="119">
        <f>SUMIF(126:126,I44,127:127)-SUMIF(126:126,C44,127:127)+100</f>
        <v>105</v>
      </c>
      <c r="K44" s="1747"/>
      <c r="L44" s="2488"/>
      <c r="M44" s="2439"/>
      <c r="N44" s="2439"/>
      <c r="O44" s="2439"/>
      <c r="P44" s="3399"/>
      <c r="Q44" s="530" t="str">
        <f t="shared" si="11"/>
        <v>有无电梯</v>
      </c>
      <c r="R44" s="664" t="s">
        <v>18</v>
      </c>
      <c r="S44" s="665">
        <f t="shared" si="12"/>
        <v>105</v>
      </c>
      <c r="T44" s="664" t="s">
        <v>18</v>
      </c>
      <c r="U44" s="665">
        <f t="shared" si="13"/>
        <v>105</v>
      </c>
      <c r="V44" s="664" t="s">
        <v>18</v>
      </c>
      <c r="W44" s="665">
        <f t="shared" si="14"/>
        <v>105</v>
      </c>
      <c r="X44" s="666"/>
      <c r="Y44" s="3401"/>
      <c r="Z44" s="50" t="str">
        <f t="shared" si="18"/>
        <v>有无电梯</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9"/>
      <c r="Q45" s="1263">
        <f t="shared" si="11"/>
        <v>111</v>
      </c>
      <c r="R45" s="667" t="s">
        <v>18</v>
      </c>
      <c r="S45" s="668">
        <f t="shared" si="12"/>
        <v>100</v>
      </c>
      <c r="T45" s="667" t="s">
        <v>18</v>
      </c>
      <c r="U45" s="668">
        <f t="shared" si="13"/>
        <v>100</v>
      </c>
      <c r="V45" s="667" t="s">
        <v>18</v>
      </c>
      <c r="W45" s="668">
        <f t="shared" si="14"/>
        <v>100</v>
      </c>
      <c r="X45" s="1265"/>
      <c r="Y45" s="3401"/>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0"/>
      <c r="Q46" s="1263">
        <f t="shared" si="11"/>
        <v>111</v>
      </c>
      <c r="R46" s="667" t="s">
        <v>17</v>
      </c>
      <c r="S46" s="668">
        <f t="shared" si="12"/>
        <v>100</v>
      </c>
      <c r="T46" s="667" t="s">
        <v>17</v>
      </c>
      <c r="U46" s="668">
        <f t="shared" si="13"/>
        <v>100</v>
      </c>
      <c r="V46" s="667" t="s">
        <v>17</v>
      </c>
      <c r="W46" s="668">
        <f t="shared" si="14"/>
        <v>100</v>
      </c>
      <c r="X46" s="1265"/>
      <c r="Y46" s="3402"/>
      <c r="Z46" s="1264">
        <f t="shared" si="18"/>
        <v>111</v>
      </c>
      <c r="AA46" s="1264">
        <f t="shared" si="15"/>
        <v>1</v>
      </c>
      <c r="AB46" s="1264">
        <f t="shared" si="16"/>
        <v>1</v>
      </c>
      <c r="AC46" s="1264">
        <f t="shared" si="17"/>
        <v>1</v>
      </c>
    </row>
    <row r="47" spans="1:29" ht="15">
      <c r="A47" s="416" t="s">
        <v>1708</v>
      </c>
      <c r="B47" s="417"/>
      <c r="C47" s="1081" t="s">
        <v>16</v>
      </c>
      <c r="D47" s="418"/>
      <c r="E47" s="419">
        <f>Sheet2!S4</f>
        <v>53166</v>
      </c>
      <c r="F47" s="420"/>
      <c r="G47" s="421">
        <f>Sheet2!S6</f>
        <v>61922</v>
      </c>
      <c r="H47" s="422"/>
      <c r="I47" s="419">
        <f>Sheet2!S7</f>
        <v>60114</v>
      </c>
      <c r="J47" s="422"/>
      <c r="K47" s="1766"/>
      <c r="L47" s="2494"/>
      <c r="M47" s="2487"/>
      <c r="N47" s="2487"/>
      <c r="O47" s="2487"/>
      <c r="P47" s="3394" t="str">
        <f>A47</f>
        <v>成交单价（元/平方米）</v>
      </c>
      <c r="Q47" s="3394"/>
      <c r="R47" s="3395">
        <f>E47</f>
        <v>53166</v>
      </c>
      <c r="S47" s="3395"/>
      <c r="T47" s="3395">
        <f>G47</f>
        <v>61922</v>
      </c>
      <c r="U47" s="3395"/>
      <c r="V47" s="3395">
        <f>I47</f>
        <v>60114</v>
      </c>
      <c r="W47" s="3395"/>
      <c r="X47" s="385"/>
      <c r="Y47" s="673"/>
      <c r="Z47" s="385"/>
      <c r="AA47" s="385"/>
      <c r="AB47" s="385"/>
      <c r="AC47" s="385"/>
    </row>
    <row r="48" spans="1:29" ht="15.75" thickBot="1">
      <c r="A48" s="423" t="s">
        <v>1709</v>
      </c>
      <c r="B48" s="424"/>
      <c r="C48" s="1082">
        <f>R49</f>
        <v>58143</v>
      </c>
      <c r="D48" s="2140" t="s">
        <v>2138</v>
      </c>
      <c r="E48" s="1083">
        <f>R48</f>
        <v>51951</v>
      </c>
      <c r="F48" s="2141"/>
      <c r="G48" s="1082">
        <f>T48</f>
        <v>61687</v>
      </c>
      <c r="H48" s="2141"/>
      <c r="I48" s="1083">
        <f>V48</f>
        <v>60790</v>
      </c>
      <c r="J48" s="2141"/>
      <c r="K48" s="2142">
        <f>F48+H48+J48</f>
        <v>0</v>
      </c>
      <c r="L48" s="2494"/>
      <c r="M48" s="2487"/>
      <c r="N48" s="2487"/>
      <c r="O48" s="2487"/>
      <c r="P48" s="3394" t="str">
        <f>A48</f>
        <v>比较价值（元/平方米）</v>
      </c>
      <c r="Q48" s="3394"/>
      <c r="R48" s="3395">
        <f>IF(F1="售价",ROUND(PRODUCT(R47,AA7:AA46),0),ROUND(PRODUCT(R47,AA7:AA46),1))</f>
        <v>51951</v>
      </c>
      <c r="S48" s="3395"/>
      <c r="T48" s="3395">
        <f>IF(F1="售价",ROUND(PRODUCT(T47,AB7:AB46),0),ROUND(PRODUCT(T47,AB7:AB46),1))</f>
        <v>61687</v>
      </c>
      <c r="U48" s="3395"/>
      <c r="V48" s="3395">
        <f>IF(F1="售价",ROUND(PRODUCT(V47,AC7:AC46),0),ROUND(PRODUCT(V47,AC7:AC46),1))</f>
        <v>60790</v>
      </c>
      <c r="W48" s="3395"/>
      <c r="X48" s="385"/>
      <c r="Y48" s="385"/>
      <c r="Z48" s="385"/>
      <c r="AA48" s="385"/>
      <c r="AB48" s="385"/>
      <c r="AC48" s="385"/>
    </row>
    <row r="49" spans="1:29" ht="15.75" thickBot="1">
      <c r="A49" s="427" t="s">
        <v>1710</v>
      </c>
      <c r="B49" s="428"/>
      <c r="C49" s="1084">
        <f>R49</f>
        <v>58143</v>
      </c>
      <c r="D49" s="351"/>
      <c r="E49" s="351"/>
      <c r="F49" s="351"/>
      <c r="G49" s="351"/>
      <c r="H49" s="351"/>
      <c r="I49" s="351"/>
      <c r="J49" s="351"/>
      <c r="K49" s="1767"/>
      <c r="L49" s="2494"/>
      <c r="M49" s="2487"/>
      <c r="N49" s="2487"/>
      <c r="O49" s="2487"/>
      <c r="P49" s="3391" t="str">
        <f>A49</f>
        <v>估价对象XX用房的比较价值（楼面单价，元/平方米）</v>
      </c>
      <c r="Q49" s="3392"/>
      <c r="R49" s="3393">
        <f>IF(F1="售价",ROUND(IF(D48="简单平均",AVERAGE(R48:V48),R48*F48+T48*H48+V48*J48),0),ROUND(IF(D48="简单平均",AVERAGE(R48:V48),R48*F48+T48*H48+V48*J48),1))</f>
        <v>58143</v>
      </c>
      <c r="S49" s="3393"/>
      <c r="T49" s="3393"/>
      <c r="U49" s="3393"/>
      <c r="V49" s="3393"/>
      <c r="W49" s="339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2.3387422763758048E-2</v>
      </c>
      <c r="F52" s="435" t="str">
        <f>IF(OR(E52&gt;=0.3,E52&lt;=-0.3),"超过30%","")</f>
        <v/>
      </c>
      <c r="G52" s="434">
        <f>IF(G47&lt;G48,G48/G47-1,G47/G48-1)</f>
        <v>3.8095546873733177E-3</v>
      </c>
      <c r="H52" s="435" t="str">
        <f>IF(OR(G52&gt;=0.3,G52&lt;=-0.3),"超过30%","")</f>
        <v/>
      </c>
      <c r="I52" s="434">
        <f>IF(I47&lt;I48,I48/I47-1,I47/I48-1)</f>
        <v>1.1245300595535079E-2</v>
      </c>
      <c r="J52" s="435" t="str">
        <f>IF(OR(I52&gt;=0.3,I52&lt;=-0.3),"超过30%","")</f>
        <v/>
      </c>
      <c r="K52" s="2499"/>
      <c r="L52" s="2495"/>
      <c r="M52" s="2487"/>
      <c r="N52" s="2487"/>
      <c r="O52" s="2487"/>
    </row>
    <row r="53" spans="1:29" ht="13.5" customHeight="1">
      <c r="A53" s="2487"/>
      <c r="B53" s="2487"/>
      <c r="C53" s="432" t="s">
        <v>1712</v>
      </c>
      <c r="D53" s="436"/>
      <c r="E53" s="434">
        <f>IF(E48&lt;G48,G48/E48-1,E48/G48-1)</f>
        <v>0.18740736463205709</v>
      </c>
      <c r="F53" s="435" t="str">
        <f>IF(OR(E53&gt;=0.2,E53&lt;=-0.2),"超过20%","")</f>
        <v/>
      </c>
      <c r="G53" s="434">
        <f>IF(G48&lt;I48,I48/G48-1,G48/I48-1)</f>
        <v>1.4755716400723706E-2</v>
      </c>
      <c r="H53" s="435" t="str">
        <f>IF(OR(G53&gt;=0.2,G53&lt;=-0.2),"超过20%","")</f>
        <v/>
      </c>
      <c r="I53" s="434">
        <f>IF(I48&lt;E48,E48/I48-1,I48/E48-1)</f>
        <v>0.17014109449288761</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0.16469172027235457</v>
      </c>
      <c r="F54" s="435" t="str">
        <f>IF(OR(E54&gt;=0.3,E54&lt;=-0.3),"超过30%","")</f>
        <v/>
      </c>
      <c r="G54" s="434">
        <f>IF(G47&lt;I47,I47/G47-1,G47/I47-1)</f>
        <v>3.0076188575040685E-2</v>
      </c>
      <c r="H54" s="435" t="str">
        <f>IF(OR(G54&gt;=0.3,G54&lt;=-0.3),"超过30%","")</f>
        <v/>
      </c>
      <c r="I54" s="434">
        <f>IF(I47&lt;E47,E47/I47-1,I47/E47-1)</f>
        <v>0.13068502426362705</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c r="R58" s="442" t="s">
        <v>3489</v>
      </c>
      <c r="S58" s="442">
        <f>R58/R59</f>
        <v>1.002016129032258</v>
      </c>
    </row>
    <row r="59" spans="1:29" s="102" customFormat="1" ht="15">
      <c r="A59" s="443"/>
      <c r="B59" s="1771"/>
      <c r="C59" s="1102">
        <v>100</v>
      </c>
      <c r="D59" s="445">
        <v>100</v>
      </c>
      <c r="E59" s="446">
        <v>100.2</v>
      </c>
      <c r="F59" s="446"/>
      <c r="G59" s="446"/>
      <c r="H59" s="446"/>
      <c r="I59" s="446"/>
      <c r="J59" s="446"/>
      <c r="K59" s="446"/>
      <c r="L59" s="446"/>
      <c r="M59" s="447"/>
      <c r="N59" s="446"/>
      <c r="O59" s="447"/>
      <c r="P59" s="1772"/>
      <c r="R59" s="102">
        <v>99.2</v>
      </c>
      <c r="S59" s="102">
        <v>100</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20.25" thickTop="1" thickBot="1">
      <c r="A88" s="370"/>
      <c r="B88" s="469" t="s">
        <v>1735</v>
      </c>
      <c r="C88" s="3187" t="s">
        <v>3490</v>
      </c>
      <c r="D88" s="3188" t="s">
        <v>3486</v>
      </c>
      <c r="E88" s="3188" t="s">
        <v>3480</v>
      </c>
      <c r="F88" s="3188" t="s">
        <v>3484</v>
      </c>
      <c r="G88" s="3188" t="s">
        <v>3491</v>
      </c>
      <c r="H88" s="3188" t="s">
        <v>3492</v>
      </c>
      <c r="I88" s="3188" t="s">
        <v>3493</v>
      </c>
      <c r="J88" s="3188" t="s">
        <v>3494</v>
      </c>
      <c r="K88" s="3188" t="s">
        <v>3495</v>
      </c>
      <c r="L88" s="3188" t="s">
        <v>3496</v>
      </c>
      <c r="M88" s="511"/>
      <c r="N88" s="878"/>
      <c r="O88" s="878"/>
      <c r="P88" s="1774"/>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75" thickTop="1">
      <c r="A90" s="484"/>
      <c r="B90" s="469">
        <f>B27</f>
        <v>111</v>
      </c>
      <c r="C90" s="3189" t="s">
        <v>3497</v>
      </c>
      <c r="D90" s="3189" t="s">
        <v>3498</v>
      </c>
      <c r="E90" s="3189" t="s">
        <v>3499</v>
      </c>
      <c r="F90" s="3189" t="s">
        <v>3500</v>
      </c>
      <c r="G90" s="485"/>
      <c r="H90" s="486"/>
      <c r="I90" s="486"/>
      <c r="J90" s="486"/>
      <c r="K90" s="486"/>
      <c r="L90" s="487"/>
      <c r="M90" s="488"/>
      <c r="N90" s="881"/>
      <c r="O90" s="881"/>
      <c r="P90" s="1775"/>
      <c r="Q90" s="490"/>
    </row>
    <row r="91" spans="1:17" s="408" customFormat="1" ht="15.75" thickBot="1">
      <c r="A91" s="484"/>
      <c r="B91" s="474"/>
      <c r="C91" s="491">
        <v>100</v>
      </c>
      <c r="D91" s="491">
        <v>101</v>
      </c>
      <c r="E91" s="491">
        <v>101</v>
      </c>
      <c r="F91" s="491">
        <v>100</v>
      </c>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91" t="s">
        <v>3508</v>
      </c>
      <c r="D100" s="3191" t="s">
        <v>3648</v>
      </c>
      <c r="E100" s="3191" t="s">
        <v>3510</v>
      </c>
      <c r="F100" s="3191"/>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80"/>
      <c r="O101" s="880"/>
      <c r="P101" s="1774"/>
      <c r="Q101" s="439"/>
    </row>
    <row r="102" spans="1:17" ht="15.75" thickTop="1">
      <c r="A102" s="367"/>
      <c r="B102" s="469" t="s">
        <v>1737</v>
      </c>
      <c r="C102" s="509" t="str">
        <f>C103&amp;"(含)"&amp;"-"&amp;D103</f>
        <v>0(含)-50</v>
      </c>
      <c r="D102" s="509" t="str">
        <f t="shared" ref="D102:L102" si="26">D103&amp;"(含)"&amp;"-"&amp;E103</f>
        <v>50(含)-100</v>
      </c>
      <c r="E102" s="509" t="str">
        <f t="shared" si="26"/>
        <v>100(含)-120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100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190" t="s">
        <v>3501</v>
      </c>
      <c r="D105" s="3190" t="s">
        <v>3503</v>
      </c>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3190" t="s">
        <v>3504</v>
      </c>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90" t="s">
        <v>3506</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90" t="s">
        <v>3504</v>
      </c>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有无电梯</v>
      </c>
      <c r="C126" s="3190" t="s">
        <v>3528</v>
      </c>
      <c r="D126" s="3190" t="s">
        <v>3527</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95</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3406</v>
      </c>
      <c r="D1" s="1271" t="s">
        <v>43</v>
      </c>
      <c r="E1" s="1272" t="s">
        <v>678</v>
      </c>
      <c r="F1" s="999">
        <f ca="1">J53</f>
        <v>38.6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188.44589999999999</v>
      </c>
      <c r="C2" s="1289" t="s">
        <v>879</v>
      </c>
      <c r="D2" s="1375">
        <f ca="1">C40+J29+L46</f>
        <v>1884459</v>
      </c>
      <c r="E2" s="1295" t="s">
        <v>880</v>
      </c>
      <c r="F2" s="1296"/>
      <c r="G2" s="2478"/>
      <c r="H2" s="2468"/>
      <c r="I2" s="2468"/>
      <c r="J2" s="2468"/>
      <c r="K2" s="2469"/>
      <c r="L2" s="2468"/>
      <c r="M2" s="2468"/>
    </row>
    <row r="3" spans="1:37" ht="18" customHeight="1" thickBot="1">
      <c r="A3" s="1297" t="s">
        <v>881</v>
      </c>
      <c r="B3" s="1298">
        <f ca="1">IF(ISERROR(D2/F43),0,ROUND(D2/F43,0))</f>
        <v>29458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68486</v>
      </c>
      <c r="D5" s="1273" t="s">
        <v>889</v>
      </c>
      <c r="E5" s="1008"/>
      <c r="F5" s="1009"/>
      <c r="G5" s="1292"/>
      <c r="H5" s="291">
        <v>1</v>
      </c>
      <c r="I5" s="292" t="s">
        <v>888</v>
      </c>
      <c r="J5" s="1007">
        <f ca="1">J6+J10+J12</f>
        <v>0</v>
      </c>
      <c r="K5" s="1273" t="s">
        <v>889</v>
      </c>
      <c r="L5" s="1008"/>
      <c r="M5" s="1009"/>
    </row>
    <row r="6" spans="1:37" ht="18" customHeight="1">
      <c r="A6" s="1006" t="s">
        <v>398</v>
      </c>
      <c r="B6" s="3388" t="s">
        <v>694</v>
      </c>
      <c r="C6" s="1011">
        <f ca="1">ROUND(F6*F8*F7*(1-F9),0)</f>
        <v>68400</v>
      </c>
      <c r="D6" s="147" t="s">
        <v>2106</v>
      </c>
      <c r="E6" s="294" t="s">
        <v>696</v>
      </c>
      <c r="F6" s="295">
        <f ca="1">INDIRECT("'数据-取费表'!u"&amp;$G$1)</f>
        <v>6000</v>
      </c>
      <c r="G6" s="1292"/>
      <c r="H6" s="1006" t="s">
        <v>398</v>
      </c>
      <c r="I6" s="3388" t="s">
        <v>694</v>
      </c>
      <c r="J6" s="293">
        <f ca="1">ROUND(M6*M8*M7*(1-M9),0)</f>
        <v>0</v>
      </c>
      <c r="K6" s="1284" t="s">
        <v>2107</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1</v>
      </c>
      <c r="G7" s="1292"/>
      <c r="H7" s="296"/>
      <c r="I7" s="3389"/>
      <c r="J7" s="298"/>
      <c r="K7" s="299"/>
      <c r="L7" s="294" t="s">
        <v>697</v>
      </c>
      <c r="M7" s="295">
        <f ca="1">F7</f>
        <v>1</v>
      </c>
    </row>
    <row r="8" spans="1:37" ht="18" customHeight="1">
      <c r="A8" s="296"/>
      <c r="B8" s="3389"/>
      <c r="C8" s="298"/>
      <c r="D8" s="299"/>
      <c r="E8" s="294" t="s">
        <v>698</v>
      </c>
      <c r="F8" s="295">
        <f ca="1">INDIRECT("'数据-取费表'!ai"&amp;$G$1)</f>
        <v>12</v>
      </c>
      <c r="G8" s="1292"/>
      <c r="H8" s="296"/>
      <c r="I8" s="3389"/>
      <c r="J8" s="298"/>
      <c r="K8" s="299"/>
      <c r="L8" s="294" t="s">
        <v>698</v>
      </c>
      <c r="M8" s="295">
        <f ca="1">INDIRECT("'数据-取费表'!ai"&amp;$G$1)</f>
        <v>12</v>
      </c>
    </row>
    <row r="9" spans="1:37" ht="18" customHeight="1">
      <c r="A9" s="296"/>
      <c r="B9" s="3390"/>
      <c r="C9" s="298"/>
      <c r="D9" s="299"/>
      <c r="E9" s="294" t="s">
        <v>699</v>
      </c>
      <c r="F9" s="304">
        <f ca="1">INDIRECT("'数据-取费表'!w"&amp;$G$1)</f>
        <v>0.05</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86</v>
      </c>
      <c r="D10" s="150" t="s">
        <v>2116</v>
      </c>
      <c r="E10" s="305" t="s">
        <v>701</v>
      </c>
      <c r="F10" s="1053" t="s">
        <v>3516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205741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191910</v>
      </c>
      <c r="D14" s="1257" t="s">
        <v>708</v>
      </c>
      <c r="E14" s="1255"/>
      <c r="F14" s="311"/>
      <c r="G14" s="1292"/>
      <c r="H14" s="928" t="s">
        <v>398</v>
      </c>
      <c r="I14" s="294" t="s">
        <v>709</v>
      </c>
      <c r="J14" s="21">
        <f ca="1">C29</f>
        <v>293916</v>
      </c>
      <c r="K14" s="12"/>
      <c r="L14" s="759"/>
      <c r="M14" s="760"/>
    </row>
    <row r="15" spans="1:37" s="1304" customFormat="1" ht="18" customHeight="1" thickBot="1">
      <c r="A15" s="928" t="s">
        <v>399</v>
      </c>
      <c r="B15" s="294" t="s">
        <v>710</v>
      </c>
      <c r="C15" s="21">
        <f ca="1">ROUND(C14*F15,0)</f>
        <v>9596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9596</v>
      </c>
      <c r="D16" s="294" t="s">
        <v>711</v>
      </c>
      <c r="E16" s="294" t="s">
        <v>712</v>
      </c>
      <c r="F16" s="314">
        <f ca="1">IF(INDIRECT("'数据-取费表'!c"&amp;$G$1)="住宅",'数据-取费表'!B34,0)</f>
        <v>0.05</v>
      </c>
      <c r="G16" s="1292"/>
      <c r="H16" s="1016" t="s">
        <v>393</v>
      </c>
      <c r="I16" s="1017" t="s">
        <v>714</v>
      </c>
      <c r="J16" s="302">
        <f ca="1">ROUND(J17+J22+J23+J24,0)</f>
        <v>588</v>
      </c>
      <c r="K16" s="1024" t="s">
        <v>715</v>
      </c>
      <c r="L16" s="1025"/>
      <c r="M16" s="1009"/>
    </row>
    <row r="17" spans="1:37" s="1304" customFormat="1" ht="18" customHeight="1">
      <c r="A17" s="928" t="s">
        <v>681</v>
      </c>
      <c r="B17" s="294" t="s">
        <v>716</v>
      </c>
      <c r="C17" s="21">
        <f ca="1">ROUND(F17*(F43+INDIRECT("'数据-取费表'!S"&amp;$G$1)),0)</f>
        <v>12794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3838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227734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2277</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588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3450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-588</v>
      </c>
      <c r="K25" s="1032" t="s">
        <v>753</v>
      </c>
      <c r="L25" s="1033"/>
      <c r="M25" s="1034"/>
    </row>
    <row r="26" spans="1:37" ht="18" customHeight="1">
      <c r="A26" s="928" t="s">
        <v>397</v>
      </c>
      <c r="B26" s="294" t="s">
        <v>754</v>
      </c>
      <c r="C26" s="21">
        <f ca="1">ROUND((C19+C20)*F26,0)</f>
        <v>34502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0.03</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293916</v>
      </c>
      <c r="D29" s="1029"/>
      <c r="E29" s="1027"/>
      <c r="F29" s="1030"/>
      <c r="G29" s="1303"/>
      <c r="H29" s="325" t="s">
        <v>396</v>
      </c>
      <c r="I29" s="326" t="s">
        <v>768</v>
      </c>
      <c r="J29" s="327">
        <f ca="1">ROUND(J26/(1+F40)^F41,0)</f>
        <v>0</v>
      </c>
      <c r="K29" s="328" t="s">
        <v>769</v>
      </c>
      <c r="L29" s="329"/>
      <c r="M29" s="330">
        <f ca="1">INDIRECT("'数据-取费表'!k"&amp;$G$1)</f>
        <v>63.97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3108</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1629</v>
      </c>
      <c r="D31" s="1257" t="s">
        <v>720</v>
      </c>
      <c r="E31" s="1256" t="s">
        <v>770</v>
      </c>
      <c r="F31" s="2138">
        <f ca="1">IF(项目基本情况!B11="企业","——",IF(M47="住宅",IF(F6*F7*F8/12/(1+'数据-取费表'!F30)&gt;100000,4%,2.5%),IF(F6*F7*F8/12/(1+'数据-取费表'!F30)&gt;100000,12%,7%)))</f>
        <v>2.5000000000000001E-2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588</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206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685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65378</v>
      </c>
      <c r="D39" s="1032" t="s">
        <v>773</v>
      </c>
      <c r="E39" s="1033"/>
      <c r="F39" s="1034"/>
      <c r="G39" s="1292"/>
      <c r="H39" s="2473"/>
      <c r="I39" s="1305"/>
      <c r="J39" s="1306"/>
      <c r="K39" s="2471"/>
      <c r="L39" s="2473"/>
      <c r="M39" s="2473"/>
    </row>
    <row r="40" spans="1:18" ht="18" customHeight="1">
      <c r="A40" s="291" t="s">
        <v>395</v>
      </c>
      <c r="B40" s="292" t="s">
        <v>774</v>
      </c>
      <c r="C40" s="293">
        <f ca="1">ROUND(C39*(1-((1+F42)/(1+F40))^F41)/(F40-F42),0)</f>
        <v>1884459</v>
      </c>
      <c r="D40" s="316" t="s">
        <v>758</v>
      </c>
      <c r="E40" s="294" t="s">
        <v>759</v>
      </c>
      <c r="F40" s="304">
        <f ca="1">INDIRECT("'数据-取费表'!I"&amp;$G$1)</f>
        <v>0.03</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38.6</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29458</v>
      </c>
      <c r="D43" s="328" t="s">
        <v>777</v>
      </c>
      <c r="E43" s="329" t="s">
        <v>778</v>
      </c>
      <c r="F43" s="330">
        <f ca="1">INDIRECT("'数据-取费表'!k"&amp;$G$1)</f>
        <v>63.97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-190.24690000000001</v>
      </c>
      <c r="D45" s="3130" t="s">
        <v>3353</v>
      </c>
      <c r="E45" s="1307"/>
      <c r="F45" s="1307"/>
      <c r="O45" s="1310" t="s">
        <v>808</v>
      </c>
      <c r="P45" s="1366"/>
      <c r="Q45" s="1366"/>
      <c r="R45" s="1366"/>
    </row>
    <row r="46" spans="1:18" s="1292" customFormat="1" ht="13.5" thickBot="1">
      <c r="A46" s="1311" t="s">
        <v>809</v>
      </c>
      <c r="C46" s="1312">
        <f ca="1">ROUND(C45,0)</f>
        <v>-190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70</v>
      </c>
      <c r="M47" s="1288" t="str">
        <f>IF(ISNUMBER(FIND("住宅",C1)),"住宅","非住宅")</f>
        <v>住宅</v>
      </c>
      <c r="O47" s="1325" t="s">
        <v>403</v>
      </c>
      <c r="P47" s="1326" t="s">
        <v>817</v>
      </c>
      <c r="Q47" s="1327">
        <f ca="1">C40+J29</f>
        <v>1884459</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38.6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1995</v>
      </c>
      <c r="K49" s="1330" t="s">
        <v>824</v>
      </c>
      <c r="L49" s="1333"/>
      <c r="O49" s="1334" t="s">
        <v>405</v>
      </c>
      <c r="P49" s="1326" t="s">
        <v>825</v>
      </c>
      <c r="Q49" s="1327">
        <f ca="1">C29</f>
        <v>293916</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20</v>
      </c>
      <c r="K51" s="1339" t="s">
        <v>830</v>
      </c>
      <c r="L51" s="1340">
        <f ca="1">ROUND(-PV(INDIRECT("'数据-取费表'!h"&amp;$G$1),J51,(C39-C13*C76),0),0)</f>
        <v>660915</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38.6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38.6</v>
      </c>
      <c r="K53" s="3386" t="s">
        <v>837</v>
      </c>
      <c r="L53" s="3387"/>
      <c r="O53" s="1325" t="s">
        <v>409</v>
      </c>
      <c r="P53" s="1326" t="s">
        <v>838</v>
      </c>
      <c r="Q53" s="1327">
        <f ca="1">Q47+Q48</f>
        <v>1884459</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205741</v>
      </c>
      <c r="D56" s="1352"/>
      <c r="E56" s="1353"/>
      <c r="F56" s="1345"/>
      <c r="I56" s="1354" t="s">
        <v>842</v>
      </c>
      <c r="J56" s="1355" t="s">
        <v>3419</v>
      </c>
      <c r="K56" s="1328" t="s">
        <v>843</v>
      </c>
      <c r="L56" s="1331">
        <f ca="1">IF(L48&lt;J51,"——",L48-J51)</f>
        <v>18.600000000000001</v>
      </c>
      <c r="O56" s="1325" t="s">
        <v>403</v>
      </c>
      <c r="P56" s="1326" t="s">
        <v>817</v>
      </c>
      <c r="Q56" s="1327">
        <f ca="1">C40+J29</f>
        <v>1884459</v>
      </c>
      <c r="R56" s="1327" t="s">
        <v>818</v>
      </c>
    </row>
    <row r="57" spans="1:18" s="1292" customFormat="1" ht="24.75" thickBot="1">
      <c r="A57" s="1356"/>
      <c r="B57" s="896" t="s">
        <v>767</v>
      </c>
      <c r="C57" s="230">
        <f ca="1">C29</f>
        <v>293916</v>
      </c>
      <c r="D57" s="1357"/>
      <c r="E57" s="1358"/>
      <c r="F57" s="1359"/>
      <c r="I57" s="1360" t="s">
        <v>844</v>
      </c>
      <c r="J57" s="1361" t="str">
        <f ca="1">IF(OR(M47="住宅",J51&lt;L48,J56="是"),"——",J51-L48)</f>
        <v>——</v>
      </c>
      <c r="K57" s="1328" t="s">
        <v>892</v>
      </c>
      <c r="L57" s="1331">
        <f ca="1">IF(L48&lt;J51,"——",IF(L55="比较法",L49,IF(L55="基准地价",L50,L51)))</f>
        <v>660915</v>
      </c>
      <c r="O57" s="1325" t="s">
        <v>404</v>
      </c>
      <c r="P57" s="1326" t="s">
        <v>893</v>
      </c>
      <c r="Q57" s="1327">
        <f ca="1">L60</f>
        <v>0</v>
      </c>
      <c r="R57" s="1327" t="s">
        <v>894</v>
      </c>
    </row>
    <row r="58" spans="1:18" s="1292" customFormat="1" ht="24.75" thickBot="1">
      <c r="A58" s="307" t="s">
        <v>393</v>
      </c>
      <c r="B58" s="904" t="s">
        <v>714</v>
      </c>
      <c r="C58" s="308">
        <f ca="1">ROUND(C59+C64+C65+C66,0)</f>
        <v>794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1884459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588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206</v>
      </c>
      <c r="D65" s="910" t="s">
        <v>743</v>
      </c>
      <c r="E65" s="896" t="s">
        <v>744</v>
      </c>
      <c r="F65" s="321">
        <f t="shared" ca="1" si="0"/>
        <v>1E-3</v>
      </c>
      <c r="I65" s="1367" t="s">
        <v>867</v>
      </c>
      <c r="J65" s="610">
        <v>40</v>
      </c>
      <c r="K65" s="610">
        <v>30</v>
      </c>
      <c r="L65" s="610">
        <v>50</v>
      </c>
      <c r="M65" s="1369">
        <v>0.02</v>
      </c>
      <c r="O65" s="1325" t="s">
        <v>403</v>
      </c>
      <c r="P65" s="1326" t="s">
        <v>868</v>
      </c>
      <c r="Q65" s="1327">
        <f ca="1">C40+J29</f>
        <v>1884459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-794</v>
      </c>
      <c r="D67" s="909" t="s">
        <v>753</v>
      </c>
      <c r="E67" s="914"/>
      <c r="F67" s="915"/>
      <c r="O67" s="1334" t="s">
        <v>405</v>
      </c>
      <c r="P67" s="1326" t="s">
        <v>850</v>
      </c>
      <c r="Q67" s="1370">
        <f ca="1">L51</f>
        <v>660915</v>
      </c>
      <c r="R67" s="1327" t="s">
        <v>870</v>
      </c>
    </row>
    <row r="68" spans="1:18" s="1292" customFormat="1" ht="16.5" thickBot="1">
      <c r="A68" s="893" t="s">
        <v>395</v>
      </c>
      <c r="B68" s="894" t="s">
        <v>774</v>
      </c>
      <c r="C68" s="293">
        <f ca="1">ROUND(C67*(1-((1+F70)/(1+F68))^F69)/(F68-F70),0)</f>
        <v>-18010</v>
      </c>
      <c r="D68" s="911" t="s">
        <v>758</v>
      </c>
      <c r="E68" s="896" t="s">
        <v>759</v>
      </c>
      <c r="F68" s="304">
        <f ca="1">F40</f>
        <v>0.03</v>
      </c>
      <c r="O68" s="1334" t="s">
        <v>406</v>
      </c>
      <c r="P68" s="1371" t="s">
        <v>871</v>
      </c>
      <c r="Q68" s="1327">
        <f ca="1">ROUND(Q69-Q70*Q71,0)</f>
        <v>53034</v>
      </c>
      <c r="R68" s="1327" t="s">
        <v>414</v>
      </c>
    </row>
    <row r="69" spans="1:18" s="1292" customFormat="1" ht="13.5" thickBot="1">
      <c r="A69" s="897"/>
      <c r="B69" s="898"/>
      <c r="C69" s="298"/>
      <c r="D69" s="916" t="s">
        <v>762</v>
      </c>
      <c r="E69" s="896" t="s">
        <v>763</v>
      </c>
      <c r="F69" s="324">
        <f ca="1">F41</f>
        <v>38.6</v>
      </c>
      <c r="O69" s="1334" t="s">
        <v>411</v>
      </c>
      <c r="P69" s="1371" t="s">
        <v>872</v>
      </c>
      <c r="Q69" s="1327">
        <f ca="1">C39</f>
        <v>65378</v>
      </c>
      <c r="R69" s="1327" t="s">
        <v>818</v>
      </c>
    </row>
    <row r="70" spans="1:18" s="1292" customFormat="1" ht="13.5" thickBot="1">
      <c r="A70" s="900"/>
      <c r="B70" s="901"/>
      <c r="C70" s="302"/>
      <c r="D70" s="912"/>
      <c r="E70" s="896" t="s">
        <v>766</v>
      </c>
      <c r="F70" s="991"/>
      <c r="O70" s="1334" t="s">
        <v>412</v>
      </c>
      <c r="P70" s="1371" t="s">
        <v>873</v>
      </c>
      <c r="Q70" s="1327">
        <f ca="1">C13</f>
        <v>205741</v>
      </c>
      <c r="R70" s="1327" t="s">
        <v>818</v>
      </c>
    </row>
    <row r="71" spans="1:18" s="1292" customFormat="1" ht="13.5" thickBot="1">
      <c r="A71" s="917" t="s">
        <v>396</v>
      </c>
      <c r="B71" s="918" t="s">
        <v>776</v>
      </c>
      <c r="C71" s="327">
        <f ca="1">ROUND(C68/F71,0)</f>
        <v>-282</v>
      </c>
      <c r="D71" s="919" t="s">
        <v>777</v>
      </c>
      <c r="E71" s="920" t="s">
        <v>778</v>
      </c>
      <c r="F71" s="330">
        <f ca="1">F43</f>
        <v>63.97</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12344</v>
      </c>
      <c r="D75" s="1292"/>
      <c r="E75" s="1292"/>
      <c r="F75" s="1292"/>
      <c r="K75" s="1309"/>
      <c r="L75" s="1292"/>
      <c r="O75" s="1325" t="s">
        <v>409</v>
      </c>
      <c r="P75" s="1326" t="s">
        <v>838</v>
      </c>
      <c r="Q75" s="1327">
        <f ca="1">Q65+Q66</f>
        <v>1884459</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0.81099999999999994</v>
      </c>
    </row>
    <row r="80" spans="1:18">
      <c r="B80" s="331" t="s">
        <v>800</v>
      </c>
      <c r="C80" s="266">
        <f ca="1">ROUND(C75/C39,3)</f>
        <v>0.189</v>
      </c>
    </row>
    <row r="81" spans="2:3">
      <c r="B81" s="262" t="s">
        <v>801</v>
      </c>
      <c r="C81" s="230"/>
    </row>
    <row r="82" spans="2:3">
      <c r="B82" s="265" t="s">
        <v>802</v>
      </c>
      <c r="C82" s="267">
        <f ca="1">1-C83</f>
        <v>0.89100000000000001</v>
      </c>
    </row>
    <row r="83" spans="2:3">
      <c r="B83" s="265" t="s">
        <v>803</v>
      </c>
      <c r="C83" s="266">
        <f ca="1">ROUND(C13/C40,3)</f>
        <v>0.109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443" t="s">
        <v>2317</v>
      </c>
      <c r="K2" s="3444"/>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45" t="s">
        <v>2327</v>
      </c>
      <c r="K3" s="3446"/>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45" t="s">
        <v>2329</v>
      </c>
      <c r="K4" s="3446"/>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51" t="s">
        <v>2333</v>
      </c>
      <c r="B6" s="3452"/>
      <c r="C6" s="3453"/>
      <c r="D6" s="2621"/>
      <c r="E6" s="2622"/>
      <c r="F6" s="2623"/>
      <c r="G6" s="2624"/>
      <c r="H6" s="2599"/>
      <c r="I6" s="2600"/>
      <c r="J6" s="3437">
        <v>1</v>
      </c>
      <c r="K6" s="343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37"/>
      <c r="K7" s="3439"/>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54" t="s">
        <v>2347</v>
      </c>
      <c r="C8" s="3455"/>
      <c r="D8" s="2640" t="s">
        <v>2348</v>
      </c>
      <c r="E8" s="2641" t="s">
        <v>2349</v>
      </c>
      <c r="F8" s="2642" t="s">
        <v>2350</v>
      </c>
      <c r="G8" s="2643"/>
      <c r="H8" s="2599"/>
      <c r="I8" s="2600"/>
      <c r="J8" s="3437"/>
      <c r="K8" s="3439"/>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54" t="s">
        <v>2353</v>
      </c>
      <c r="C9" s="3455"/>
      <c r="D9" s="2640">
        <f>ROUND(D6*E9,0)</f>
        <v>0</v>
      </c>
      <c r="E9" s="2644"/>
      <c r="F9" s="2645" t="s">
        <v>2354</v>
      </c>
      <c r="G9" s="2624"/>
      <c r="H9" s="2599"/>
      <c r="I9" s="2600"/>
      <c r="J9" s="3437"/>
      <c r="K9" s="3439"/>
      <c r="L9" s="2634" t="s">
        <v>2355</v>
      </c>
      <c r="M9" s="2635"/>
      <c r="N9" s="2611"/>
      <c r="O9" s="2636"/>
      <c r="P9" s="2636"/>
      <c r="Q9" s="2637">
        <v>365</v>
      </c>
      <c r="R9" s="2638">
        <f t="shared" si="0"/>
        <v>0</v>
      </c>
      <c r="S9" s="2592"/>
      <c r="T9" s="2592"/>
      <c r="U9" s="2592"/>
      <c r="V9" s="2600"/>
    </row>
    <row r="10" spans="1:22" s="2604" customFormat="1" ht="13.15" customHeight="1">
      <c r="A10" s="2639">
        <v>2</v>
      </c>
      <c r="B10" s="3454" t="s">
        <v>2356</v>
      </c>
      <c r="C10" s="3455"/>
      <c r="D10" s="2640">
        <f>ROUND(D6*E10,0)</f>
        <v>0</v>
      </c>
      <c r="E10" s="2644"/>
      <c r="F10" s="2645" t="s">
        <v>2357</v>
      </c>
      <c r="G10" s="2624"/>
      <c r="H10" s="2599"/>
      <c r="I10" s="2600"/>
      <c r="J10" s="3437"/>
      <c r="K10" s="3439"/>
      <c r="L10" s="2634" t="s">
        <v>2358</v>
      </c>
      <c r="M10" s="2635"/>
      <c r="N10" s="2611"/>
      <c r="O10" s="2636"/>
      <c r="P10" s="2636"/>
      <c r="Q10" s="2637">
        <v>365</v>
      </c>
      <c r="R10" s="2638">
        <f t="shared" si="0"/>
        <v>0</v>
      </c>
      <c r="S10" s="2592"/>
      <c r="T10" s="2592"/>
      <c r="U10" s="2592"/>
      <c r="V10" s="2600"/>
    </row>
    <row r="11" spans="1:22" s="2604" customFormat="1" ht="13.15" customHeight="1">
      <c r="A11" s="2639">
        <v>3</v>
      </c>
      <c r="B11" s="3454" t="s">
        <v>2359</v>
      </c>
      <c r="C11" s="3455"/>
      <c r="D11" s="2640">
        <f>D12+D14+D15+D16</f>
        <v>0</v>
      </c>
      <c r="E11" s="2646" t="e">
        <f>D11/D6</f>
        <v>#DIV/0!</v>
      </c>
      <c r="F11" s="2642"/>
      <c r="G11" s="2643"/>
      <c r="H11" s="2599"/>
      <c r="I11" s="2600"/>
      <c r="J11" s="3437"/>
      <c r="K11" s="3439"/>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47" t="s">
        <v>2362</v>
      </c>
      <c r="C12" s="3448"/>
      <c r="D12" s="2648">
        <f>ROUND(D13*1.2%*(1-30%),0)</f>
        <v>0</v>
      </c>
      <c r="E12" s="2649">
        <v>1.2E-2</v>
      </c>
      <c r="F12" s="2642" t="s">
        <v>2363</v>
      </c>
      <c r="G12" s="2643"/>
      <c r="H12" s="2599"/>
      <c r="I12" s="2600"/>
      <c r="J12" s="3437"/>
      <c r="K12" s="3439"/>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37"/>
      <c r="K13" s="3439"/>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47" t="s">
        <v>2368</v>
      </c>
      <c r="C14" s="3448"/>
      <c r="D14" s="2648">
        <f>ROUND(E14*B5/10000,0)</f>
        <v>0</v>
      </c>
      <c r="E14" s="2637"/>
      <c r="F14" s="2642" t="s">
        <v>2369</v>
      </c>
      <c r="G14" s="2643"/>
      <c r="H14" s="2599"/>
      <c r="I14" s="2600"/>
      <c r="J14" s="3437"/>
      <c r="K14" s="344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47" t="s">
        <v>2372</v>
      </c>
      <c r="C15" s="3448"/>
      <c r="D15" s="2648">
        <f>ROUND(D6*E15,0)</f>
        <v>0</v>
      </c>
      <c r="E15" s="2649">
        <v>5.5E-2</v>
      </c>
      <c r="F15" s="2642" t="s">
        <v>2373</v>
      </c>
      <c r="G15" s="2624"/>
      <c r="H15" s="2599"/>
      <c r="I15" s="2600"/>
      <c r="J15" s="3437">
        <v>2</v>
      </c>
      <c r="K15" s="343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47" t="s">
        <v>2381</v>
      </c>
      <c r="C16" s="3448"/>
      <c r="D16" s="2659">
        <f>D6*E16</f>
        <v>0</v>
      </c>
      <c r="E16" s="2660"/>
      <c r="F16" s="2645" t="s">
        <v>2382</v>
      </c>
      <c r="G16" s="2624"/>
      <c r="H16" s="2599"/>
      <c r="I16" s="2600"/>
      <c r="J16" s="3437"/>
      <c r="K16" s="3439"/>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49" t="s">
        <v>2384</v>
      </c>
      <c r="C17" s="3450"/>
      <c r="D17" s="2662">
        <f>ROUND(D6*E17,0)</f>
        <v>0</v>
      </c>
      <c r="E17" s="2663"/>
      <c r="F17" s="2664" t="s">
        <v>2385</v>
      </c>
      <c r="G17" s="2624"/>
      <c r="H17" s="2599"/>
      <c r="I17" s="2600"/>
      <c r="J17" s="3437"/>
      <c r="K17" s="3439"/>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37"/>
      <c r="K18" s="3439"/>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37"/>
      <c r="K19" s="344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7">
        <v>3</v>
      </c>
      <c r="K20" s="343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37"/>
      <c r="K21" s="3439"/>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37"/>
      <c r="K22" s="3439"/>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37"/>
      <c r="K23" s="3439"/>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37"/>
      <c r="K24" s="344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4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4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43" t="s">
        <v>2317</v>
      </c>
      <c r="K32" s="3444"/>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45" t="s">
        <v>2327</v>
      </c>
      <c r="K33" s="3446"/>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45" t="s">
        <v>2329</v>
      </c>
      <c r="K34" s="344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37">
        <v>1</v>
      </c>
      <c r="K36" s="3438"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37"/>
      <c r="K37" s="3439"/>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7"/>
      <c r="K38" s="3439"/>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37"/>
      <c r="K39" s="3439"/>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37"/>
      <c r="K40" s="3440"/>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1">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4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188.44589999999999</v>
      </c>
      <c r="C2" s="1729" t="s">
        <v>1651</v>
      </c>
      <c r="D2" s="1730" t="s">
        <v>1652</v>
      </c>
      <c r="E2" s="2392">
        <f>SUM(E6:E13)</f>
        <v>63.97</v>
      </c>
      <c r="F2" s="2479"/>
      <c r="G2" s="459"/>
      <c r="H2" s="459"/>
      <c r="I2" s="459"/>
      <c r="J2" s="459"/>
      <c r="K2" s="459"/>
      <c r="L2" s="459"/>
      <c r="M2" s="459"/>
      <c r="N2" s="459"/>
      <c r="O2" s="459"/>
      <c r="P2" s="459"/>
      <c r="Q2" s="459"/>
      <c r="R2" s="459"/>
      <c r="S2" s="459"/>
    </row>
    <row r="3" spans="1:22" ht="15.75">
      <c r="A3" s="1728" t="s">
        <v>686</v>
      </c>
      <c r="B3" s="2386">
        <f ca="1">ROUND(B2*10000/E2,0)</f>
        <v>29458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56" t="s">
        <v>1654</v>
      </c>
      <c r="C5" s="345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188.44589999999999</v>
      </c>
      <c r="C6" s="1729" t="s">
        <v>1651</v>
      </c>
      <c r="D6" s="2479"/>
      <c r="E6" s="2391">
        <f>IF(OR(A6=0,F6="否"),0,'数据-取费表'!K6+'数据-取费表'!S6)</f>
        <v>63.97</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419" t="s">
        <v>1771</v>
      </c>
      <c r="S4" s="3420"/>
      <c r="T4" s="3419" t="s">
        <v>1772</v>
      </c>
      <c r="U4" s="3420"/>
      <c r="V4" s="3395" t="s">
        <v>1773</v>
      </c>
      <c r="W4" s="3395"/>
      <c r="X4" s="1265"/>
      <c r="Y4" s="3419" t="s">
        <v>1775</v>
      </c>
      <c r="Z4" s="3420"/>
      <c r="AA4" s="3406" t="s">
        <v>1771</v>
      </c>
      <c r="AB4" s="3395" t="s">
        <v>1772</v>
      </c>
      <c r="AC4" s="3406" t="s">
        <v>1773</v>
      </c>
    </row>
    <row r="5" spans="1:29" ht="15">
      <c r="A5" s="348"/>
      <c r="B5" s="349"/>
      <c r="C5" s="3427" t="s">
        <v>1673</v>
      </c>
      <c r="D5" s="3428"/>
      <c r="E5" s="3435" t="s">
        <v>1674</v>
      </c>
      <c r="F5" s="3436"/>
      <c r="G5" s="3427" t="s">
        <v>1675</v>
      </c>
      <c r="H5" s="3428"/>
      <c r="I5" s="3427" t="s">
        <v>1676</v>
      </c>
      <c r="J5" s="3428"/>
      <c r="K5" s="537"/>
      <c r="L5" s="2486"/>
      <c r="M5" s="2487"/>
      <c r="N5" s="2487"/>
      <c r="O5" s="2487"/>
      <c r="P5" s="3415"/>
      <c r="Q5" s="3416"/>
      <c r="R5" s="3421"/>
      <c r="S5" s="3422"/>
      <c r="T5" s="3421"/>
      <c r="U5" s="3422"/>
      <c r="V5" s="3395"/>
      <c r="W5" s="3395"/>
      <c r="X5" s="1265"/>
      <c r="Y5" s="3421"/>
      <c r="Z5" s="3422"/>
      <c r="AA5" s="3407"/>
      <c r="AB5" s="3395"/>
      <c r="AC5" s="3407"/>
    </row>
    <row r="6" spans="1:29" ht="15.75" thickBot="1">
      <c r="A6" s="350"/>
      <c r="B6" s="351"/>
      <c r="C6" s="3425" t="s">
        <v>1677</v>
      </c>
      <c r="D6" s="3426"/>
      <c r="E6" s="3433" t="s">
        <v>1677</v>
      </c>
      <c r="F6" s="3434"/>
      <c r="G6" s="3425" t="s">
        <v>1677</v>
      </c>
      <c r="H6" s="3426"/>
      <c r="I6" s="3425" t="s">
        <v>1677</v>
      </c>
      <c r="J6" s="3426"/>
      <c r="K6" s="537" t="s">
        <v>1678</v>
      </c>
      <c r="L6" s="2486"/>
      <c r="M6" s="2487"/>
      <c r="N6" s="2487"/>
      <c r="O6" s="2487"/>
      <c r="P6" s="3417"/>
      <c r="Q6" s="3418"/>
      <c r="R6" s="3421"/>
      <c r="S6" s="3422"/>
      <c r="T6" s="3423"/>
      <c r="U6" s="3424"/>
      <c r="V6" s="3395"/>
      <c r="W6" s="3395"/>
      <c r="X6" s="1265"/>
      <c r="Y6" s="3423"/>
      <c r="Z6" s="3424"/>
      <c r="AA6" s="3408"/>
      <c r="AB6" s="3395"/>
      <c r="AC6" s="3408"/>
    </row>
    <row r="7" spans="1:29" s="102" customFormat="1" ht="15.7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9" t="s">
        <v>1683</v>
      </c>
      <c r="Q8" s="3430"/>
      <c r="R8" s="664" t="s">
        <v>14</v>
      </c>
      <c r="S8" s="665">
        <f t="shared" si="0"/>
        <v>100</v>
      </c>
      <c r="T8" s="664" t="s">
        <v>14</v>
      </c>
      <c r="U8" s="665">
        <f t="shared" si="1"/>
        <v>100</v>
      </c>
      <c r="V8" s="664" t="s">
        <v>14</v>
      </c>
      <c r="W8" s="665">
        <f t="shared" si="2"/>
        <v>100</v>
      </c>
      <c r="X8" s="666"/>
      <c r="Y8" s="3429" t="s">
        <v>1683</v>
      </c>
      <c r="Z8" s="343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5"/>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5"/>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3"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4"/>
      <c r="Q16" s="1263"/>
      <c r="R16" s="667"/>
      <c r="S16" s="668"/>
      <c r="T16" s="667"/>
      <c r="U16" s="668"/>
      <c r="V16" s="667"/>
      <c r="W16" s="668"/>
      <c r="X16" s="1265"/>
      <c r="Y16" s="3397"/>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4"/>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04"/>
      <c r="Q18" s="1263"/>
      <c r="R18" s="667"/>
      <c r="S18" s="668"/>
      <c r="T18" s="667"/>
      <c r="U18" s="668"/>
      <c r="V18" s="667"/>
      <c r="W18" s="668"/>
      <c r="X18" s="1265"/>
      <c r="Y18" s="3397"/>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4"/>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04"/>
      <c r="Q20" s="1263"/>
      <c r="R20" s="667"/>
      <c r="S20" s="668"/>
      <c r="T20" s="667"/>
      <c r="U20" s="668"/>
      <c r="V20" s="667"/>
      <c r="W20" s="668"/>
      <c r="X20" s="1265"/>
      <c r="Y20" s="3397"/>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4"/>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04"/>
      <c r="Q22" s="1263"/>
      <c r="R22" s="667"/>
      <c r="S22" s="668"/>
      <c r="T22" s="667"/>
      <c r="U22" s="668"/>
      <c r="V22" s="667"/>
      <c r="W22" s="668"/>
      <c r="X22" s="1265"/>
      <c r="Y22" s="3397"/>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4"/>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04"/>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4"/>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4"/>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04"/>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4"/>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4"/>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4"/>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8" t="s">
        <v>1696</v>
      </c>
      <c r="Q32" s="1263" t="str">
        <f t="shared" si="11"/>
        <v>商业类型</v>
      </c>
      <c r="R32" s="667" t="s">
        <v>14</v>
      </c>
      <c r="S32" s="668">
        <f t="shared" si="12"/>
        <v>100</v>
      </c>
      <c r="T32" s="667" t="s">
        <v>14</v>
      </c>
      <c r="U32" s="668">
        <f t="shared" si="13"/>
        <v>100</v>
      </c>
      <c r="V32" s="667" t="s">
        <v>14</v>
      </c>
      <c r="W32" s="668">
        <f t="shared" si="14"/>
        <v>100</v>
      </c>
      <c r="X32" s="1265"/>
      <c r="Y32" s="340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9"/>
      <c r="Q33" s="531" t="str">
        <f t="shared" si="11"/>
        <v>项目建筑规模</v>
      </c>
      <c r="R33" s="669" t="s">
        <v>14</v>
      </c>
      <c r="S33" s="670" t="e">
        <f t="shared" si="12"/>
        <v>#N/A</v>
      </c>
      <c r="T33" s="669" t="s">
        <v>14</v>
      </c>
      <c r="U33" s="670" t="e">
        <f t="shared" si="13"/>
        <v>#N/A</v>
      </c>
      <c r="V33" s="669" t="s">
        <v>14</v>
      </c>
      <c r="W33" s="670" t="e">
        <f t="shared" si="14"/>
        <v>#N/A</v>
      </c>
      <c r="X33" s="671"/>
      <c r="Y33" s="340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9"/>
      <c r="Q34" s="1263" t="str">
        <f t="shared" si="11"/>
        <v>建筑结构</v>
      </c>
      <c r="R34" s="667" t="s">
        <v>14</v>
      </c>
      <c r="S34" s="668">
        <f t="shared" si="12"/>
        <v>100</v>
      </c>
      <c r="T34" s="667" t="s">
        <v>14</v>
      </c>
      <c r="U34" s="668">
        <f t="shared" si="13"/>
        <v>100</v>
      </c>
      <c r="V34" s="667" t="s">
        <v>14</v>
      </c>
      <c r="W34" s="668">
        <f t="shared" si="14"/>
        <v>100</v>
      </c>
      <c r="X34" s="1265"/>
      <c r="Y34" s="3401"/>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9"/>
      <c r="Q35" s="1263" t="str">
        <f t="shared" si="11"/>
        <v>公共部分装修</v>
      </c>
      <c r="R35" s="667" t="s">
        <v>14</v>
      </c>
      <c r="S35" s="668">
        <f t="shared" si="12"/>
        <v>100</v>
      </c>
      <c r="T35" s="667" t="s">
        <v>14</v>
      </c>
      <c r="U35" s="668">
        <f t="shared" si="13"/>
        <v>100</v>
      </c>
      <c r="V35" s="667" t="s">
        <v>14</v>
      </c>
      <c r="W35" s="668">
        <f t="shared" si="14"/>
        <v>100</v>
      </c>
      <c r="X35" s="1265"/>
      <c r="Y35" s="340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9"/>
      <c r="Q36" s="1263" t="str">
        <f t="shared" si="11"/>
        <v>成新度</v>
      </c>
      <c r="R36" s="667" t="s">
        <v>14</v>
      </c>
      <c r="S36" s="668" t="e">
        <f t="shared" si="12"/>
        <v>#N/A</v>
      </c>
      <c r="T36" s="667" t="s">
        <v>14</v>
      </c>
      <c r="U36" s="668" t="e">
        <f t="shared" si="13"/>
        <v>#N/A</v>
      </c>
      <c r="V36" s="667" t="s">
        <v>14</v>
      </c>
      <c r="W36" s="668" t="e">
        <f t="shared" si="14"/>
        <v>#N/A</v>
      </c>
      <c r="X36" s="1265"/>
      <c r="Y36" s="3401"/>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9" t="s">
        <v>1696</v>
      </c>
      <c r="Q38" s="1263" t="str">
        <f t="shared" si="11"/>
        <v>业态</v>
      </c>
      <c r="R38" s="667" t="s">
        <v>14</v>
      </c>
      <c r="S38" s="668">
        <f t="shared" si="12"/>
        <v>100</v>
      </c>
      <c r="T38" s="667" t="s">
        <v>14</v>
      </c>
      <c r="U38" s="668">
        <f t="shared" si="13"/>
        <v>100</v>
      </c>
      <c r="V38" s="667" t="s">
        <v>14</v>
      </c>
      <c r="W38" s="668">
        <f t="shared" si="14"/>
        <v>100</v>
      </c>
      <c r="X38" s="1265"/>
      <c r="Y38" s="3401"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9"/>
      <c r="Q39" s="1263" t="str">
        <f t="shared" si="11"/>
        <v>层高</v>
      </c>
      <c r="R39" s="667" t="s">
        <v>14</v>
      </c>
      <c r="S39" s="668">
        <f t="shared" si="12"/>
        <v>100</v>
      </c>
      <c r="T39" s="667" t="s">
        <v>14</v>
      </c>
      <c r="U39" s="668">
        <f t="shared" si="13"/>
        <v>100</v>
      </c>
      <c r="V39" s="667" t="s">
        <v>14</v>
      </c>
      <c r="W39" s="668">
        <f t="shared" si="14"/>
        <v>100</v>
      </c>
      <c r="X39" s="1265"/>
      <c r="Y39" s="340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9"/>
      <c r="Q40" s="1263" t="str">
        <f t="shared" si="11"/>
        <v>单套建筑面积</v>
      </c>
      <c r="R40" s="667" t="s">
        <v>14</v>
      </c>
      <c r="S40" s="668">
        <f t="shared" si="12"/>
        <v>100</v>
      </c>
      <c r="T40" s="667" t="s">
        <v>14</v>
      </c>
      <c r="U40" s="668">
        <f t="shared" si="13"/>
        <v>100</v>
      </c>
      <c r="V40" s="667" t="s">
        <v>14</v>
      </c>
      <c r="W40" s="668">
        <f t="shared" si="14"/>
        <v>100</v>
      </c>
      <c r="X40" s="1265"/>
      <c r="Y40" s="340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9"/>
      <c r="Q42" s="1263" t="str">
        <f t="shared" si="11"/>
        <v>内部装修</v>
      </c>
      <c r="R42" s="667" t="s">
        <v>14</v>
      </c>
      <c r="S42" s="668">
        <f t="shared" si="12"/>
        <v>100</v>
      </c>
      <c r="T42" s="667" t="s">
        <v>14</v>
      </c>
      <c r="U42" s="668">
        <f t="shared" si="13"/>
        <v>100</v>
      </c>
      <c r="V42" s="667" t="s">
        <v>14</v>
      </c>
      <c r="W42" s="668">
        <f t="shared" si="14"/>
        <v>100</v>
      </c>
      <c r="X42" s="1265"/>
      <c r="Y42" s="3401"/>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9"/>
      <c r="Q43" s="1263" t="str">
        <f t="shared" si="11"/>
        <v>内部装修维护情况</v>
      </c>
      <c r="R43" s="667" t="s">
        <v>14</v>
      </c>
      <c r="S43" s="668">
        <f t="shared" si="12"/>
        <v>100</v>
      </c>
      <c r="T43" s="667" t="s">
        <v>14</v>
      </c>
      <c r="U43" s="668">
        <f t="shared" si="13"/>
        <v>100</v>
      </c>
      <c r="V43" s="667" t="s">
        <v>14</v>
      </c>
      <c r="W43" s="668">
        <f t="shared" si="14"/>
        <v>100</v>
      </c>
      <c r="X43" s="1265"/>
      <c r="Y43" s="340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9"/>
      <c r="Q44" s="530">
        <f t="shared" si="11"/>
        <v>111</v>
      </c>
      <c r="R44" s="664" t="s">
        <v>14</v>
      </c>
      <c r="S44" s="665">
        <f t="shared" si="12"/>
        <v>100</v>
      </c>
      <c r="T44" s="664" t="s">
        <v>14</v>
      </c>
      <c r="U44" s="665">
        <f t="shared" si="13"/>
        <v>100</v>
      </c>
      <c r="V44" s="664" t="s">
        <v>14</v>
      </c>
      <c r="W44" s="665">
        <f t="shared" si="14"/>
        <v>100</v>
      </c>
      <c r="X44" s="666"/>
      <c r="Y44" s="34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9"/>
      <c r="Q45" s="1263">
        <f t="shared" si="11"/>
        <v>111</v>
      </c>
      <c r="R45" s="667" t="s">
        <v>14</v>
      </c>
      <c r="S45" s="668">
        <f t="shared" si="12"/>
        <v>100</v>
      </c>
      <c r="T45" s="667" t="s">
        <v>14</v>
      </c>
      <c r="U45" s="668">
        <f t="shared" si="13"/>
        <v>100</v>
      </c>
      <c r="V45" s="667" t="s">
        <v>14</v>
      </c>
      <c r="W45" s="668">
        <f t="shared" si="14"/>
        <v>100</v>
      </c>
      <c r="X45" s="1265"/>
      <c r="Y45" s="3401"/>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94" t="str">
        <f>A47</f>
        <v>成交单价（元/平方米）</v>
      </c>
      <c r="Q47" s="3394"/>
      <c r="R47" s="3395">
        <f>E47</f>
        <v>0</v>
      </c>
      <c r="S47" s="3395"/>
      <c r="T47" s="3395">
        <f>G47</f>
        <v>0</v>
      </c>
      <c r="U47" s="3395"/>
      <c r="V47" s="3395">
        <f>I47</f>
        <v>0</v>
      </c>
      <c r="W47" s="3395"/>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9" t="s">
        <v>1770</v>
      </c>
      <c r="D4" s="3410"/>
      <c r="E4" s="3411" t="s">
        <v>1771</v>
      </c>
      <c r="F4" s="3412"/>
      <c r="G4" s="3409" t="s">
        <v>1772</v>
      </c>
      <c r="H4" s="3410"/>
      <c r="I4" s="3409" t="s">
        <v>1773</v>
      </c>
      <c r="J4" s="3410"/>
      <c r="K4" s="537" t="s">
        <v>1774</v>
      </c>
      <c r="L4" s="2486"/>
      <c r="M4" s="2487"/>
      <c r="N4" s="2487"/>
      <c r="O4" s="2487"/>
      <c r="P4" s="3464" t="s">
        <v>1775</v>
      </c>
      <c r="Q4" s="3465"/>
      <c r="R4" s="3468" t="s">
        <v>1771</v>
      </c>
      <c r="S4" s="3469"/>
      <c r="T4" s="3468" t="s">
        <v>1772</v>
      </c>
      <c r="U4" s="3469"/>
      <c r="V4" s="3470" t="s">
        <v>1773</v>
      </c>
      <c r="W4" s="3470"/>
      <c r="X4" s="1808"/>
      <c r="Y4" s="3468" t="s">
        <v>1775</v>
      </c>
      <c r="Z4" s="3469"/>
      <c r="AA4" s="3472" t="s">
        <v>1771</v>
      </c>
      <c r="AB4" s="3472" t="s">
        <v>1772</v>
      </c>
      <c r="AC4" s="3461" t="s">
        <v>1773</v>
      </c>
    </row>
    <row r="5" spans="1:29" ht="15">
      <c r="A5" s="348"/>
      <c r="B5" s="349"/>
      <c r="C5" s="3427" t="s">
        <v>1673</v>
      </c>
      <c r="D5" s="3428"/>
      <c r="E5" s="3435" t="s">
        <v>1674</v>
      </c>
      <c r="F5" s="3436"/>
      <c r="G5" s="3427" t="s">
        <v>1675</v>
      </c>
      <c r="H5" s="3428"/>
      <c r="I5" s="3427" t="s">
        <v>1676</v>
      </c>
      <c r="J5" s="3428"/>
      <c r="K5" s="537"/>
      <c r="L5" s="2486"/>
      <c r="M5" s="2487"/>
      <c r="N5" s="2487"/>
      <c r="O5" s="2487"/>
      <c r="P5" s="3466"/>
      <c r="Q5" s="3416"/>
      <c r="R5" s="3421"/>
      <c r="S5" s="3422"/>
      <c r="T5" s="3421"/>
      <c r="U5" s="3422"/>
      <c r="V5" s="3395"/>
      <c r="W5" s="3395"/>
      <c r="X5" s="1265"/>
      <c r="Y5" s="3421"/>
      <c r="Z5" s="3422"/>
      <c r="AA5" s="3407"/>
      <c r="AB5" s="3407"/>
      <c r="AC5" s="3462"/>
    </row>
    <row r="6" spans="1:29" ht="15.75" thickBot="1">
      <c r="A6" s="350"/>
      <c r="B6" s="351"/>
      <c r="C6" s="3425" t="s">
        <v>1677</v>
      </c>
      <c r="D6" s="3426"/>
      <c r="E6" s="3433" t="s">
        <v>1677</v>
      </c>
      <c r="F6" s="3434"/>
      <c r="G6" s="3425" t="s">
        <v>1677</v>
      </c>
      <c r="H6" s="3426"/>
      <c r="I6" s="3425" t="s">
        <v>1677</v>
      </c>
      <c r="J6" s="3426"/>
      <c r="K6" s="537" t="s">
        <v>1678</v>
      </c>
      <c r="L6" s="2486"/>
      <c r="M6" s="2487"/>
      <c r="N6" s="2487"/>
      <c r="O6" s="2487"/>
      <c r="P6" s="3467"/>
      <c r="Q6" s="3418"/>
      <c r="R6" s="3421"/>
      <c r="S6" s="3422"/>
      <c r="T6" s="3423"/>
      <c r="U6" s="3424"/>
      <c r="V6" s="3395"/>
      <c r="W6" s="3395"/>
      <c r="X6" s="1265"/>
      <c r="Y6" s="3423"/>
      <c r="Z6" s="3424"/>
      <c r="AA6" s="3408"/>
      <c r="AB6" s="3408"/>
      <c r="AC6" s="3463"/>
    </row>
    <row r="7" spans="1:29" s="102" customFormat="1" ht="15.75" thickBot="1">
      <c r="A7" s="352" t="s">
        <v>1679</v>
      </c>
      <c r="B7" s="353"/>
      <c r="C7" s="354">
        <f>'数据-取费表'!B2</f>
        <v>45812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71"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71" t="s">
        <v>1683</v>
      </c>
      <c r="Q8" s="3430"/>
      <c r="R8" s="664" t="s">
        <v>14</v>
      </c>
      <c r="S8" s="665">
        <f t="shared" si="0"/>
        <v>100</v>
      </c>
      <c r="T8" s="664" t="s">
        <v>14</v>
      </c>
      <c r="U8" s="665">
        <f t="shared" si="1"/>
        <v>100</v>
      </c>
      <c r="V8" s="664" t="s">
        <v>14</v>
      </c>
      <c r="W8" s="665">
        <f t="shared" si="2"/>
        <v>100</v>
      </c>
      <c r="X8" s="666"/>
      <c r="Y8" s="3429" t="s">
        <v>1683</v>
      </c>
      <c r="Z8" s="343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5"/>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5"/>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3"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04"/>
      <c r="Q16" s="1263"/>
      <c r="R16" s="667"/>
      <c r="S16" s="668"/>
      <c r="T16" s="667"/>
      <c r="U16" s="668"/>
      <c r="V16" s="667"/>
      <c r="W16" s="668"/>
      <c r="X16" s="1265"/>
      <c r="Y16" s="3397"/>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4"/>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4"/>
      <c r="Q18" s="1263"/>
      <c r="R18" s="667"/>
      <c r="S18" s="668"/>
      <c r="T18" s="667"/>
      <c r="U18" s="668"/>
      <c r="V18" s="667"/>
      <c r="W18" s="668"/>
      <c r="X18" s="1265"/>
      <c r="Y18" s="3397"/>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4"/>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4"/>
      <c r="Q20" s="1263"/>
      <c r="R20" s="667"/>
      <c r="S20" s="668"/>
      <c r="T20" s="667"/>
      <c r="U20" s="668"/>
      <c r="V20" s="667"/>
      <c r="W20" s="668"/>
      <c r="X20" s="1265"/>
      <c r="Y20" s="3397"/>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4"/>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04"/>
      <c r="Q22" s="1263"/>
      <c r="R22" s="667"/>
      <c r="S22" s="668"/>
      <c r="T22" s="667"/>
      <c r="U22" s="668"/>
      <c r="V22" s="667"/>
      <c r="W22" s="668"/>
      <c r="X22" s="1265"/>
      <c r="Y22" s="3397"/>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4"/>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04"/>
      <c r="Q24" s="1263"/>
      <c r="R24" s="667"/>
      <c r="S24" s="668"/>
      <c r="T24" s="667"/>
      <c r="U24" s="668"/>
      <c r="V24" s="667"/>
      <c r="W24" s="668"/>
      <c r="X24" s="1265"/>
      <c r="Y24" s="3397"/>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4"/>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04"/>
      <c r="Q26" s="1263"/>
      <c r="R26" s="667"/>
      <c r="S26" s="668"/>
      <c r="T26" s="667"/>
      <c r="U26" s="668"/>
      <c r="V26" s="667"/>
      <c r="W26" s="668"/>
      <c r="X26" s="1265"/>
      <c r="Y26" s="3397"/>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4"/>
      <c r="Q27" s="1263" t="str">
        <f t="shared" ref="Q27:Q47" si="11">B27</f>
        <v>楼层</v>
      </c>
      <c r="R27" s="667" t="s">
        <v>14</v>
      </c>
      <c r="S27" s="668">
        <f>F27</f>
        <v>100</v>
      </c>
      <c r="T27" s="667" t="s">
        <v>14</v>
      </c>
      <c r="U27" s="668">
        <f>H27</f>
        <v>100</v>
      </c>
      <c r="V27" s="667" t="s">
        <v>14</v>
      </c>
      <c r="W27" s="668">
        <f>J27</f>
        <v>100</v>
      </c>
      <c r="X27" s="1265"/>
      <c r="Y27" s="3397"/>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4"/>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4"/>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4"/>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4"/>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4"/>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8" t="s">
        <v>1696</v>
      </c>
      <c r="Q33" s="1263" t="str">
        <f t="shared" si="11"/>
        <v>建筑类型</v>
      </c>
      <c r="R33" s="667" t="s">
        <v>14</v>
      </c>
      <c r="S33" s="668">
        <f t="shared" si="12"/>
        <v>100</v>
      </c>
      <c r="T33" s="667" t="s">
        <v>14</v>
      </c>
      <c r="U33" s="668">
        <f t="shared" si="13"/>
        <v>100</v>
      </c>
      <c r="V33" s="667" t="s">
        <v>14</v>
      </c>
      <c r="W33" s="668">
        <f t="shared" si="14"/>
        <v>100</v>
      </c>
      <c r="X33" s="1265"/>
      <c r="Y33" s="3401"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9"/>
      <c r="Q34" s="531" t="str">
        <f t="shared" si="11"/>
        <v>项目建筑规模</v>
      </c>
      <c r="R34" s="669" t="s">
        <v>14</v>
      </c>
      <c r="S34" s="670" t="e">
        <f t="shared" si="12"/>
        <v>#N/A</v>
      </c>
      <c r="T34" s="669" t="s">
        <v>14</v>
      </c>
      <c r="U34" s="670" t="e">
        <f t="shared" si="13"/>
        <v>#N/A</v>
      </c>
      <c r="V34" s="669" t="s">
        <v>14</v>
      </c>
      <c r="W34" s="670" t="e">
        <f t="shared" si="14"/>
        <v>#N/A</v>
      </c>
      <c r="X34" s="671"/>
      <c r="Y34" s="3401"/>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9"/>
      <c r="Q35" s="1263" t="str">
        <f t="shared" si="11"/>
        <v>建筑结构</v>
      </c>
      <c r="R35" s="667" t="s">
        <v>14</v>
      </c>
      <c r="S35" s="668">
        <f t="shared" si="12"/>
        <v>100</v>
      </c>
      <c r="T35" s="667" t="s">
        <v>14</v>
      </c>
      <c r="U35" s="668">
        <f t="shared" si="13"/>
        <v>100</v>
      </c>
      <c r="V35" s="667" t="s">
        <v>14</v>
      </c>
      <c r="W35" s="668">
        <f t="shared" si="14"/>
        <v>100</v>
      </c>
      <c r="X35" s="1265"/>
      <c r="Y35" s="3401"/>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9"/>
      <c r="Q36" s="1263" t="str">
        <f t="shared" si="11"/>
        <v>公共部分装修</v>
      </c>
      <c r="R36" s="667" t="s">
        <v>14</v>
      </c>
      <c r="S36" s="668">
        <f t="shared" si="12"/>
        <v>100</v>
      </c>
      <c r="T36" s="667" t="s">
        <v>14</v>
      </c>
      <c r="U36" s="668">
        <f t="shared" si="13"/>
        <v>100</v>
      </c>
      <c r="V36" s="667" t="s">
        <v>14</v>
      </c>
      <c r="W36" s="668">
        <f t="shared" si="14"/>
        <v>100</v>
      </c>
      <c r="X36" s="1265"/>
      <c r="Y36" s="3401"/>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9"/>
      <c r="Q37" s="1263" t="str">
        <f t="shared" si="11"/>
        <v>成新度</v>
      </c>
      <c r="R37" s="667" t="s">
        <v>14</v>
      </c>
      <c r="S37" s="668" t="e">
        <f t="shared" si="12"/>
        <v>#N/A</v>
      </c>
      <c r="T37" s="667" t="s">
        <v>14</v>
      </c>
      <c r="U37" s="668" t="e">
        <f t="shared" si="13"/>
        <v>#N/A</v>
      </c>
      <c r="V37" s="667" t="s">
        <v>14</v>
      </c>
      <c r="W37" s="668" t="e">
        <f t="shared" si="14"/>
        <v>#N/A</v>
      </c>
      <c r="X37" s="1265"/>
      <c r="Y37" s="3401"/>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9" t="s">
        <v>1696</v>
      </c>
      <c r="Q39" s="1263" t="str">
        <f t="shared" si="11"/>
        <v>物业管理</v>
      </c>
      <c r="R39" s="667" t="s">
        <v>14</v>
      </c>
      <c r="S39" s="668">
        <f t="shared" si="12"/>
        <v>100</v>
      </c>
      <c r="T39" s="667" t="s">
        <v>14</v>
      </c>
      <c r="U39" s="668">
        <f t="shared" si="13"/>
        <v>100</v>
      </c>
      <c r="V39" s="667" t="s">
        <v>14</v>
      </c>
      <c r="W39" s="668">
        <f t="shared" si="14"/>
        <v>100</v>
      </c>
      <c r="X39" s="1265"/>
      <c r="Y39" s="3401"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9"/>
      <c r="Q40" s="1263" t="str">
        <f t="shared" si="11"/>
        <v>市政基础设施</v>
      </c>
      <c r="R40" s="667" t="s">
        <v>14</v>
      </c>
      <c r="S40" s="668">
        <f t="shared" si="12"/>
        <v>100</v>
      </c>
      <c r="T40" s="667" t="s">
        <v>14</v>
      </c>
      <c r="U40" s="668">
        <f t="shared" si="13"/>
        <v>100</v>
      </c>
      <c r="V40" s="667" t="s">
        <v>14</v>
      </c>
      <c r="W40" s="668">
        <f t="shared" si="14"/>
        <v>100</v>
      </c>
      <c r="X40" s="1265"/>
      <c r="Y40" s="3401"/>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9"/>
      <c r="Q41" s="1263" t="str">
        <f t="shared" si="11"/>
        <v>层高</v>
      </c>
      <c r="R41" s="667" t="s">
        <v>14</v>
      </c>
      <c r="S41" s="668">
        <f t="shared" si="12"/>
        <v>100</v>
      </c>
      <c r="T41" s="667" t="s">
        <v>14</v>
      </c>
      <c r="U41" s="668">
        <f t="shared" si="13"/>
        <v>100</v>
      </c>
      <c r="V41" s="667" t="s">
        <v>14</v>
      </c>
      <c r="W41" s="668">
        <f t="shared" si="14"/>
        <v>100</v>
      </c>
      <c r="X41" s="1265"/>
      <c r="Y41" s="3401"/>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9"/>
      <c r="Q43" s="1263" t="str">
        <f t="shared" si="11"/>
        <v>内部装修</v>
      </c>
      <c r="R43" s="667" t="s">
        <v>14</v>
      </c>
      <c r="S43" s="668">
        <f t="shared" si="12"/>
        <v>100</v>
      </c>
      <c r="T43" s="667" t="s">
        <v>14</v>
      </c>
      <c r="U43" s="668">
        <f t="shared" si="13"/>
        <v>100</v>
      </c>
      <c r="V43" s="667" t="s">
        <v>14</v>
      </c>
      <c r="W43" s="668">
        <f t="shared" si="14"/>
        <v>100</v>
      </c>
      <c r="X43" s="1265"/>
      <c r="Y43" s="3401"/>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9"/>
      <c r="Q44" s="1263" t="str">
        <f t="shared" si="11"/>
        <v>内部装修维护情况</v>
      </c>
      <c r="R44" s="667" t="s">
        <v>14</v>
      </c>
      <c r="S44" s="668">
        <f t="shared" si="12"/>
        <v>100</v>
      </c>
      <c r="T44" s="667" t="s">
        <v>14</v>
      </c>
      <c r="U44" s="668">
        <f t="shared" si="13"/>
        <v>100</v>
      </c>
      <c r="V44" s="667" t="s">
        <v>14</v>
      </c>
      <c r="W44" s="668">
        <f t="shared" si="14"/>
        <v>100</v>
      </c>
      <c r="X44" s="1265"/>
      <c r="Y44" s="3401"/>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0"/>
      <c r="Q47" s="1263">
        <f t="shared" si="11"/>
        <v>111</v>
      </c>
      <c r="R47" s="667" t="s">
        <v>14</v>
      </c>
      <c r="S47" s="668">
        <f t="shared" si="12"/>
        <v>100</v>
      </c>
      <c r="T47" s="667" t="s">
        <v>14</v>
      </c>
      <c r="U47" s="668">
        <f t="shared" si="13"/>
        <v>100</v>
      </c>
      <c r="V47" s="667" t="s">
        <v>14</v>
      </c>
      <c r="W47" s="668">
        <f t="shared" si="14"/>
        <v>100</v>
      </c>
      <c r="X47" s="1265"/>
      <c r="Y47" s="3402"/>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5" t="str">
        <f>A48</f>
        <v>成交单价（元/平方米）</v>
      </c>
      <c r="Q48" s="3394"/>
      <c r="R48" s="3395">
        <f>E48</f>
        <v>0</v>
      </c>
      <c r="S48" s="3395"/>
      <c r="T48" s="3395">
        <f>G48</f>
        <v>0</v>
      </c>
      <c r="U48" s="3395"/>
      <c r="V48" s="3395">
        <f>I48</f>
        <v>0</v>
      </c>
      <c r="W48" s="3395"/>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5" t="str">
        <f>A49</f>
        <v>比较价值（元/平方米）</v>
      </c>
      <c r="Q49" s="339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860"/>
      <c r="M4" s="861"/>
      <c r="N4" s="861"/>
      <c r="O4" s="861"/>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5" t="s">
        <v>1674</v>
      </c>
      <c r="F5" s="3436"/>
      <c r="G5" s="3427" t="s">
        <v>1675</v>
      </c>
      <c r="H5" s="3428"/>
      <c r="I5" s="3427" t="s">
        <v>1676</v>
      </c>
      <c r="J5" s="3428"/>
      <c r="K5" s="537"/>
      <c r="L5" s="860"/>
      <c r="M5" s="861"/>
      <c r="N5" s="861"/>
      <c r="O5" s="861"/>
      <c r="P5" s="3415"/>
      <c r="Q5" s="3416"/>
      <c r="R5" s="3421"/>
      <c r="S5" s="3422"/>
      <c r="T5" s="3421"/>
      <c r="U5" s="3422"/>
      <c r="V5" s="3395"/>
      <c r="W5" s="3395"/>
      <c r="X5" s="1265"/>
      <c r="Y5" s="3421"/>
      <c r="Z5" s="3422"/>
      <c r="AA5" s="3407"/>
      <c r="AB5" s="3407"/>
      <c r="AC5" s="3407"/>
    </row>
    <row r="6" spans="1:29" ht="15.75" thickBot="1">
      <c r="A6" s="350"/>
      <c r="B6" s="351"/>
      <c r="C6" s="3425" t="s">
        <v>1677</v>
      </c>
      <c r="D6" s="3426"/>
      <c r="E6" s="3433" t="s">
        <v>1677</v>
      </c>
      <c r="F6" s="3434"/>
      <c r="G6" s="3425" t="s">
        <v>1677</v>
      </c>
      <c r="H6" s="3426"/>
      <c r="I6" s="3425" t="s">
        <v>1677</v>
      </c>
      <c r="J6" s="3426"/>
      <c r="K6" s="537" t="s">
        <v>1678</v>
      </c>
      <c r="L6" s="860"/>
      <c r="M6" s="861"/>
      <c r="N6" s="861"/>
      <c r="O6" s="861"/>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9" t="s">
        <v>1683</v>
      </c>
      <c r="Q8" s="3430"/>
      <c r="R8" s="664" t="s">
        <v>14</v>
      </c>
      <c r="S8" s="665">
        <f t="shared" si="0"/>
        <v>100</v>
      </c>
      <c r="T8" s="664" t="s">
        <v>14</v>
      </c>
      <c r="U8" s="665">
        <f t="shared" si="1"/>
        <v>100</v>
      </c>
      <c r="V8" s="664" t="s">
        <v>14</v>
      </c>
      <c r="W8" s="665">
        <f t="shared" si="2"/>
        <v>100</v>
      </c>
      <c r="X8" s="666"/>
      <c r="Y8" s="3429" t="s">
        <v>1683</v>
      </c>
      <c r="Z8" s="343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4"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4"/>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4"/>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4"/>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3" t="s">
        <v>1696</v>
      </c>
      <c r="Q29" s="1263" t="str">
        <f t="shared" si="11"/>
        <v>建筑类型</v>
      </c>
      <c r="R29" s="667" t="s">
        <v>14</v>
      </c>
      <c r="S29" s="668">
        <f t="shared" si="12"/>
        <v>100</v>
      </c>
      <c r="T29" s="667" t="s">
        <v>14</v>
      </c>
      <c r="U29" s="668">
        <f t="shared" si="13"/>
        <v>100</v>
      </c>
      <c r="V29" s="667" t="s">
        <v>14</v>
      </c>
      <c r="W29" s="668">
        <f t="shared" si="14"/>
        <v>100</v>
      </c>
      <c r="X29" s="1265"/>
      <c r="Y29" s="340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1"/>
      <c r="Q31" s="1263" t="str">
        <f t="shared" si="11"/>
        <v>建筑结构</v>
      </c>
      <c r="R31" s="667" t="s">
        <v>14</v>
      </c>
      <c r="S31" s="668">
        <f t="shared" si="12"/>
        <v>100</v>
      </c>
      <c r="T31" s="667" t="s">
        <v>14</v>
      </c>
      <c r="U31" s="668">
        <f t="shared" si="13"/>
        <v>100</v>
      </c>
      <c r="V31" s="667" t="s">
        <v>14</v>
      </c>
      <c r="W31" s="668">
        <f t="shared" si="14"/>
        <v>100</v>
      </c>
      <c r="X31" s="1265"/>
      <c r="Y31" s="340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1"/>
      <c r="Q32" s="1263" t="str">
        <f t="shared" si="11"/>
        <v>公共部分装修</v>
      </c>
      <c r="R32" s="667" t="s">
        <v>14</v>
      </c>
      <c r="S32" s="668">
        <f t="shared" si="12"/>
        <v>100</v>
      </c>
      <c r="T32" s="667" t="s">
        <v>14</v>
      </c>
      <c r="U32" s="668">
        <f t="shared" si="13"/>
        <v>100</v>
      </c>
      <c r="V32" s="667" t="s">
        <v>14</v>
      </c>
      <c r="W32" s="668">
        <f t="shared" si="14"/>
        <v>100</v>
      </c>
      <c r="X32" s="1265"/>
      <c r="Y32" s="340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1"/>
      <c r="Q33" s="1263" t="str">
        <f t="shared" si="11"/>
        <v>成新度</v>
      </c>
      <c r="R33" s="667" t="s">
        <v>14</v>
      </c>
      <c r="S33" s="668" t="e">
        <f t="shared" si="12"/>
        <v>#N/A</v>
      </c>
      <c r="T33" s="667" t="s">
        <v>14</v>
      </c>
      <c r="U33" s="668" t="e">
        <f t="shared" si="13"/>
        <v>#N/A</v>
      </c>
      <c r="V33" s="667" t="s">
        <v>14</v>
      </c>
      <c r="W33" s="668" t="e">
        <f t="shared" si="14"/>
        <v>#N/A</v>
      </c>
      <c r="X33" s="1265"/>
      <c r="Y33" s="340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1" t="s">
        <v>1696</v>
      </c>
      <c r="Q35" s="1263" t="str">
        <f t="shared" si="11"/>
        <v>市政基础设施</v>
      </c>
      <c r="R35" s="667" t="s">
        <v>14</v>
      </c>
      <c r="S35" s="668">
        <f t="shared" si="12"/>
        <v>100</v>
      </c>
      <c r="T35" s="667" t="s">
        <v>14</v>
      </c>
      <c r="U35" s="668">
        <f t="shared" si="13"/>
        <v>100</v>
      </c>
      <c r="V35" s="667" t="s">
        <v>14</v>
      </c>
      <c r="W35" s="668">
        <f t="shared" si="14"/>
        <v>100</v>
      </c>
      <c r="X35" s="1265"/>
      <c r="Y35" s="340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1"/>
      <c r="Q36" s="1263" t="str">
        <f t="shared" si="11"/>
        <v>内部装修</v>
      </c>
      <c r="R36" s="667" t="s">
        <v>14</v>
      </c>
      <c r="S36" s="668">
        <f t="shared" si="12"/>
        <v>100</v>
      </c>
      <c r="T36" s="667" t="s">
        <v>14</v>
      </c>
      <c r="U36" s="668">
        <f t="shared" si="13"/>
        <v>100</v>
      </c>
      <c r="V36" s="667" t="s">
        <v>14</v>
      </c>
      <c r="W36" s="668">
        <f t="shared" si="14"/>
        <v>100</v>
      </c>
      <c r="X36" s="1265"/>
      <c r="Y36" s="340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1"/>
      <c r="Q37" s="1263" t="str">
        <f t="shared" si="11"/>
        <v>内部装修状况</v>
      </c>
      <c r="R37" s="667" t="s">
        <v>14</v>
      </c>
      <c r="S37" s="668">
        <f t="shared" si="12"/>
        <v>100</v>
      </c>
      <c r="T37" s="667" t="s">
        <v>14</v>
      </c>
      <c r="U37" s="668">
        <f t="shared" si="13"/>
        <v>100</v>
      </c>
      <c r="V37" s="667" t="s">
        <v>14</v>
      </c>
      <c r="W37" s="668">
        <f t="shared" si="14"/>
        <v>100</v>
      </c>
      <c r="X37" s="1265"/>
      <c r="Y37" s="340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1"/>
      <c r="Q39" s="1263">
        <f t="shared" si="11"/>
        <v>111</v>
      </c>
      <c r="R39" s="667" t="s">
        <v>14</v>
      </c>
      <c r="S39" s="668">
        <f t="shared" si="12"/>
        <v>100</v>
      </c>
      <c r="T39" s="667" t="s">
        <v>14</v>
      </c>
      <c r="U39" s="668">
        <f t="shared" si="13"/>
        <v>100</v>
      </c>
      <c r="V39" s="667" t="s">
        <v>14</v>
      </c>
      <c r="W39" s="668">
        <f t="shared" si="14"/>
        <v>100</v>
      </c>
      <c r="X39" s="1265"/>
      <c r="Y39" s="3401"/>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2"/>
      <c r="Q40" s="1263">
        <f t="shared" si="11"/>
        <v>111</v>
      </c>
      <c r="R40" s="667" t="s">
        <v>14</v>
      </c>
      <c r="S40" s="668">
        <f t="shared" si="12"/>
        <v>100</v>
      </c>
      <c r="T40" s="667" t="s">
        <v>14</v>
      </c>
      <c r="U40" s="668">
        <f t="shared" si="13"/>
        <v>100</v>
      </c>
      <c r="V40" s="667" t="s">
        <v>14</v>
      </c>
      <c r="W40" s="668">
        <f t="shared" si="14"/>
        <v>100</v>
      </c>
      <c r="X40" s="1265"/>
      <c r="Y40" s="340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4" t="str">
        <f>A41</f>
        <v>成交单价（元/平方米）</v>
      </c>
      <c r="Q41" s="3394"/>
      <c r="R41" s="3395">
        <f>E41</f>
        <v>0</v>
      </c>
      <c r="S41" s="3395"/>
      <c r="T41" s="3395">
        <f>G41</f>
        <v>0</v>
      </c>
      <c r="U41" s="3395"/>
      <c r="V41" s="3395">
        <f>I41</f>
        <v>0</v>
      </c>
      <c r="W41" s="3395"/>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5" t="s">
        <v>1674</v>
      </c>
      <c r="F5" s="3436"/>
      <c r="G5" s="3427" t="s">
        <v>1675</v>
      </c>
      <c r="H5" s="3428"/>
      <c r="I5" s="3427" t="s">
        <v>1676</v>
      </c>
      <c r="J5" s="3428"/>
      <c r="K5" s="537"/>
      <c r="L5" s="2486"/>
      <c r="M5" s="2487"/>
      <c r="N5" s="2487"/>
      <c r="O5" s="2487"/>
      <c r="P5" s="3415"/>
      <c r="Q5" s="3416"/>
      <c r="R5" s="3421"/>
      <c r="S5" s="3422"/>
      <c r="T5" s="3421"/>
      <c r="U5" s="3422"/>
      <c r="V5" s="3395"/>
      <c r="W5" s="3395"/>
      <c r="X5" s="1265"/>
      <c r="Y5" s="3421"/>
      <c r="Z5" s="3422"/>
      <c r="AA5" s="3407"/>
      <c r="AB5" s="3407"/>
      <c r="AC5" s="3407"/>
    </row>
    <row r="6" spans="1:29" ht="15.75" thickBot="1">
      <c r="A6" s="350"/>
      <c r="B6" s="351"/>
      <c r="C6" s="3425" t="s">
        <v>1677</v>
      </c>
      <c r="D6" s="3426"/>
      <c r="E6" s="3433" t="s">
        <v>1677</v>
      </c>
      <c r="F6" s="3434"/>
      <c r="G6" s="3425" t="s">
        <v>1677</v>
      </c>
      <c r="H6" s="3426"/>
      <c r="I6" s="3425" t="s">
        <v>1677</v>
      </c>
      <c r="J6" s="3426"/>
      <c r="K6" s="537" t="s">
        <v>1678</v>
      </c>
      <c r="L6" s="2486"/>
      <c r="M6" s="2487"/>
      <c r="N6" s="2487"/>
      <c r="O6" s="2487"/>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9" t="s">
        <v>1680</v>
      </c>
      <c r="Q7" s="3431"/>
      <c r="R7" s="664" t="s">
        <v>14</v>
      </c>
      <c r="S7" s="665">
        <f t="shared" ref="S7:S14" si="0">F7</f>
        <v>0</v>
      </c>
      <c r="T7" s="664" t="s">
        <v>14</v>
      </c>
      <c r="U7" s="665">
        <f t="shared" ref="U7:U14" si="1">H7</f>
        <v>0</v>
      </c>
      <c r="V7" s="664" t="s">
        <v>14</v>
      </c>
      <c r="W7" s="665">
        <f t="shared" ref="W7:W14"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9" t="s">
        <v>1683</v>
      </c>
      <c r="Q8" s="3430"/>
      <c r="R8" s="664" t="s">
        <v>14</v>
      </c>
      <c r="S8" s="665">
        <f t="shared" si="0"/>
        <v>100</v>
      </c>
      <c r="T8" s="664" t="s">
        <v>14</v>
      </c>
      <c r="U8" s="665">
        <f t="shared" si="1"/>
        <v>100</v>
      </c>
      <c r="V8" s="664" t="s">
        <v>14</v>
      </c>
      <c r="W8" s="665">
        <f t="shared" si="2"/>
        <v>100</v>
      </c>
      <c r="X8" s="666"/>
      <c r="Y8" s="3429" t="s">
        <v>1683</v>
      </c>
      <c r="Z8" s="343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4"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4"/>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97"/>
      <c r="Q15" s="1263"/>
      <c r="R15" s="667"/>
      <c r="S15" s="668"/>
      <c r="T15" s="667"/>
      <c r="U15" s="668"/>
      <c r="V15" s="667"/>
      <c r="W15" s="668"/>
      <c r="X15" s="1265"/>
      <c r="Y15" s="3397"/>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97"/>
      <c r="Q17" s="1263"/>
      <c r="R17" s="667"/>
      <c r="S17" s="668"/>
      <c r="T17" s="667"/>
      <c r="U17" s="668"/>
      <c r="V17" s="667"/>
      <c r="W17" s="668"/>
      <c r="X17" s="1265"/>
      <c r="Y17" s="3397"/>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97"/>
      <c r="Q19" s="1263"/>
      <c r="R19" s="667"/>
      <c r="S19" s="668"/>
      <c r="T19" s="667"/>
      <c r="U19" s="668"/>
      <c r="V19" s="667"/>
      <c r="W19" s="668"/>
      <c r="X19" s="1265"/>
      <c r="Y19" s="3397"/>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7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1"/>
      <c r="Q28" s="1263" t="str">
        <f t="shared" si="11"/>
        <v>公共部分装修</v>
      </c>
      <c r="R28" s="667" t="s">
        <v>14</v>
      </c>
      <c r="S28" s="668">
        <f t="shared" si="12"/>
        <v>100</v>
      </c>
      <c r="T28" s="667" t="s">
        <v>14</v>
      </c>
      <c r="U28" s="668">
        <f t="shared" si="13"/>
        <v>100</v>
      </c>
      <c r="V28" s="667" t="s">
        <v>14</v>
      </c>
      <c r="W28" s="668">
        <f t="shared" si="14"/>
        <v>100</v>
      </c>
      <c r="X28" s="1265"/>
      <c r="Y28" s="340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1"/>
      <c r="Q29" s="1263" t="str">
        <f t="shared" si="11"/>
        <v>成新率</v>
      </c>
      <c r="R29" s="667" t="s">
        <v>14</v>
      </c>
      <c r="S29" s="668" t="e">
        <f t="shared" si="12"/>
        <v>#N/A</v>
      </c>
      <c r="T29" s="667" t="s">
        <v>14</v>
      </c>
      <c r="U29" s="668" t="e">
        <f t="shared" si="13"/>
        <v>#N/A</v>
      </c>
      <c r="V29" s="667" t="s">
        <v>14</v>
      </c>
      <c r="W29" s="668" t="e">
        <f t="shared" si="14"/>
        <v>#N/A</v>
      </c>
      <c r="X29" s="1265"/>
      <c r="Y29" s="340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1"/>
      <c r="Q30" s="1263" t="str">
        <f t="shared" si="11"/>
        <v>物业等级</v>
      </c>
      <c r="R30" s="667" t="s">
        <v>14</v>
      </c>
      <c r="S30" s="668">
        <f t="shared" si="12"/>
        <v>100</v>
      </c>
      <c r="T30" s="667" t="s">
        <v>14</v>
      </c>
      <c r="U30" s="668">
        <f t="shared" si="13"/>
        <v>100</v>
      </c>
      <c r="V30" s="667" t="s">
        <v>14</v>
      </c>
      <c r="W30" s="668">
        <f t="shared" si="14"/>
        <v>100</v>
      </c>
      <c r="X30" s="1265"/>
      <c r="Y30" s="340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1" t="s">
        <v>1696</v>
      </c>
      <c r="Q32" s="1263" t="str">
        <f t="shared" si="11"/>
        <v>车位类型</v>
      </c>
      <c r="R32" s="667" t="s">
        <v>14</v>
      </c>
      <c r="S32" s="668">
        <f t="shared" si="12"/>
        <v>100</v>
      </c>
      <c r="T32" s="667" t="s">
        <v>14</v>
      </c>
      <c r="U32" s="668">
        <f t="shared" si="13"/>
        <v>100</v>
      </c>
      <c r="V32" s="667" t="s">
        <v>14</v>
      </c>
      <c r="W32" s="668">
        <f t="shared" si="14"/>
        <v>100</v>
      </c>
      <c r="X32" s="1265"/>
      <c r="Y32" s="340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1"/>
      <c r="Q33" s="1263" t="str">
        <f t="shared" si="11"/>
        <v>是否直接入户</v>
      </c>
      <c r="R33" s="667" t="s">
        <v>14</v>
      </c>
      <c r="S33" s="668">
        <f t="shared" si="12"/>
        <v>100</v>
      </c>
      <c r="T33" s="667" t="s">
        <v>14</v>
      </c>
      <c r="U33" s="668">
        <f t="shared" si="13"/>
        <v>100</v>
      </c>
      <c r="V33" s="667" t="s">
        <v>14</v>
      </c>
      <c r="W33" s="668">
        <f t="shared" si="14"/>
        <v>100</v>
      </c>
      <c r="X33" s="1265"/>
      <c r="Y33" s="340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1"/>
      <c r="Q36" s="1263">
        <f t="shared" si="11"/>
        <v>111</v>
      </c>
      <c r="R36" s="667" t="s">
        <v>14</v>
      </c>
      <c r="S36" s="668">
        <f t="shared" si="12"/>
        <v>100</v>
      </c>
      <c r="T36" s="667" t="s">
        <v>14</v>
      </c>
      <c r="U36" s="668">
        <f t="shared" si="13"/>
        <v>100</v>
      </c>
      <c r="V36" s="667" t="s">
        <v>14</v>
      </c>
      <c r="W36" s="668">
        <f t="shared" si="14"/>
        <v>100</v>
      </c>
      <c r="X36" s="1265"/>
      <c r="Y36" s="3401"/>
      <c r="Z36" s="1264">
        <f t="shared" si="15"/>
        <v>111</v>
      </c>
      <c r="AA36" s="1264">
        <f t="shared" si="3"/>
        <v>1</v>
      </c>
      <c r="AB36" s="1264">
        <f t="shared" si="4"/>
        <v>1</v>
      </c>
      <c r="AC36" s="1264">
        <f t="shared" si="5"/>
        <v>1</v>
      </c>
    </row>
    <row r="37" spans="1:29" ht="15">
      <c r="A37" s="416" t="s">
        <v>1844</v>
      </c>
      <c r="B37" s="1820" t="s">
        <v>3354</v>
      </c>
      <c r="C37" s="1081" t="s">
        <v>0</v>
      </c>
      <c r="D37" s="418"/>
      <c r="E37" s="419"/>
      <c r="F37" s="420"/>
      <c r="G37" s="421"/>
      <c r="H37" s="422"/>
      <c r="I37" s="419"/>
      <c r="J37" s="422"/>
      <c r="K37" s="545"/>
      <c r="L37" s="2494"/>
      <c r="M37" s="2487"/>
      <c r="N37" s="2487"/>
      <c r="O37" s="2487"/>
      <c r="P37" s="3394" t="str">
        <f>A37</f>
        <v>成交单价</v>
      </c>
      <c r="Q37" s="3394"/>
      <c r="R37" s="3395">
        <f>E37</f>
        <v>0</v>
      </c>
      <c r="S37" s="3395"/>
      <c r="T37" s="3395">
        <f>G37</f>
        <v>0</v>
      </c>
      <c r="U37" s="3395"/>
      <c r="V37" s="3395">
        <f>I37</f>
        <v>0</v>
      </c>
      <c r="W37" s="3395"/>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91" t="str">
        <f>A39</f>
        <v>估价对象XX用房的比较价值（楼面单价，元/平方米）</v>
      </c>
      <c r="Q39" s="3392"/>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估价对象为北京市房地产，为所有。根据《国有土地使用证》[]，估价对象（分摊）出让国有建设用地使用权面积为0平方米，建筑面积为63.97平方米。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估价对象为北京市房地产,属开发建设的，该项目尚在开发建设中。根据《国有土地使用证》[]，估价对象（分摊）出让国有建设用地使用权面积为0平方米，规划建筑面积为63.97平方米。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5" t="s">
        <v>1674</v>
      </c>
      <c r="F5" s="3436"/>
      <c r="G5" s="3427" t="s">
        <v>1675</v>
      </c>
      <c r="H5" s="3428"/>
      <c r="I5" s="3427" t="s">
        <v>1676</v>
      </c>
      <c r="J5" s="3428"/>
      <c r="K5" s="537"/>
      <c r="L5" s="2486"/>
      <c r="M5" s="2487"/>
      <c r="N5" s="2487"/>
      <c r="O5" s="2487"/>
      <c r="P5" s="3415"/>
      <c r="Q5" s="3416"/>
      <c r="R5" s="3421"/>
      <c r="S5" s="3422"/>
      <c r="T5" s="3421"/>
      <c r="U5" s="3422"/>
      <c r="V5" s="3395"/>
      <c r="W5" s="3395"/>
      <c r="X5" s="1265"/>
      <c r="Y5" s="3421"/>
      <c r="Z5" s="3422"/>
      <c r="AA5" s="3407"/>
      <c r="AB5" s="3407"/>
      <c r="AC5" s="3407"/>
    </row>
    <row r="6" spans="1:29" ht="15.75" thickBot="1">
      <c r="A6" s="350"/>
      <c r="B6" s="351"/>
      <c r="C6" s="3425" t="s">
        <v>1677</v>
      </c>
      <c r="D6" s="3426"/>
      <c r="E6" s="3433" t="s">
        <v>1677</v>
      </c>
      <c r="F6" s="3434"/>
      <c r="G6" s="3425" t="s">
        <v>1677</v>
      </c>
      <c r="H6" s="3426"/>
      <c r="I6" s="3425" t="s">
        <v>1677</v>
      </c>
      <c r="J6" s="3426"/>
      <c r="K6" s="537" t="s">
        <v>1678</v>
      </c>
      <c r="L6" s="2486"/>
      <c r="M6" s="2487"/>
      <c r="N6" s="2487"/>
      <c r="O6" s="2487"/>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45812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9" t="s">
        <v>1680</v>
      </c>
      <c r="Q7" s="3431"/>
      <c r="R7" s="664" t="s">
        <v>14</v>
      </c>
      <c r="S7" s="665">
        <f t="shared" ref="S7:S14" si="0">F7</f>
        <v>0</v>
      </c>
      <c r="T7" s="664" t="s">
        <v>14</v>
      </c>
      <c r="U7" s="665">
        <f t="shared" ref="U7:U14" si="1">H7</f>
        <v>0</v>
      </c>
      <c r="V7" s="664" t="s">
        <v>14</v>
      </c>
      <c r="W7" s="665">
        <f t="shared" ref="W7:W14"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9" t="s">
        <v>1683</v>
      </c>
      <c r="Q8" s="3430"/>
      <c r="R8" s="664" t="s">
        <v>14</v>
      </c>
      <c r="S8" s="665">
        <f t="shared" si="0"/>
        <v>100</v>
      </c>
      <c r="T8" s="664" t="s">
        <v>14</v>
      </c>
      <c r="U8" s="665">
        <f t="shared" si="1"/>
        <v>100</v>
      </c>
      <c r="V8" s="664" t="s">
        <v>14</v>
      </c>
      <c r="W8" s="665">
        <f t="shared" si="2"/>
        <v>100</v>
      </c>
      <c r="X8" s="666"/>
      <c r="Y8" s="3429" t="s">
        <v>1683</v>
      </c>
      <c r="Z8" s="343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4"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4"/>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4"/>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97"/>
      <c r="Q15" s="1263"/>
      <c r="R15" s="667"/>
      <c r="S15" s="668"/>
      <c r="T15" s="667"/>
      <c r="U15" s="668"/>
      <c r="V15" s="667"/>
      <c r="W15" s="668"/>
      <c r="X15" s="1265"/>
      <c r="Y15" s="3397"/>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97"/>
      <c r="Q17" s="1263"/>
      <c r="R17" s="667"/>
      <c r="S17" s="668"/>
      <c r="T17" s="667"/>
      <c r="U17" s="668"/>
      <c r="V17" s="667"/>
      <c r="W17" s="668"/>
      <c r="X17" s="1265"/>
      <c r="Y17" s="3397"/>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97"/>
      <c r="Q19" s="1263"/>
      <c r="R19" s="667"/>
      <c r="S19" s="668"/>
      <c r="T19" s="667"/>
      <c r="U19" s="668"/>
      <c r="V19" s="667"/>
      <c r="W19" s="668"/>
      <c r="X19" s="1265"/>
      <c r="Y19" s="3397"/>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7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1"/>
      <c r="Q28" s="1263" t="str">
        <f t="shared" si="11"/>
        <v>物业等级</v>
      </c>
      <c r="R28" s="667" t="s">
        <v>14</v>
      </c>
      <c r="S28" s="668">
        <f t="shared" si="12"/>
        <v>100</v>
      </c>
      <c r="T28" s="667" t="s">
        <v>14</v>
      </c>
      <c r="U28" s="668">
        <f t="shared" si="13"/>
        <v>100</v>
      </c>
      <c r="V28" s="667" t="s">
        <v>14</v>
      </c>
      <c r="W28" s="668">
        <f t="shared" si="14"/>
        <v>100</v>
      </c>
      <c r="X28" s="1265"/>
      <c r="Y28" s="340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1"/>
      <c r="Q29" s="1263" t="str">
        <f t="shared" si="11"/>
        <v>有无电梯</v>
      </c>
      <c r="R29" s="667" t="s">
        <v>14</v>
      </c>
      <c r="S29" s="668">
        <f t="shared" si="12"/>
        <v>100</v>
      </c>
      <c r="T29" s="667" t="s">
        <v>14</v>
      </c>
      <c r="U29" s="668">
        <f t="shared" si="13"/>
        <v>100</v>
      </c>
      <c r="V29" s="667" t="s">
        <v>14</v>
      </c>
      <c r="W29" s="668">
        <f t="shared" si="14"/>
        <v>100</v>
      </c>
      <c r="X29" s="1265"/>
      <c r="Y29" s="340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1"/>
      <c r="Q30" s="1263" t="str">
        <f t="shared" si="11"/>
        <v>建筑面积</v>
      </c>
      <c r="R30" s="667" t="s">
        <v>14</v>
      </c>
      <c r="S30" s="668" t="e">
        <f t="shared" si="12"/>
        <v>#N/A</v>
      </c>
      <c r="T30" s="667" t="s">
        <v>14</v>
      </c>
      <c r="U30" s="668" t="e">
        <f t="shared" si="13"/>
        <v>#N/A</v>
      </c>
      <c r="V30" s="667" t="s">
        <v>14</v>
      </c>
      <c r="W30" s="668" t="e">
        <f t="shared" si="14"/>
        <v>#N/A</v>
      </c>
      <c r="X30" s="1265"/>
      <c r="Y30" s="340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1" t="s">
        <v>1696</v>
      </c>
      <c r="Q32" s="1263">
        <f t="shared" si="11"/>
        <v>111</v>
      </c>
      <c r="R32" s="667" t="s">
        <v>14</v>
      </c>
      <c r="S32" s="668">
        <f t="shared" si="12"/>
        <v>100</v>
      </c>
      <c r="T32" s="667" t="s">
        <v>14</v>
      </c>
      <c r="U32" s="668">
        <f t="shared" si="13"/>
        <v>100</v>
      </c>
      <c r="V32" s="667" t="s">
        <v>14</v>
      </c>
      <c r="W32" s="668">
        <f t="shared" si="14"/>
        <v>100</v>
      </c>
      <c r="X32" s="1265"/>
      <c r="Y32" s="340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1"/>
      <c r="Q33" s="1263">
        <f t="shared" si="11"/>
        <v>111</v>
      </c>
      <c r="R33" s="667" t="s">
        <v>14</v>
      </c>
      <c r="S33" s="668">
        <f t="shared" si="12"/>
        <v>100</v>
      </c>
      <c r="T33" s="667" t="s">
        <v>14</v>
      </c>
      <c r="U33" s="668">
        <f t="shared" si="13"/>
        <v>100</v>
      </c>
      <c r="V33" s="667" t="s">
        <v>14</v>
      </c>
      <c r="W33" s="668">
        <f t="shared" si="14"/>
        <v>100</v>
      </c>
      <c r="X33" s="1265"/>
      <c r="Y33" s="3401"/>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94" t="str">
        <f>A35</f>
        <v>成交单价（元/平方米）</v>
      </c>
      <c r="Q35" s="3394"/>
      <c r="R35" s="3395">
        <f>E35</f>
        <v>0</v>
      </c>
      <c r="S35" s="3395"/>
      <c r="T35" s="3395">
        <f>G35</f>
        <v>0</v>
      </c>
      <c r="U35" s="3395"/>
      <c r="V35" s="3395">
        <f>I35</f>
        <v>0</v>
      </c>
      <c r="W35" s="3395"/>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91" t="str">
        <f>A37</f>
        <v>估价对象XX用房的比较价值（楼面单价，元/平方米）</v>
      </c>
      <c r="Q37" s="3392"/>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5" t="s">
        <v>1674</v>
      </c>
      <c r="F5" s="3436"/>
      <c r="G5" s="3427" t="s">
        <v>1675</v>
      </c>
      <c r="H5" s="3428"/>
      <c r="I5" s="3427" t="s">
        <v>1676</v>
      </c>
      <c r="J5" s="3428"/>
      <c r="K5" s="537"/>
      <c r="L5" s="2486"/>
      <c r="M5" s="2487"/>
      <c r="N5" s="2487"/>
      <c r="O5" s="2487"/>
      <c r="P5" s="3415"/>
      <c r="Q5" s="3416"/>
      <c r="R5" s="3421"/>
      <c r="S5" s="3422"/>
      <c r="T5" s="3421"/>
      <c r="U5" s="3422"/>
      <c r="V5" s="3395"/>
      <c r="W5" s="3395"/>
      <c r="X5" s="1265"/>
      <c r="Y5" s="3421"/>
      <c r="Z5" s="3422"/>
      <c r="AA5" s="3407"/>
      <c r="AB5" s="3407"/>
      <c r="AC5" s="3407"/>
    </row>
    <row r="6" spans="1:29" ht="15.75" thickBot="1">
      <c r="A6" s="350"/>
      <c r="B6" s="351"/>
      <c r="C6" s="3425" t="s">
        <v>1677</v>
      </c>
      <c r="D6" s="3426"/>
      <c r="E6" s="3433" t="s">
        <v>1677</v>
      </c>
      <c r="F6" s="3434"/>
      <c r="G6" s="3425" t="s">
        <v>1677</v>
      </c>
      <c r="H6" s="3426"/>
      <c r="I6" s="3425" t="s">
        <v>1677</v>
      </c>
      <c r="J6" s="3426"/>
      <c r="K6" s="537" t="s">
        <v>1678</v>
      </c>
      <c r="L6" s="2486"/>
      <c r="M6" s="2487"/>
      <c r="N6" s="2487"/>
      <c r="O6" s="2487"/>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45812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9" t="s">
        <v>1683</v>
      </c>
      <c r="Q8" s="3430"/>
      <c r="R8" s="664" t="s">
        <v>14</v>
      </c>
      <c r="S8" s="665">
        <f t="shared" si="0"/>
        <v>0</v>
      </c>
      <c r="T8" s="664" t="s">
        <v>14</v>
      </c>
      <c r="U8" s="665">
        <f t="shared" si="1"/>
        <v>0</v>
      </c>
      <c r="V8" s="664" t="s">
        <v>14</v>
      </c>
      <c r="W8" s="665">
        <f t="shared" si="2"/>
        <v>0</v>
      </c>
      <c r="X8" s="666"/>
      <c r="Y8" s="3429" t="s">
        <v>1683</v>
      </c>
      <c r="Z8" s="343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4"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94"/>
      <c r="Q10" s="530" t="str">
        <f t="shared" si="6"/>
        <v>土地使用年限（年）</v>
      </c>
      <c r="R10" s="664" t="s">
        <v>14</v>
      </c>
      <c r="S10" s="665">
        <f t="shared" si="0"/>
        <v>114</v>
      </c>
      <c r="T10" s="664" t="s">
        <v>14</v>
      </c>
      <c r="U10" s="665">
        <f t="shared" si="1"/>
        <v>114</v>
      </c>
      <c r="V10" s="664" t="s">
        <v>14</v>
      </c>
      <c r="W10" s="665">
        <f t="shared" si="2"/>
        <v>114</v>
      </c>
      <c r="X10" s="666"/>
      <c r="Y10" s="3290"/>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4"/>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94"/>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4"/>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4"/>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97"/>
      <c r="Q16" s="1263"/>
      <c r="R16" s="667"/>
      <c r="S16" s="668"/>
      <c r="T16" s="667"/>
      <c r="U16" s="668"/>
      <c r="V16" s="667"/>
      <c r="W16" s="668"/>
      <c r="X16" s="1265"/>
      <c r="Y16" s="3397"/>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97"/>
      <c r="Q18" s="1263"/>
      <c r="R18" s="667"/>
      <c r="S18" s="668"/>
      <c r="T18" s="667"/>
      <c r="U18" s="668"/>
      <c r="V18" s="667"/>
      <c r="W18" s="668"/>
      <c r="X18" s="1265"/>
      <c r="Y18" s="3397"/>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97"/>
      <c r="Q20" s="1263"/>
      <c r="R20" s="667"/>
      <c r="S20" s="668"/>
      <c r="T20" s="667"/>
      <c r="U20" s="668"/>
      <c r="V20" s="667"/>
      <c r="W20" s="668"/>
      <c r="X20" s="1265"/>
      <c r="Y20" s="3397"/>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97"/>
      <c r="Q22" s="1263"/>
      <c r="R22" s="667"/>
      <c r="S22" s="668"/>
      <c r="T22" s="667"/>
      <c r="U22" s="668"/>
      <c r="V22" s="667"/>
      <c r="W22" s="668"/>
      <c r="X22" s="1265"/>
      <c r="Y22" s="339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97"/>
      <c r="Q24" s="1263"/>
      <c r="R24" s="667"/>
      <c r="S24" s="668"/>
      <c r="T24" s="667"/>
      <c r="U24" s="668"/>
      <c r="V24" s="667"/>
      <c r="W24" s="668"/>
      <c r="X24" s="1265"/>
      <c r="Y24" s="3397"/>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97"/>
      <c r="Q26" s="1263"/>
      <c r="R26" s="667"/>
      <c r="S26" s="668"/>
      <c r="T26" s="667"/>
      <c r="U26" s="668"/>
      <c r="V26" s="667"/>
      <c r="W26" s="668"/>
      <c r="X26" s="1265"/>
      <c r="Y26" s="3397"/>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97"/>
      <c r="Q28" s="530"/>
      <c r="R28" s="664"/>
      <c r="S28" s="665"/>
      <c r="T28" s="664"/>
      <c r="U28" s="665"/>
      <c r="V28" s="664"/>
      <c r="W28" s="665"/>
      <c r="X28" s="666"/>
      <c r="Y28" s="3397"/>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73" t="s">
        <v>1696</v>
      </c>
      <c r="Q36" s="1263">
        <f t="shared" si="8"/>
        <v>111</v>
      </c>
      <c r="R36" s="667" t="s">
        <v>14</v>
      </c>
      <c r="S36" s="668">
        <f t="shared" si="10"/>
        <v>100</v>
      </c>
      <c r="T36" s="667" t="s">
        <v>14</v>
      </c>
      <c r="U36" s="668">
        <f t="shared" si="11"/>
        <v>100</v>
      </c>
      <c r="V36" s="667" t="s">
        <v>14</v>
      </c>
      <c r="W36" s="668">
        <f t="shared" si="12"/>
        <v>100</v>
      </c>
      <c r="X36" s="1265"/>
      <c r="Y36" s="340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1"/>
      <c r="Q37" s="1263">
        <f t="shared" si="8"/>
        <v>111</v>
      </c>
      <c r="R37" s="669" t="s">
        <v>14</v>
      </c>
      <c r="S37" s="670">
        <f t="shared" si="10"/>
        <v>100</v>
      </c>
      <c r="T37" s="669" t="s">
        <v>14</v>
      </c>
      <c r="U37" s="670">
        <f t="shared" si="11"/>
        <v>100</v>
      </c>
      <c r="V37" s="669" t="s">
        <v>14</v>
      </c>
      <c r="W37" s="670">
        <f t="shared" si="12"/>
        <v>100</v>
      </c>
      <c r="X37" s="671"/>
      <c r="Y37" s="340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1"/>
      <c r="Q38" s="1263" t="str">
        <f>B38</f>
        <v>宗地面积</v>
      </c>
      <c r="R38" s="667" t="s">
        <v>14</v>
      </c>
      <c r="S38" s="668" t="e">
        <f t="shared" si="10"/>
        <v>#N/A</v>
      </c>
      <c r="T38" s="667" t="s">
        <v>14</v>
      </c>
      <c r="U38" s="668" t="e">
        <f t="shared" si="11"/>
        <v>#N/A</v>
      </c>
      <c r="V38" s="667" t="s">
        <v>14</v>
      </c>
      <c r="W38" s="668" t="e">
        <f t="shared" si="12"/>
        <v>#N/A</v>
      </c>
      <c r="X38" s="1265"/>
      <c r="Y38" s="3401"/>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1"/>
      <c r="Q39" s="1263" t="str">
        <f t="shared" ref="Q39:Q45" si="14">B39</f>
        <v>宗地形状</v>
      </c>
      <c r="R39" s="667" t="s">
        <v>14</v>
      </c>
      <c r="S39" s="668">
        <f t="shared" si="10"/>
        <v>100</v>
      </c>
      <c r="T39" s="667" t="s">
        <v>14</v>
      </c>
      <c r="U39" s="668">
        <f t="shared" si="11"/>
        <v>100</v>
      </c>
      <c r="V39" s="667" t="s">
        <v>14</v>
      </c>
      <c r="W39" s="668">
        <f t="shared" si="12"/>
        <v>100</v>
      </c>
      <c r="X39" s="1265"/>
      <c r="Y39" s="3401"/>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1"/>
      <c r="Q40" s="1263" t="str">
        <f t="shared" si="14"/>
        <v>临街宽度及深度</v>
      </c>
      <c r="R40" s="667" t="s">
        <v>14</v>
      </c>
      <c r="S40" s="668">
        <f t="shared" si="10"/>
        <v>100</v>
      </c>
      <c r="T40" s="667" t="s">
        <v>14</v>
      </c>
      <c r="U40" s="668">
        <f t="shared" si="11"/>
        <v>100</v>
      </c>
      <c r="V40" s="667" t="s">
        <v>14</v>
      </c>
      <c r="W40" s="668">
        <f t="shared" si="12"/>
        <v>100</v>
      </c>
      <c r="X40" s="1265"/>
      <c r="Y40" s="3401"/>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1"/>
      <c r="Q41" s="1263"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1" t="s">
        <v>1696</v>
      </c>
      <c r="Q42" s="1263" t="str">
        <f t="shared" si="14"/>
        <v>工程地质条件</v>
      </c>
      <c r="R42" s="667" t="s">
        <v>14</v>
      </c>
      <c r="S42" s="668">
        <f t="shared" si="10"/>
        <v>100</v>
      </c>
      <c r="T42" s="667" t="s">
        <v>14</v>
      </c>
      <c r="U42" s="668">
        <f t="shared" si="11"/>
        <v>100</v>
      </c>
      <c r="V42" s="667" t="s">
        <v>14</v>
      </c>
      <c r="W42" s="668">
        <f t="shared" si="12"/>
        <v>100</v>
      </c>
      <c r="X42" s="1265"/>
      <c r="Y42" s="340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1"/>
      <c r="Q43" s="1263">
        <f t="shared" si="14"/>
        <v>111</v>
      </c>
      <c r="R43" s="667" t="s">
        <v>14</v>
      </c>
      <c r="S43" s="668">
        <f t="shared" si="10"/>
        <v>100</v>
      </c>
      <c r="T43" s="667" t="s">
        <v>14</v>
      </c>
      <c r="U43" s="668">
        <f t="shared" si="11"/>
        <v>100</v>
      </c>
      <c r="V43" s="667" t="s">
        <v>14</v>
      </c>
      <c r="W43" s="668">
        <f t="shared" si="12"/>
        <v>100</v>
      </c>
      <c r="X43" s="1265"/>
      <c r="Y43" s="340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1"/>
      <c r="Q44" s="1263">
        <f t="shared" si="14"/>
        <v>111</v>
      </c>
      <c r="R44" s="667" t="s">
        <v>14</v>
      </c>
      <c r="S44" s="668">
        <f t="shared" si="10"/>
        <v>100</v>
      </c>
      <c r="T44" s="667" t="s">
        <v>14</v>
      </c>
      <c r="U44" s="668">
        <f t="shared" si="11"/>
        <v>100</v>
      </c>
      <c r="V44" s="667" t="s">
        <v>14</v>
      </c>
      <c r="W44" s="668">
        <f t="shared" si="12"/>
        <v>100</v>
      </c>
      <c r="X44" s="1265"/>
      <c r="Y44" s="3401"/>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1"/>
      <c r="Q45" s="1263">
        <f t="shared" si="14"/>
        <v>111</v>
      </c>
      <c r="R45" s="669" t="s">
        <v>14</v>
      </c>
      <c r="S45" s="670">
        <f t="shared" si="10"/>
        <v>100</v>
      </c>
      <c r="T45" s="669" t="s">
        <v>14</v>
      </c>
      <c r="U45" s="670">
        <f t="shared" si="11"/>
        <v>100</v>
      </c>
      <c r="V45" s="669" t="s">
        <v>14</v>
      </c>
      <c r="W45" s="670">
        <f t="shared" si="12"/>
        <v>100</v>
      </c>
      <c r="X45" s="671"/>
      <c r="Y45" s="3401"/>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94" t="str">
        <f>A46</f>
        <v>成交单价</v>
      </c>
      <c r="Q46" s="3394"/>
      <c r="R46" s="3395">
        <f>E46</f>
        <v>0</v>
      </c>
      <c r="S46" s="3395"/>
      <c r="T46" s="3395">
        <f>G46</f>
        <v>0</v>
      </c>
      <c r="U46" s="3395"/>
      <c r="V46" s="3395">
        <f>I46</f>
        <v>0</v>
      </c>
      <c r="W46" s="3395"/>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94" t="str">
        <f>A47</f>
        <v>比较价值（元/平方米）</v>
      </c>
      <c r="Q47" s="3394"/>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91" t="str">
        <f>A48</f>
        <v>估价对象XX用房的比较价值（楼面单价，元/平方米）</v>
      </c>
      <c r="Q48" s="3392"/>
      <c r="R48" s="3476" t="e">
        <f>ROUND(IF(D47="简单平均",AVERAGE(R47:W47),R47*F47+T47*H47+V47*J47),0)</f>
        <v>#DIV/0!</v>
      </c>
      <c r="S48" s="3476"/>
      <c r="T48" s="3476"/>
      <c r="U48" s="3476"/>
      <c r="V48" s="3476"/>
      <c r="W48" s="347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9" t="s">
        <v>1887</v>
      </c>
      <c r="H55" s="3477"/>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63.97</v>
      </c>
      <c r="F56" s="833" t="e">
        <f t="shared" ref="F56:F64" si="15">ROUND(B56*E56/10000,0)</f>
        <v>#DIV/0!</v>
      </c>
      <c r="G56" s="3405"/>
      <c r="H56" s="339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三级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63.97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5" t="s">
        <v>1674</v>
      </c>
      <c r="F5" s="3436"/>
      <c r="G5" s="3427" t="s">
        <v>1675</v>
      </c>
      <c r="H5" s="3428"/>
      <c r="I5" s="3427" t="s">
        <v>1676</v>
      </c>
      <c r="J5" s="3428"/>
      <c r="K5" s="537"/>
      <c r="L5" s="2486"/>
      <c r="M5" s="2487"/>
      <c r="N5" s="2487"/>
      <c r="O5" s="2487"/>
      <c r="P5" s="3415"/>
      <c r="Q5" s="3416"/>
      <c r="R5" s="3421"/>
      <c r="S5" s="3422"/>
      <c r="T5" s="3421"/>
      <c r="U5" s="3422"/>
      <c r="V5" s="3395"/>
      <c r="W5" s="3395"/>
      <c r="X5" s="1265"/>
      <c r="Y5" s="3421"/>
      <c r="Z5" s="3422"/>
      <c r="AA5" s="3407"/>
      <c r="AB5" s="3407"/>
      <c r="AC5" s="3407"/>
    </row>
    <row r="6" spans="1:29" ht="15.75" thickBot="1">
      <c r="A6" s="350"/>
      <c r="B6" s="351"/>
      <c r="C6" s="3478" t="s">
        <v>1919</v>
      </c>
      <c r="D6" s="3479"/>
      <c r="E6" s="3480" t="s">
        <v>1919</v>
      </c>
      <c r="F6" s="3481"/>
      <c r="G6" s="3478" t="s">
        <v>1919</v>
      </c>
      <c r="H6" s="3479"/>
      <c r="I6" s="3478" t="s">
        <v>1919</v>
      </c>
      <c r="J6" s="3479"/>
      <c r="K6" s="537" t="s">
        <v>1678</v>
      </c>
      <c r="L6" s="2486"/>
      <c r="M6" s="2487"/>
      <c r="N6" s="2487"/>
      <c r="O6" s="2487"/>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45812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9" t="s">
        <v>1683</v>
      </c>
      <c r="Q8" s="3430"/>
      <c r="R8" s="664" t="s">
        <v>14</v>
      </c>
      <c r="S8" s="665">
        <f t="shared" si="0"/>
        <v>0</v>
      </c>
      <c r="T8" s="664" t="s">
        <v>14</v>
      </c>
      <c r="U8" s="665">
        <f t="shared" si="1"/>
        <v>0</v>
      </c>
      <c r="V8" s="664" t="s">
        <v>14</v>
      </c>
      <c r="W8" s="665">
        <f t="shared" si="2"/>
        <v>0</v>
      </c>
      <c r="X8" s="666"/>
      <c r="Y8" s="3429" t="s">
        <v>1683</v>
      </c>
      <c r="Z8" s="343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4"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94"/>
      <c r="Q10" s="530" t="str">
        <f t="shared" si="6"/>
        <v>土地使用年限（年）</v>
      </c>
      <c r="R10" s="664" t="s">
        <v>14</v>
      </c>
      <c r="S10" s="665">
        <f t="shared" si="0"/>
        <v>114</v>
      </c>
      <c r="T10" s="664" t="s">
        <v>14</v>
      </c>
      <c r="U10" s="665">
        <f t="shared" si="1"/>
        <v>114</v>
      </c>
      <c r="V10" s="664" t="s">
        <v>14</v>
      </c>
      <c r="W10" s="665">
        <f t="shared" si="2"/>
        <v>114</v>
      </c>
      <c r="X10" s="666"/>
      <c r="Y10" s="3290"/>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4"/>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9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4"/>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97"/>
      <c r="Q16" s="1263"/>
      <c r="R16" s="667"/>
      <c r="S16" s="668"/>
      <c r="T16" s="667"/>
      <c r="U16" s="668"/>
      <c r="V16" s="667"/>
      <c r="W16" s="668"/>
      <c r="X16" s="1265"/>
      <c r="Y16" s="3397"/>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97"/>
      <c r="Q18" s="1263"/>
      <c r="R18" s="667"/>
      <c r="S18" s="668"/>
      <c r="T18" s="667"/>
      <c r="U18" s="668"/>
      <c r="V18" s="667"/>
      <c r="W18" s="668"/>
      <c r="X18" s="1265"/>
      <c r="Y18" s="3397"/>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97"/>
      <c r="Q20" s="1263"/>
      <c r="R20" s="667"/>
      <c r="S20" s="668"/>
      <c r="T20" s="667"/>
      <c r="U20" s="668"/>
      <c r="V20" s="667"/>
      <c r="W20" s="668"/>
      <c r="X20" s="1265"/>
      <c r="Y20" s="3397"/>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97"/>
      <c r="Q22" s="1263"/>
      <c r="R22" s="667"/>
      <c r="S22" s="668"/>
      <c r="T22" s="667"/>
      <c r="U22" s="668"/>
      <c r="V22" s="667"/>
      <c r="W22" s="668"/>
      <c r="X22" s="1265"/>
      <c r="Y22" s="3397"/>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97"/>
      <c r="Q24" s="530"/>
      <c r="R24" s="664"/>
      <c r="S24" s="665"/>
      <c r="T24" s="664"/>
      <c r="U24" s="665"/>
      <c r="V24" s="664"/>
      <c r="W24" s="665"/>
      <c r="X24" s="666"/>
      <c r="Y24" s="339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73" t="s">
        <v>1696</v>
      </c>
      <c r="Q32" s="1263">
        <f t="shared" si="8"/>
        <v>111</v>
      </c>
      <c r="R32" s="667" t="s">
        <v>14</v>
      </c>
      <c r="S32" s="668">
        <f t="shared" si="10"/>
        <v>100</v>
      </c>
      <c r="T32" s="667" t="s">
        <v>14</v>
      </c>
      <c r="U32" s="668">
        <f t="shared" si="11"/>
        <v>100</v>
      </c>
      <c r="V32" s="667" t="s">
        <v>14</v>
      </c>
      <c r="W32" s="668">
        <f t="shared" si="12"/>
        <v>100</v>
      </c>
      <c r="X32" s="1265"/>
      <c r="Y32" s="3401"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1"/>
      <c r="Q33" s="1263">
        <f t="shared" si="8"/>
        <v>111</v>
      </c>
      <c r="R33" s="669" t="s">
        <v>14</v>
      </c>
      <c r="S33" s="670">
        <f t="shared" si="10"/>
        <v>100</v>
      </c>
      <c r="T33" s="669" t="s">
        <v>14</v>
      </c>
      <c r="U33" s="670">
        <f t="shared" si="11"/>
        <v>100</v>
      </c>
      <c r="V33" s="669" t="s">
        <v>14</v>
      </c>
      <c r="W33" s="670">
        <f t="shared" si="12"/>
        <v>100</v>
      </c>
      <c r="X33" s="671"/>
      <c r="Y33" s="340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1"/>
      <c r="Q34" s="1263" t="str">
        <f>B34</f>
        <v>宗地面积</v>
      </c>
      <c r="R34" s="667" t="s">
        <v>14</v>
      </c>
      <c r="S34" s="668" t="e">
        <f t="shared" si="10"/>
        <v>#N/A</v>
      </c>
      <c r="T34" s="667" t="s">
        <v>14</v>
      </c>
      <c r="U34" s="668" t="e">
        <f t="shared" si="11"/>
        <v>#N/A</v>
      </c>
      <c r="V34" s="667" t="s">
        <v>14</v>
      </c>
      <c r="W34" s="668" t="e">
        <f t="shared" si="12"/>
        <v>#N/A</v>
      </c>
      <c r="X34" s="1265"/>
      <c r="Y34" s="3401"/>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1"/>
      <c r="Q35" s="1263" t="str">
        <f t="shared" ref="Q35:Q40" si="14">B35</f>
        <v>宗地形状</v>
      </c>
      <c r="R35" s="667" t="s">
        <v>14</v>
      </c>
      <c r="S35" s="668">
        <f t="shared" si="10"/>
        <v>100</v>
      </c>
      <c r="T35" s="667" t="s">
        <v>14</v>
      </c>
      <c r="U35" s="668">
        <f t="shared" si="11"/>
        <v>100</v>
      </c>
      <c r="V35" s="667" t="s">
        <v>14</v>
      </c>
      <c r="W35" s="668">
        <f t="shared" si="12"/>
        <v>100</v>
      </c>
      <c r="X35" s="1265"/>
      <c r="Y35" s="3401"/>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1"/>
      <c r="Q36" s="1263"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1" t="s">
        <v>1696</v>
      </c>
      <c r="Q37" s="1263" t="str">
        <f t="shared" si="14"/>
        <v>工程地质条件</v>
      </c>
      <c r="R37" s="667" t="s">
        <v>14</v>
      </c>
      <c r="S37" s="668">
        <f t="shared" si="10"/>
        <v>100</v>
      </c>
      <c r="T37" s="667" t="s">
        <v>14</v>
      </c>
      <c r="U37" s="668">
        <f t="shared" si="11"/>
        <v>100</v>
      </c>
      <c r="V37" s="667" t="s">
        <v>14</v>
      </c>
      <c r="W37" s="668">
        <f t="shared" si="12"/>
        <v>100</v>
      </c>
      <c r="X37" s="1265"/>
      <c r="Y37" s="340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1"/>
      <c r="Q38" s="1263">
        <f t="shared" si="14"/>
        <v>111</v>
      </c>
      <c r="R38" s="667" t="s">
        <v>14</v>
      </c>
      <c r="S38" s="668">
        <f t="shared" si="10"/>
        <v>100</v>
      </c>
      <c r="T38" s="667" t="s">
        <v>14</v>
      </c>
      <c r="U38" s="668">
        <f t="shared" si="11"/>
        <v>100</v>
      </c>
      <c r="V38" s="667" t="s">
        <v>14</v>
      </c>
      <c r="W38" s="668">
        <f t="shared" si="12"/>
        <v>100</v>
      </c>
      <c r="X38" s="1265"/>
      <c r="Y38" s="340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1"/>
      <c r="Q39" s="1263">
        <f t="shared" si="14"/>
        <v>111</v>
      </c>
      <c r="R39" s="667" t="s">
        <v>14</v>
      </c>
      <c r="S39" s="668">
        <f t="shared" si="10"/>
        <v>100</v>
      </c>
      <c r="T39" s="667" t="s">
        <v>14</v>
      </c>
      <c r="U39" s="668">
        <f t="shared" si="11"/>
        <v>100</v>
      </c>
      <c r="V39" s="667" t="s">
        <v>14</v>
      </c>
      <c r="W39" s="668">
        <f t="shared" si="12"/>
        <v>100</v>
      </c>
      <c r="X39" s="1265"/>
      <c r="Y39" s="3401"/>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1"/>
      <c r="Q40" s="1263">
        <f t="shared" si="14"/>
        <v>111</v>
      </c>
      <c r="R40" s="669" t="s">
        <v>14</v>
      </c>
      <c r="S40" s="670">
        <f t="shared" si="10"/>
        <v>100</v>
      </c>
      <c r="T40" s="669" t="s">
        <v>14</v>
      </c>
      <c r="U40" s="670">
        <f t="shared" si="11"/>
        <v>100</v>
      </c>
      <c r="V40" s="669" t="s">
        <v>14</v>
      </c>
      <c r="W40" s="670">
        <f t="shared" si="12"/>
        <v>100</v>
      </c>
      <c r="X40" s="671"/>
      <c r="Y40" s="3401"/>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94" t="str">
        <f>A41</f>
        <v>成交单价</v>
      </c>
      <c r="Q41" s="3394"/>
      <c r="R41" s="3395">
        <f>E41</f>
        <v>0</v>
      </c>
      <c r="S41" s="3395"/>
      <c r="T41" s="3395">
        <f>G41</f>
        <v>0</v>
      </c>
      <c r="U41" s="3395"/>
      <c r="V41" s="3395">
        <f>I41</f>
        <v>0</v>
      </c>
      <c r="W41" s="3395"/>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94" t="str">
        <f>A42</f>
        <v>比较价值（元/平方米）</v>
      </c>
      <c r="Q42" s="3394"/>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91" t="str">
        <f>A43</f>
        <v>估价对象XX用房的比较价值（楼面单价，元/平方米）</v>
      </c>
      <c r="Q43" s="3392"/>
      <c r="R43" s="3476" t="e">
        <f>ROUND(IF(D42="简单平均",AVERAGE(R42:W42),R42*F42+T42*H42+V42*J42),0)</f>
        <v>#DIV/0!</v>
      </c>
      <c r="S43" s="3476"/>
      <c r="T43" s="3476"/>
      <c r="U43" s="3476"/>
      <c r="V43" s="3476"/>
      <c r="W43" s="347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9" t="s">
        <v>1887</v>
      </c>
      <c r="H50" s="3477"/>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63.97</v>
      </c>
      <c r="F51" s="611" t="e">
        <f t="shared" ref="F51:F60" si="15">ROUND(B51*E51/10000,0)</f>
        <v>#DIV/0!</v>
      </c>
      <c r="G51" s="3405"/>
      <c r="H51" s="339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三级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220</v>
      </c>
      <c r="C2" s="1983" t="s">
        <v>2074</v>
      </c>
      <c r="D2" s="1983" t="s">
        <v>2075</v>
      </c>
      <c r="E2" s="2397">
        <f ca="1">SUMIF(E6:E13,"&lt;&gt;#ref!",E6:E13)</f>
        <v>63.97</v>
      </c>
      <c r="F2" s="2544"/>
      <c r="G2" s="2544"/>
      <c r="H2" s="2544"/>
      <c r="I2" s="2544"/>
      <c r="J2" s="2544"/>
      <c r="K2" s="2544"/>
      <c r="L2" s="2544"/>
      <c r="M2" s="2544"/>
      <c r="N2" s="2544"/>
      <c r="O2" s="2544"/>
      <c r="P2" s="2544"/>
    </row>
    <row r="3" spans="1:16" ht="15.75">
      <c r="A3" s="1983" t="s">
        <v>2076</v>
      </c>
      <c r="B3" s="2387">
        <f ca="1">ROUND(B2*10000/E2,0)</f>
        <v>34391</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220</v>
      </c>
      <c r="C6" s="1983" t="s">
        <v>2074</v>
      </c>
      <c r="D6" s="2544"/>
      <c r="E6" s="2397">
        <f ca="1">SUMIF(INDIRECT("'"&amp;A6&amp;"'"&amp;"!C:C"),"建筑面积",INDIRECT("'"&amp;A6&amp;"'"&amp;"!D:D"))</f>
        <v>63.97</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3406</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317.77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49675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2273766.89</v>
      </c>
      <c r="D5" s="203" t="s">
        <v>1469</v>
      </c>
      <c r="E5" s="204" t="s">
        <v>1470</v>
      </c>
      <c r="F5" s="204" t="s">
        <v>1471</v>
      </c>
      <c r="G5" s="205"/>
    </row>
    <row r="6" spans="1:8" s="206" customFormat="1" ht="13.5" customHeight="1">
      <c r="A6" s="732" t="s">
        <v>1472</v>
      </c>
      <c r="B6" s="207" t="s">
        <v>1473</v>
      </c>
      <c r="C6" s="208">
        <f>基准地价修正!C33*基准地价修正!D33</f>
        <v>2196537.89</v>
      </c>
      <c r="D6" s="209"/>
      <c r="E6" s="210"/>
      <c r="F6" s="210"/>
      <c r="G6" s="211"/>
    </row>
    <row r="7" spans="1:8" s="206" customFormat="1" ht="13.5" customHeight="1">
      <c r="A7" s="732" t="s">
        <v>1474</v>
      </c>
      <c r="B7" s="207" t="s">
        <v>1475</v>
      </c>
      <c r="C7" s="212">
        <f>ROUND(C6*F7,0)</f>
        <v>66994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10235</v>
      </c>
      <c r="D8" s="214"/>
      <c r="E8" s="212"/>
      <c r="F8" s="213"/>
      <c r="G8" s="1714" t="s">
        <v>3524</v>
      </c>
    </row>
    <row r="9" spans="1:8" s="206" customFormat="1" ht="13.5" customHeight="1">
      <c r="A9" s="733" t="s">
        <v>355</v>
      </c>
      <c r="B9" s="216" t="s">
        <v>1478</v>
      </c>
      <c r="C9" s="217">
        <f ca="1">ROUND(D9*E9,0)</f>
        <v>10235</v>
      </c>
      <c r="D9" s="795">
        <f ca="1">IF(B1="",'数据-汇总表'!E5,IF(INDIRECT("'数据-取费表'!c"&amp;$G$1)="住宅",INDIRECT("'数据-取费表'!k"&amp;$G$1),0))</f>
        <v>63.97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63.97</v>
      </c>
      <c r="E19" s="203">
        <f>'数据-取费表'!B31</f>
        <v>200</v>
      </c>
      <c r="F19" s="223"/>
      <c r="G19" s="1714" t="s">
        <v>3525</v>
      </c>
    </row>
    <row r="20" spans="1:7" s="206" customFormat="1" ht="13.5" customHeight="1">
      <c r="A20" s="247" t="s">
        <v>1574</v>
      </c>
      <c r="B20" s="202" t="s">
        <v>1575</v>
      </c>
      <c r="C20" s="224">
        <f ca="1">ROUND((C5+C19)*F20,0)</f>
        <v>22738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68554</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68213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344476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344476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2971959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227734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191910</v>
      </c>
      <c r="D34" s="209"/>
      <c r="E34" s="212"/>
      <c r="F34" s="249"/>
      <c r="G34" s="211"/>
    </row>
    <row r="35" spans="1:7" ht="13.5" customHeight="1">
      <c r="A35" s="734" t="s">
        <v>351</v>
      </c>
      <c r="B35" s="207" t="s">
        <v>1527</v>
      </c>
      <c r="C35" s="212">
        <f ca="1">ROUND(C34*F35,0)</f>
        <v>9596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9596</v>
      </c>
      <c r="D36" s="212"/>
      <c r="E36" s="212"/>
      <c r="F36" s="251">
        <f>'数据-取费表'!B34</f>
        <v>0.05</v>
      </c>
      <c r="G36" s="252" t="s">
        <v>1530</v>
      </c>
    </row>
    <row r="37" spans="1:7" s="250" customFormat="1" ht="13.5" customHeight="1">
      <c r="A37" s="734" t="s">
        <v>353</v>
      </c>
      <c r="B37" s="207" t="s">
        <v>1531</v>
      </c>
      <c r="C37" s="241">
        <f ca="1">ROUND(E37*D37,0)</f>
        <v>12794</v>
      </c>
      <c r="D37" s="209">
        <f ca="1">D19</f>
        <v>63.97</v>
      </c>
      <c r="E37" s="241">
        <f>'数据-取费表'!B35</f>
        <v>200</v>
      </c>
      <c r="F37" s="251"/>
      <c r="G37" s="253"/>
    </row>
    <row r="38" spans="1:7" ht="13.5" customHeight="1">
      <c r="A38" s="734" t="s">
        <v>354</v>
      </c>
      <c r="B38" s="207" t="s">
        <v>1533</v>
      </c>
      <c r="C38" s="212">
        <f ca="1">ROUND(C34*F38,0)</f>
        <v>3838</v>
      </c>
      <c r="D38" s="212"/>
      <c r="E38" s="212"/>
      <c r="F38" s="251">
        <f>'数据-取费表'!B36</f>
        <v>0.02</v>
      </c>
      <c r="G38" s="211" t="s">
        <v>1528</v>
      </c>
    </row>
    <row r="39" spans="1:7" s="206" customFormat="1" ht="13.5" customHeight="1">
      <c r="A39" s="247" t="s">
        <v>1534</v>
      </c>
      <c r="B39" s="202" t="s">
        <v>1535</v>
      </c>
      <c r="C39" s="224">
        <f ca="1">ROUND(C33*F20,0)</f>
        <v>2277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3450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3416</v>
      </c>
      <c r="D42" s="230"/>
      <c r="E42" s="230"/>
      <c r="F42" s="231"/>
      <c r="G42" s="3383" t="s">
        <v>1591</v>
      </c>
    </row>
    <row r="43" spans="1:7" ht="13.5" customHeight="1">
      <c r="A43" s="734" t="s">
        <v>347</v>
      </c>
      <c r="B43" s="207" t="s">
        <v>1545</v>
      </c>
      <c r="C43" s="230">
        <f ca="1">ROUND(IF('数据-取费表'!B22&lt;=1,C39*F22*'数据-取费表'!B20/2,C39*(POWER((1+F22),'数据-取费表'!B20/2)-1)),0)</f>
        <v>34</v>
      </c>
      <c r="D43" s="230"/>
      <c r="E43" s="230"/>
      <c r="F43" s="231"/>
      <c r="G43" s="3384"/>
    </row>
    <row r="44" spans="1:7" ht="13.5" customHeight="1">
      <c r="A44" s="734" t="s">
        <v>348</v>
      </c>
      <c r="B44" s="207" t="s">
        <v>1546</v>
      </c>
      <c r="C44" s="230">
        <f ca="1">ROUND(IF('数据-取费表'!B22&lt;=1,C40*F22*'数据-取费表'!B20/2,C40*(POWER((1+F22),'数据-取费表'!B20/2)-1)),4)</f>
        <v>5.0000000000000001E-4</v>
      </c>
      <c r="D44" s="230"/>
      <c r="E44" s="230"/>
      <c r="F44" s="231"/>
      <c r="G44" s="3385"/>
    </row>
    <row r="45" spans="1:7" s="206" customFormat="1" ht="13.5" customHeight="1">
      <c r="A45" s="247" t="s">
        <v>1547</v>
      </c>
      <c r="B45" s="236" t="s">
        <v>1513</v>
      </c>
      <c r="C45" s="237">
        <f ca="1">C46</f>
        <v>34502</v>
      </c>
      <c r="D45" s="227">
        <f ca="1">C47</f>
        <v>4.4999999999999997E-3</v>
      </c>
      <c r="E45" s="228" t="s">
        <v>1539</v>
      </c>
      <c r="F45" s="238">
        <f ca="1">F27</f>
        <v>0.15</v>
      </c>
      <c r="G45" s="239" t="s">
        <v>1548</v>
      </c>
    </row>
    <row r="46" spans="1:7" s="206" customFormat="1" ht="13.5" customHeight="1">
      <c r="A46" s="734" t="s">
        <v>346</v>
      </c>
      <c r="B46" s="240" t="s">
        <v>1549</v>
      </c>
      <c r="C46" s="241">
        <f ca="1">ROUND((C33+C39)*F27,0)</f>
        <v>34502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293916</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205741</v>
      </c>
      <c r="D51" s="224"/>
      <c r="E51" s="224"/>
      <c r="F51" s="256"/>
      <c r="G51" s="226" t="s">
        <v>1560</v>
      </c>
    </row>
    <row r="52" spans="1:7" s="200" customFormat="1" ht="16.5" thickBot="1">
      <c r="A52" s="257" t="s">
        <v>1561</v>
      </c>
      <c r="B52" s="258"/>
      <c r="C52" s="259">
        <f ca="1">C31+C51</f>
        <v>3177700</v>
      </c>
      <c r="D52" s="258"/>
      <c r="E52" s="258"/>
      <c r="F52" s="258"/>
      <c r="G52" s="260"/>
    </row>
    <row r="55" spans="1:7" ht="15">
      <c r="B55" s="262" t="s">
        <v>1562</v>
      </c>
      <c r="C55" s="263"/>
    </row>
    <row r="56" spans="1:7">
      <c r="B56" s="265" t="s">
        <v>802</v>
      </c>
      <c r="C56" s="267">
        <f ca="1">1-C57</f>
        <v>0.93500000000000005</v>
      </c>
    </row>
    <row r="57" spans="1:7">
      <c r="B57" s="265" t="s">
        <v>803</v>
      </c>
      <c r="C57" s="266">
        <f ca="1">ROUND(C51/C52,3)</f>
        <v>6.5000000000000002E-2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I24" sqref="I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63.97</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220</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50089</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34391</v>
      </c>
      <c r="C3" s="1845" t="s">
        <v>1941</v>
      </c>
      <c r="D3" s="162" t="s">
        <v>1942</v>
      </c>
      <c r="E3" s="3118" t="s">
        <v>3518</v>
      </c>
      <c r="F3" s="1847"/>
      <c r="G3" s="708">
        <f>IF(F3="宗地容积率",'数据-汇总表'!I4,IF(F3="估价对象容积率",'数据-汇总表'!I6,'数据-汇总表'!I7))</f>
        <v>2.2000000000000002</v>
      </c>
      <c r="H3" s="162" t="s">
        <v>1943</v>
      </c>
      <c r="I3" s="729"/>
      <c r="J3" s="1841" t="s">
        <v>1944</v>
      </c>
      <c r="K3" s="1056"/>
      <c r="L3" s="1846" t="s">
        <v>1945</v>
      </c>
      <c r="M3" s="811">
        <f>SUMPRODUCT((区片价!B30:B54=I2)*(区片价!C3:G3=E2)*(区片价!C30:G54))</f>
        <v>28000</v>
      </c>
      <c r="N3" s="813">
        <f>SUMPRODUCT((因素修正幅度!B30:B54=I2)*(因素修正幅度!C3:G3=E2)*(因素修正幅度!C30:G54))</f>
        <v>9.5000000000000001E-2</v>
      </c>
      <c r="O3" s="1056"/>
      <c r="P3" s="1056"/>
      <c r="Q3" s="1056"/>
      <c r="R3" s="1129">
        <v>2</v>
      </c>
      <c r="S3" s="3063">
        <f>ROUND(SUMPRODUCT((B106:B110=R3)*(C105:N105=G2)*(C106:N110)),4)</f>
        <v>1.1838</v>
      </c>
      <c r="T3" s="3063">
        <f t="shared" si="0"/>
        <v>39480</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95"/>
      <c r="B4" s="3496"/>
      <c r="C4" s="3496"/>
      <c r="D4" s="3497"/>
      <c r="E4" s="3497"/>
      <c r="F4" s="3497"/>
      <c r="G4" s="3497"/>
      <c r="H4" s="3497"/>
      <c r="I4" s="3497"/>
      <c r="J4" s="349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33367</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33958</v>
      </c>
      <c r="D5" s="1252">
        <f>ROUND(C6*C17+C20,0)</f>
        <v>28000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29428</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28000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28281</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2.2000000000000002</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92" t="s">
        <v>1960</v>
      </c>
      <c r="X8" s="34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94"/>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9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7" t="s">
        <v>1982</v>
      </c>
      <c r="C13" s="711">
        <f>ROUND(C16*D16*E16*F16*G16*H16*I16*J16,4)</f>
        <v>1.2128000000000001</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3519</v>
      </c>
      <c r="D15" s="1886" t="s">
        <v>3519</v>
      </c>
      <c r="E15" s="1887" t="s">
        <v>3520</v>
      </c>
      <c r="F15" s="1470" t="s">
        <v>3244</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1.05</v>
      </c>
      <c r="E16" s="3024">
        <v>1.05</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99" t="s">
        <v>3254</v>
      </c>
      <c r="B20" s="159" t="s">
        <v>1994</v>
      </c>
      <c r="C20" s="3031">
        <f>ROUND(IF(F21="与级别开发程度一致",0,(G21-E21)/C21),0)</f>
        <v>0</v>
      </c>
      <c r="D20" s="3046" t="s">
        <v>1998</v>
      </c>
      <c r="E20" s="3047"/>
      <c r="F20" s="3505" t="s">
        <v>1995</v>
      </c>
      <c r="G20" s="3506"/>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500"/>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3521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5" t="s">
        <v>2002</v>
      </c>
      <c r="E23" s="717">
        <v>44197</v>
      </c>
      <c r="F23" s="1895" t="s">
        <v>2003</v>
      </c>
      <c r="G23" s="718">
        <f>'数据-取费表'!B2</f>
        <v>45812</v>
      </c>
      <c r="H23" s="3048" t="s">
        <v>3256</v>
      </c>
      <c r="I23" s="3049" t="str">
        <f>IF(H23="季度增幅（自定义）",SUMIF(N25:N28,E2,O25:O28),"")</f>
        <v/>
      </c>
      <c r="J23" s="3141" t="s">
        <v>3255</v>
      </c>
      <c r="K23" s="1061"/>
      <c r="L23" s="1896" t="s">
        <v>2004</v>
      </c>
      <c r="M23" s="1241">
        <f>ROUND(SUMIF(地价!B2:G2,E2,地价!B16:G16),0)</f>
        <v>687</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0.87670000000000003</v>
      </c>
      <c r="D24" s="1901" t="s">
        <v>2007</v>
      </c>
      <c r="E24" s="1248">
        <f>存贷款利率!E28/100</f>
        <v>4.3499999999999997E-2</v>
      </c>
      <c r="F24" s="1901" t="s">
        <v>1999</v>
      </c>
      <c r="G24" s="724">
        <f>SUMIF(M30:Q30,E2,M33:Q33)</f>
        <v>0.05</v>
      </c>
      <c r="H24" s="1901" t="s">
        <v>2008</v>
      </c>
      <c r="I24" s="725">
        <f>SUMIF('数据-取费表'!C6:C15,E2,'数据-取费表'!F6:F15)/COUNTIF('数据-取费表'!C6:C15,E2)</f>
        <v>38.6</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3335</v>
      </c>
      <c r="C25" s="461">
        <f>IF(B25="容积率修正",IF(G3&lt;10,D26,J26),C27)</f>
        <v>1.0296000000000001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3">
        <f>IF(E26=G26,F26,IF(G3&lt;10,ROUND(F26+(H26-F26)*(G3-E26)/(G26-E26),4),"——"))</f>
        <v>1.0296000000000001</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11" t="s">
        <v>3258</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1.0489999999999999</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220</v>
      </c>
      <c r="D30" s="1924"/>
      <c r="E30" s="1841"/>
      <c r="F30" s="1925"/>
      <c r="G30" s="1841"/>
      <c r="H30" s="1841"/>
      <c r="I30" s="1841"/>
      <c r="J30" s="1926"/>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34337</v>
      </c>
      <c r="D33" s="1939">
        <f>'数据-汇总表'!F19</f>
        <v>63.97</v>
      </c>
      <c r="E33" s="727">
        <f>ROUND(C33*D33/10000,0)</f>
        <v>220</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8584</v>
      </c>
      <c r="D34" s="1944"/>
      <c r="E34" s="727">
        <f>ROUND(IF(B25="楼层修正",SUM(V2:V16)*M40,C34*D34/10000),0)</f>
        <v>0</v>
      </c>
      <c r="F34" s="1945" t="s">
        <v>2032</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03"/>
      <c r="B37" s="1954" t="s">
        <v>2036</v>
      </c>
      <c r="C37" s="167">
        <f>ROUND(D5*C22*C23*C24*C28*F37,0)</f>
        <v>16499</v>
      </c>
      <c r="D37" s="1939"/>
      <c r="E37" s="163">
        <f>ROUND(C37*D37/10000,0)</f>
        <v>0</v>
      </c>
      <c r="F37" s="163">
        <f>SUMIF(修正!A57:A68,G2,修正!B57:B68)</f>
        <v>0.6</v>
      </c>
      <c r="G37" s="163">
        <f>ROUND(IF(E2="工业",C37*$M$42,C37*$M$41),0)</f>
        <v>4125</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04"/>
      <c r="B38" s="1883" t="s">
        <v>2037</v>
      </c>
      <c r="C38" s="167">
        <f>ROUND(D5*C22*C23*C24*C28*F38,0)</f>
        <v>8250</v>
      </c>
      <c r="D38" s="1939"/>
      <c r="E38" s="163">
        <f t="shared" ref="E38:E42" si="4">ROUND(C38*D38/10000,0)</f>
        <v>0</v>
      </c>
      <c r="F38" s="163">
        <f>SUMIF(修正!A57:A68,G2,修正!C57:C68)</f>
        <v>0.3</v>
      </c>
      <c r="G38" s="163">
        <f>ROUND(IF(E2="工业",C38*$M$42,C38*$M$41),0)</f>
        <v>2063</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04"/>
      <c r="B39" s="1883" t="s">
        <v>3259</v>
      </c>
      <c r="C39" s="167">
        <f>ROUND(D5*C22*C23*C24*C28*F39,0)</f>
        <v>6875</v>
      </c>
      <c r="D39" s="1939"/>
      <c r="E39" s="163">
        <f t="shared" si="4"/>
        <v>0</v>
      </c>
      <c r="F39" s="163">
        <f>SUMIF(修正!A57:A68,G2,修正!D57:D68)</f>
        <v>0.25</v>
      </c>
      <c r="G39" s="163">
        <f>ROUND(IF(E2="工业",C39*$M$42,C39*$M$41),0)</f>
        <v>1719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6875</v>
      </c>
      <c r="D40" s="1939"/>
      <c r="E40" s="163">
        <f t="shared" si="4"/>
        <v>0</v>
      </c>
      <c r="F40" s="167">
        <f>SUMIF(修正!A57:A68,G2,修正!E57:E68)</f>
        <v>0.25</v>
      </c>
      <c r="G40" s="163">
        <f>ROUND(IF(E2="工业",C40*$M$42,C40*$M$41),0)</f>
        <v>1719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3269</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3269</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1.0489999999999999</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3512</v>
      </c>
      <c r="D72" s="1002">
        <f t="shared" ref="D72:D80" si="17">SUMIF($J$71:$N$71,C72,J72:N72)</f>
        <v>9.4999999999999998E-3</v>
      </c>
      <c r="E72" s="702">
        <f>ROUND(SUM(D72:D80),4)</f>
        <v>4.9000000000000002E-2</v>
      </c>
      <c r="F72" s="1675">
        <f>IF(E2="住宅",SUMIF(L1:L12,G2,N1:N12),"——")</f>
        <v>9.5000000000000001E-2</v>
      </c>
      <c r="G72" s="1000">
        <v>9.4999999999999998E-3</v>
      </c>
      <c r="H72" s="1003">
        <f t="shared" ref="H72:H80" si="18">IFERROR(ROUNDDOWN($F$72*I72/2,4),"——")</f>
        <v>9.4999999999999998E-3</v>
      </c>
      <c r="I72" s="3068">
        <v>0.2</v>
      </c>
      <c r="J72" s="1001">
        <f t="shared" ref="J72:J80" si="19">K72+$G72</f>
        <v>1.9E-2</v>
      </c>
      <c r="K72" s="1001">
        <f t="shared" ref="K72:K80" si="20">$L72+$G72</f>
        <v>9.4999999999999998E-3</v>
      </c>
      <c r="L72" s="1001">
        <v>0</v>
      </c>
      <c r="M72" s="1001">
        <f t="shared" ref="M72:N80" si="21">L72-$G72</f>
        <v>-9.4999999999999998E-3</v>
      </c>
      <c r="N72" s="1001">
        <f t="shared" si="21"/>
        <v>-1.9E-2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3512</v>
      </c>
      <c r="D73" s="1002">
        <f t="shared" si="17"/>
        <v>1.23E-2</v>
      </c>
      <c r="E73" s="705"/>
      <c r="F73" s="1675"/>
      <c r="G73" s="1000">
        <v>1.23E-2</v>
      </c>
      <c r="H73" s="1003">
        <f t="shared" si="18"/>
        <v>1.23E-2</v>
      </c>
      <c r="I73" s="3068">
        <v>0.26</v>
      </c>
      <c r="J73" s="1001">
        <f t="shared" si="19"/>
        <v>2.46E-2</v>
      </c>
      <c r="K73" s="1001">
        <f t="shared" si="20"/>
        <v>1.23E-2</v>
      </c>
      <c r="L73" s="1001">
        <v>0</v>
      </c>
      <c r="M73" s="1001">
        <f t="shared" si="21"/>
        <v>-1.23E-2</v>
      </c>
      <c r="N73" s="1001">
        <f t="shared" si="21"/>
        <v>-2.46E-2</v>
      </c>
      <c r="AA73" s="1057"/>
      <c r="AB73" s="1057"/>
      <c r="AC73" s="1057"/>
      <c r="AD73" s="1057"/>
      <c r="AE73" s="1057"/>
      <c r="AF73" s="1057"/>
      <c r="AG73" s="1057"/>
      <c r="AH73" s="1057"/>
      <c r="AI73" s="1057"/>
      <c r="AJ73" s="1057"/>
      <c r="AK73" s="1057"/>
    </row>
    <row r="74" spans="1:37" s="1843" customFormat="1" ht="36">
      <c r="A74" s="3070" t="s">
        <v>3269</v>
      </c>
      <c r="B74" s="1262">
        <f>估价对象房地状况!C19</f>
        <v>0</v>
      </c>
      <c r="C74" s="1886" t="s">
        <v>3512</v>
      </c>
      <c r="D74" s="1002">
        <f t="shared" si="17"/>
        <v>4.7000000000000002E-3</v>
      </c>
      <c r="E74" s="705"/>
      <c r="F74" s="1675"/>
      <c r="G74" s="1000">
        <v>4.7000000000000002E-3</v>
      </c>
      <c r="H74" s="1003">
        <f t="shared" si="18"/>
        <v>4.7000000000000002E-3</v>
      </c>
      <c r="I74" s="3068">
        <v>0.1</v>
      </c>
      <c r="J74" s="1001">
        <f t="shared" si="19"/>
        <v>9.4000000000000004E-3</v>
      </c>
      <c r="K74" s="1001">
        <f t="shared" si="20"/>
        <v>4.7000000000000002E-3</v>
      </c>
      <c r="L74" s="1001">
        <v>0</v>
      </c>
      <c r="M74" s="1001">
        <f t="shared" si="21"/>
        <v>-4.7000000000000002E-3</v>
      </c>
      <c r="N74" s="1001">
        <f t="shared" si="21"/>
        <v>-9.4000000000000004E-3</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3522</v>
      </c>
      <c r="D75" s="1002">
        <f t="shared" si="17"/>
        <v>0</v>
      </c>
      <c r="E75" s="705"/>
      <c r="F75" s="1675"/>
      <c r="G75" s="1000">
        <v>2.3E-3</v>
      </c>
      <c r="H75" s="1003">
        <f t="shared" si="18"/>
        <v>2.3E-3</v>
      </c>
      <c r="I75" s="3068">
        <v>0.05</v>
      </c>
      <c r="J75" s="1001">
        <f t="shared" si="19"/>
        <v>4.5999999999999999E-3</v>
      </c>
      <c r="K75" s="1001">
        <f t="shared" si="20"/>
        <v>2.3E-3</v>
      </c>
      <c r="L75" s="1001">
        <v>0</v>
      </c>
      <c r="M75" s="1001">
        <f t="shared" si="21"/>
        <v>-2.3E-3</v>
      </c>
      <c r="N75" s="1001">
        <f t="shared" si="21"/>
        <v>-4.5999999999999999E-3</v>
      </c>
      <c r="O75" s="1056"/>
      <c r="P75" s="1056"/>
      <c r="Q75" s="1843"/>
      <c r="Z75" s="1844"/>
      <c r="AA75" s="1894"/>
      <c r="AG75" s="1058"/>
      <c r="AK75" s="1894"/>
    </row>
    <row r="76" spans="1:37" ht="25.5">
      <c r="A76" s="1969" t="s">
        <v>2059</v>
      </c>
      <c r="B76" s="1240" t="str">
        <f>估价对象房地状况!C21</f>
        <v>估价对象所在区域公共配套设施齐备情况</v>
      </c>
      <c r="C76" s="1886" t="s">
        <v>3512</v>
      </c>
      <c r="D76" s="1002">
        <f t="shared" si="17"/>
        <v>3.8E-3</v>
      </c>
      <c r="E76" s="705"/>
      <c r="F76" s="1675"/>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40" t="str">
        <f>估价对象房地状况!C22</f>
        <v>估价对象所在区域基础设施水平</v>
      </c>
      <c r="C77" s="1886" t="s">
        <v>3511</v>
      </c>
      <c r="D77" s="1002">
        <f t="shared" si="17"/>
        <v>8.3999999999999995E-3</v>
      </c>
      <c r="E77" s="705"/>
      <c r="F77" s="1675"/>
      <c r="G77" s="1000">
        <v>4.1999999999999997E-3</v>
      </c>
      <c r="H77" s="1003">
        <f t="shared" si="18"/>
        <v>4.1999999999999997E-3</v>
      </c>
      <c r="I77" s="3068">
        <v>0.09</v>
      </c>
      <c r="J77" s="1001">
        <f t="shared" si="19"/>
        <v>8.3999999999999995E-3</v>
      </c>
      <c r="K77" s="1001">
        <f t="shared" si="20"/>
        <v>4.1999999999999997E-3</v>
      </c>
      <c r="L77" s="1001">
        <v>0</v>
      </c>
      <c r="M77" s="1001">
        <f t="shared" si="21"/>
        <v>-4.1999999999999997E-3</v>
      </c>
      <c r="N77" s="1001">
        <f t="shared" si="21"/>
        <v>-8.3999999999999995E-3</v>
      </c>
      <c r="O77" s="1056"/>
      <c r="P77" s="1056"/>
      <c r="Z77" s="1844"/>
      <c r="AA77" s="1894"/>
      <c r="AG77" s="1058"/>
      <c r="AK77" s="1894"/>
    </row>
    <row r="78" spans="1:37" ht="24">
      <c r="A78" s="1969" t="s">
        <v>2057</v>
      </c>
      <c r="B78" s="1974" t="s">
        <v>2058</v>
      </c>
      <c r="C78" s="1886" t="s">
        <v>3512</v>
      </c>
      <c r="D78" s="1002">
        <f t="shared" si="17"/>
        <v>2.3E-3</v>
      </c>
      <c r="E78" s="705"/>
      <c r="F78" s="1675"/>
      <c r="G78" s="1000">
        <v>2.3E-3</v>
      </c>
      <c r="H78" s="1003">
        <f t="shared" si="18"/>
        <v>2.3E-3</v>
      </c>
      <c r="I78" s="3068">
        <v>0.05</v>
      </c>
      <c r="J78" s="1001">
        <f t="shared" si="19"/>
        <v>4.5999999999999999E-3</v>
      </c>
      <c r="K78" s="1001">
        <f t="shared" si="20"/>
        <v>2.3E-3</v>
      </c>
      <c r="L78" s="1001">
        <v>0</v>
      </c>
      <c r="M78" s="1001">
        <f t="shared" si="21"/>
        <v>-2.3E-3</v>
      </c>
      <c r="N78" s="1001">
        <f t="shared" si="21"/>
        <v>-4.5999999999999999E-3</v>
      </c>
      <c r="O78" s="1843"/>
      <c r="P78" s="1843"/>
      <c r="Z78" s="1844"/>
      <c r="AA78" s="1894"/>
      <c r="AG78" s="1058"/>
      <c r="AK78" s="1894"/>
    </row>
    <row r="79" spans="1:37" ht="25.5">
      <c r="A79" s="1969" t="s">
        <v>2061</v>
      </c>
      <c r="B79" s="1972" t="str">
        <f>估价对象房地状况!C20</f>
        <v>区域自然环境：；人文环境；综合评价环境状况一般</v>
      </c>
      <c r="C79" s="1886" t="s">
        <v>3512</v>
      </c>
      <c r="D79" s="1002">
        <f t="shared" si="17"/>
        <v>5.7000000000000002E-3</v>
      </c>
      <c r="E79" s="705"/>
      <c r="F79" s="1675"/>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3512</v>
      </c>
      <c r="D80" s="1002">
        <f t="shared" si="17"/>
        <v>2.3E-3</v>
      </c>
      <c r="E80" s="706"/>
      <c r="F80" s="1675"/>
      <c r="G80" s="1000">
        <v>2.3E-3</v>
      </c>
      <c r="H80" s="1003">
        <f t="shared" si="18"/>
        <v>2.3E-3</v>
      </c>
      <c r="I80" s="3069">
        <v>0.05</v>
      </c>
      <c r="J80" s="1001">
        <f t="shared" si="19"/>
        <v>4.5999999999999999E-3</v>
      </c>
      <c r="K80" s="1001">
        <f t="shared" si="20"/>
        <v>2.3E-3</v>
      </c>
      <c r="L80" s="1001">
        <v>0</v>
      </c>
      <c r="M80" s="1001">
        <f t="shared" si="21"/>
        <v>-2.3E-3</v>
      </c>
      <c r="N80" s="1001">
        <f t="shared" si="21"/>
        <v>-4.5999999999999999E-3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3270</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3269</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3274</v>
      </c>
      <c r="B96" s="3086" t="s">
        <v>3285</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3276</v>
      </c>
      <c r="B98" s="3087" t="s">
        <v>3286</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3277</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3278</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3279</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501" t="s">
        <v>3294</v>
      </c>
      <c r="B103" s="3501"/>
      <c r="C103" s="3501"/>
      <c r="D103" s="3501"/>
      <c r="E103" s="3501"/>
      <c r="F103" s="3501"/>
      <c r="G103" s="3501"/>
      <c r="H103" s="3501"/>
      <c r="I103" s="3501"/>
      <c r="J103" s="3501"/>
      <c r="K103" s="1667"/>
      <c r="L103" s="1667"/>
      <c r="M103" s="1667"/>
      <c r="N103" s="1667"/>
    </row>
    <row r="104" spans="1:14">
      <c r="A104" s="3502" t="s">
        <v>3295</v>
      </c>
      <c r="B104" s="3502" t="s">
        <v>3296</v>
      </c>
      <c r="C104" s="3090" t="s">
        <v>3297</v>
      </c>
      <c r="D104" s="3091"/>
      <c r="E104" s="3091"/>
      <c r="F104" s="3091"/>
      <c r="G104" s="3091"/>
      <c r="H104" s="3091"/>
      <c r="I104" s="3091"/>
      <c r="J104" s="3092"/>
      <c r="K104" s="3093"/>
      <c r="L104" s="3093"/>
      <c r="M104" s="3093"/>
      <c r="N104" s="3093"/>
    </row>
    <row r="105" spans="1:14">
      <c r="A105" s="3502"/>
      <c r="B105" s="3502"/>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88"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9"/>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9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91" t="s">
        <v>3311</v>
      </c>
      <c r="B113" s="3491"/>
      <c r="C113" s="3491"/>
      <c r="D113" s="3491"/>
      <c r="E113" s="3491"/>
      <c r="F113" s="3491"/>
      <c r="G113" s="3491"/>
      <c r="H113" s="3491"/>
      <c r="I113" s="3491"/>
      <c r="J113" s="349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2.2000000000000002</v>
      </c>
      <c r="C116" s="3099" t="s">
        <v>3313</v>
      </c>
      <c r="D116" s="3100">
        <f>SUMPRODUCT((A118:A122=F116)*(B117:M117=H116)*B118:M122)</f>
        <v>0.90510000000000002</v>
      </c>
      <c r="E116" s="162" t="s">
        <v>3314</v>
      </c>
      <c r="F116" s="3101" t="str">
        <f>E2</f>
        <v>住宅</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0.97260000000000002</v>
      </c>
      <c r="C118" s="3089">
        <f>B118</f>
        <v>0.97260000000000002</v>
      </c>
      <c r="D118" s="3089">
        <f>ROUND(0.949-0.014*B116,4)</f>
        <v>0.91820000000000002</v>
      </c>
      <c r="E118" s="3089">
        <f>D118</f>
        <v>0.91820000000000002</v>
      </c>
      <c r="F118" s="3089">
        <f>E118</f>
        <v>0.91820000000000002</v>
      </c>
      <c r="G118" s="3089">
        <f>F118</f>
        <v>0.91820000000000002</v>
      </c>
      <c r="H118" s="3089">
        <f>G118</f>
        <v>0.91820000000000002</v>
      </c>
      <c r="I118" s="3089">
        <f>ROUND(0.8486-0.018*B116,4)</f>
        <v>0.80900000000000005</v>
      </c>
      <c r="J118" s="3089">
        <f t="shared" ref="J118:M122" si="35">I118</f>
        <v>0.80900000000000005</v>
      </c>
      <c r="K118" s="3089">
        <f t="shared" si="35"/>
        <v>0.80900000000000005</v>
      </c>
      <c r="L118" s="3089">
        <f t="shared" si="35"/>
        <v>0.80900000000000005</v>
      </c>
      <c r="M118" s="3109">
        <f t="shared" si="35"/>
        <v>0.80900000000000005</v>
      </c>
      <c r="N118" s="3097"/>
    </row>
    <row r="119" spans="1:14">
      <c r="A119" s="3057" t="s">
        <v>3329</v>
      </c>
      <c r="B119" s="3089">
        <f>ROUND(0.993-0.0112*B116,4)</f>
        <v>0.96840000000000004</v>
      </c>
      <c r="C119" s="3089">
        <f>B119</f>
        <v>0.96840000000000004</v>
      </c>
      <c r="D119" s="3089">
        <f>ROUND(0.9415-0.0142*B116,4)</f>
        <v>0.9103</v>
      </c>
      <c r="E119" s="3089">
        <f t="shared" ref="E119:H120" si="36">D119</f>
        <v>0.9103</v>
      </c>
      <c r="F119" s="3089">
        <f t="shared" si="36"/>
        <v>0.9103</v>
      </c>
      <c r="G119" s="3089">
        <f t="shared" si="36"/>
        <v>0.9103</v>
      </c>
      <c r="H119" s="3089">
        <f t="shared" si="36"/>
        <v>0.9103</v>
      </c>
      <c r="I119" s="3089">
        <f>ROUND(0.838-0.0182*B116,4)</f>
        <v>0.79800000000000004</v>
      </c>
      <c r="J119" s="3089">
        <f t="shared" si="35"/>
        <v>0.79800000000000004</v>
      </c>
      <c r="K119" s="3089">
        <f t="shared" si="35"/>
        <v>0.79800000000000004</v>
      </c>
      <c r="L119" s="3089">
        <f t="shared" si="35"/>
        <v>0.79800000000000004</v>
      </c>
      <c r="M119" s="3109">
        <f t="shared" si="35"/>
        <v>0.79800000000000004</v>
      </c>
      <c r="N119" s="3097"/>
    </row>
    <row r="120" spans="1:14">
      <c r="A120" s="3057" t="s">
        <v>3330</v>
      </c>
      <c r="B120" s="3089">
        <f>ROUND(0.9448-0.0115*B116,4)</f>
        <v>0.91949999999999998</v>
      </c>
      <c r="C120" s="3089">
        <f>B120</f>
        <v>0.91949999999999998</v>
      </c>
      <c r="D120" s="3089">
        <f>ROUND(0.937-0.0145*B116,4)</f>
        <v>0.90510000000000002</v>
      </c>
      <c r="E120" s="3089">
        <f t="shared" si="36"/>
        <v>0.90510000000000002</v>
      </c>
      <c r="F120" s="3089">
        <f t="shared" si="36"/>
        <v>0.90510000000000002</v>
      </c>
      <c r="G120" s="3089">
        <f t="shared" si="36"/>
        <v>0.90510000000000002</v>
      </c>
      <c r="H120" s="3089">
        <f t="shared" si="36"/>
        <v>0.90510000000000002</v>
      </c>
      <c r="I120" s="3089">
        <f>ROUND(0.7965-0.0185*B116,4)</f>
        <v>0.75580000000000003</v>
      </c>
      <c r="J120" s="3089">
        <f t="shared" si="35"/>
        <v>0.75580000000000003</v>
      </c>
      <c r="K120" s="3089">
        <f t="shared" si="35"/>
        <v>0.75580000000000003</v>
      </c>
      <c r="L120" s="3089">
        <f t="shared" si="35"/>
        <v>0.75580000000000003</v>
      </c>
      <c r="M120" s="3109">
        <f t="shared" si="35"/>
        <v>0.75580000000000003</v>
      </c>
      <c r="N120" s="3097"/>
    </row>
    <row r="121" spans="1:14" ht="13.5" thickBot="1">
      <c r="A121" s="3110" t="s">
        <v>3331</v>
      </c>
      <c r="B121" s="3111">
        <f>ROUND(0.7836-0.012*B116,4)</f>
        <v>0.75719999999999998</v>
      </c>
      <c r="C121" s="3111">
        <f>B121</f>
        <v>0.75719999999999998</v>
      </c>
      <c r="D121" s="3111">
        <f>ROUND(0.753-0.015*B116,4)</f>
        <v>0.72</v>
      </c>
      <c r="E121" s="3111">
        <f>D121</f>
        <v>0.72</v>
      </c>
      <c r="F121" s="3111">
        <f>E121</f>
        <v>0.72</v>
      </c>
      <c r="G121" s="3111">
        <f>ROUND(0.6612-0.018*B116,4)</f>
        <v>0.62160000000000004</v>
      </c>
      <c r="H121" s="3111">
        <f>G121</f>
        <v>0.62160000000000004</v>
      </c>
      <c r="I121" s="3111">
        <f>ROUND(0.5905-0.019*B116,4)</f>
        <v>0.54869999999999997</v>
      </c>
      <c r="J121" s="3111">
        <f t="shared" si="35"/>
        <v>0.54869999999999997</v>
      </c>
      <c r="K121" s="3111">
        <f t="shared" si="35"/>
        <v>0.54869999999999997</v>
      </c>
      <c r="L121" s="3111">
        <f t="shared" si="35"/>
        <v>0.54869999999999997</v>
      </c>
      <c r="M121" s="3112">
        <f t="shared" si="35"/>
        <v>0.54869999999999997</v>
      </c>
      <c r="N121" s="3097"/>
    </row>
    <row r="122" spans="1:14">
      <c r="A122" s="3113" t="s">
        <v>2612</v>
      </c>
      <c r="B122" s="3089">
        <f>ROUND(0.9404-0.0106*B116,4)</f>
        <v>0.91710000000000003</v>
      </c>
      <c r="C122" s="3089">
        <f>B122</f>
        <v>0.91710000000000003</v>
      </c>
      <c r="D122" s="3089">
        <f>ROUND(0.8955-0.0135*B116,4)</f>
        <v>0.86580000000000001</v>
      </c>
      <c r="E122" s="3089">
        <f t="shared" ref="E122:H122" si="37">D122</f>
        <v>0.86580000000000001</v>
      </c>
      <c r="F122" s="3089">
        <f t="shared" si="37"/>
        <v>0.86580000000000001</v>
      </c>
      <c r="G122" s="3089">
        <f t="shared" si="37"/>
        <v>0.86580000000000001</v>
      </c>
      <c r="H122" s="3089">
        <f t="shared" si="37"/>
        <v>0.86580000000000001</v>
      </c>
      <c r="I122" s="3089">
        <f>ROUND(0.7632-0.0166*B116,4)</f>
        <v>0.72670000000000001</v>
      </c>
      <c r="J122" s="3089">
        <f t="shared" si="35"/>
        <v>0.72670000000000001</v>
      </c>
      <c r="K122" s="3089">
        <f t="shared" si="35"/>
        <v>0.72670000000000001</v>
      </c>
      <c r="L122" s="3089">
        <f t="shared" si="35"/>
        <v>0.72670000000000001</v>
      </c>
      <c r="M122" s="3109">
        <f t="shared" si="35"/>
        <v>0.72670000000000001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16" t="s">
        <v>2607</v>
      </c>
      <c r="B20" s="3511" t="s">
        <v>2628</v>
      </c>
      <c r="C20" s="2842" t="s">
        <v>2439</v>
      </c>
      <c r="D20" s="2843"/>
      <c r="E20" s="2844">
        <v>1</v>
      </c>
      <c r="F20" s="2845" t="s">
        <v>2440</v>
      </c>
      <c r="G20" s="2845"/>
    </row>
    <row r="21" spans="1:13" ht="19.5" customHeight="1">
      <c r="A21" s="3517"/>
      <c r="B21" s="3510"/>
      <c r="C21" s="2846" t="s">
        <v>2441</v>
      </c>
      <c r="D21" s="2847"/>
      <c r="E21" s="2848">
        <v>1</v>
      </c>
      <c r="F21" s="2845" t="s">
        <v>2442</v>
      </c>
      <c r="G21" s="2845"/>
    </row>
    <row r="22" spans="1:13" ht="19.5" customHeight="1">
      <c r="A22" s="3517"/>
      <c r="B22" s="3510"/>
      <c r="C22" s="2846" t="s">
        <v>2443</v>
      </c>
      <c r="D22" s="2847"/>
      <c r="E22" s="2848">
        <v>0.9</v>
      </c>
      <c r="F22" s="2845" t="s">
        <v>2444</v>
      </c>
      <c r="G22" s="2845"/>
    </row>
    <row r="23" spans="1:13" ht="19.5" customHeight="1">
      <c r="A23" s="3517"/>
      <c r="B23" s="3510"/>
      <c r="C23" s="2846" t="s">
        <v>2445</v>
      </c>
      <c r="D23" s="2847"/>
      <c r="E23" s="2848">
        <v>0.9</v>
      </c>
      <c r="F23" s="2845" t="s">
        <v>2446</v>
      </c>
      <c r="G23" s="2845"/>
    </row>
    <row r="24" spans="1:13" ht="19.5" customHeight="1">
      <c r="A24" s="3517"/>
      <c r="B24" s="3510"/>
      <c r="C24" s="2846" t="s">
        <v>2447</v>
      </c>
      <c r="D24" s="2847"/>
      <c r="E24" s="2848">
        <v>0.8</v>
      </c>
      <c r="F24" s="2845" t="s">
        <v>2448</v>
      </c>
      <c r="G24" s="2845"/>
    </row>
    <row r="25" spans="1:13" ht="19.5" customHeight="1" thickBot="1">
      <c r="A25" s="3518"/>
      <c r="B25" s="351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13" t="s">
        <v>2631</v>
      </c>
      <c r="B27" s="3511" t="s">
        <v>2612</v>
      </c>
      <c r="C27" s="2842" t="s">
        <v>2452</v>
      </c>
      <c r="D27" s="2843"/>
      <c r="E27" s="2844">
        <v>1</v>
      </c>
      <c r="F27" s="2845" t="s">
        <v>2453</v>
      </c>
      <c r="G27" s="2845"/>
    </row>
    <row r="28" spans="1:13" ht="19.5" customHeight="1">
      <c r="A28" s="3514"/>
      <c r="B28" s="3510"/>
      <c r="C28" s="2846" t="s">
        <v>2454</v>
      </c>
      <c r="D28" s="2847"/>
      <c r="E28" s="2848">
        <v>1</v>
      </c>
      <c r="F28" s="2845" t="s">
        <v>2455</v>
      </c>
      <c r="G28" s="2845"/>
    </row>
    <row r="29" spans="1:13" ht="19.5" customHeight="1">
      <c r="A29" s="3514"/>
      <c r="B29" s="3510"/>
      <c r="C29" s="2846" t="s">
        <v>2456</v>
      </c>
      <c r="D29" s="2847"/>
      <c r="E29" s="2848">
        <v>0.8</v>
      </c>
      <c r="F29" s="2845" t="s">
        <v>2457</v>
      </c>
      <c r="G29" s="2845"/>
    </row>
    <row r="30" spans="1:13" ht="19.5" customHeight="1">
      <c r="A30" s="3514"/>
      <c r="B30" s="3510"/>
      <c r="C30" s="2846" t="s">
        <v>2458</v>
      </c>
      <c r="D30" s="2847"/>
      <c r="E30" s="2848">
        <v>0.8</v>
      </c>
      <c r="F30" s="2845" t="s">
        <v>2459</v>
      </c>
      <c r="G30" s="2845"/>
    </row>
    <row r="31" spans="1:13" ht="19.5" customHeight="1">
      <c r="A31" s="3514"/>
      <c r="B31" s="3510"/>
      <c r="C31" s="2846" t="s">
        <v>2460</v>
      </c>
      <c r="D31" s="2847"/>
      <c r="E31" s="2848">
        <v>0.8</v>
      </c>
      <c r="F31" s="2845" t="s">
        <v>2461</v>
      </c>
      <c r="G31" s="2845"/>
    </row>
    <row r="32" spans="1:13" ht="19.5" customHeight="1">
      <c r="A32" s="3514"/>
      <c r="B32" s="3510"/>
      <c r="C32" s="2846" t="s">
        <v>2462</v>
      </c>
      <c r="D32" s="2847"/>
      <c r="E32" s="2848">
        <v>0.7</v>
      </c>
      <c r="F32" s="2845" t="s">
        <v>2463</v>
      </c>
      <c r="G32" s="2845"/>
    </row>
    <row r="33" spans="1:7" ht="19.5" customHeight="1">
      <c r="A33" s="3514"/>
      <c r="B33" s="3510"/>
      <c r="C33" s="2846" t="s">
        <v>2464</v>
      </c>
      <c r="D33" s="2847"/>
      <c r="E33" s="2848">
        <v>0.8</v>
      </c>
      <c r="F33" s="2845" t="s">
        <v>2465</v>
      </c>
      <c r="G33" s="2845"/>
    </row>
    <row r="34" spans="1:7" ht="19.5" customHeight="1">
      <c r="A34" s="3514"/>
      <c r="B34" s="3510"/>
      <c r="C34" s="2846" t="s">
        <v>2466</v>
      </c>
      <c r="D34" s="2847"/>
      <c r="E34" s="2848">
        <v>0.6</v>
      </c>
      <c r="F34" s="2845" t="s">
        <v>2467</v>
      </c>
      <c r="G34" s="2845"/>
    </row>
    <row r="35" spans="1:7" ht="19.5" customHeight="1">
      <c r="A35" s="3514"/>
      <c r="B35" s="3510"/>
      <c r="C35" s="2846" t="s">
        <v>2468</v>
      </c>
      <c r="D35" s="2847"/>
      <c r="E35" s="2848">
        <v>0.2</v>
      </c>
      <c r="F35" s="2845" t="s">
        <v>2469</v>
      </c>
      <c r="G35" s="2845"/>
    </row>
    <row r="36" spans="1:7" ht="19.5" customHeight="1">
      <c r="A36" s="3514"/>
      <c r="B36" s="3510"/>
      <c r="C36" s="2846" t="s">
        <v>2470</v>
      </c>
      <c r="D36" s="2847"/>
      <c r="E36" s="2848">
        <v>0.2</v>
      </c>
      <c r="F36" s="2845" t="s">
        <v>2471</v>
      </c>
      <c r="G36" s="2845"/>
    </row>
    <row r="37" spans="1:7" ht="19.5" customHeight="1">
      <c r="A37" s="3514"/>
      <c r="B37" s="3508" t="s">
        <v>2632</v>
      </c>
      <c r="C37" s="2846" t="s">
        <v>2472</v>
      </c>
      <c r="D37" s="2847"/>
      <c r="E37" s="2848">
        <v>0.6</v>
      </c>
      <c r="F37" s="2845" t="s">
        <v>2473</v>
      </c>
      <c r="G37" s="2845"/>
    </row>
    <row r="38" spans="1:7" ht="19.5" customHeight="1">
      <c r="A38" s="3514"/>
      <c r="B38" s="3510"/>
      <c r="C38" s="2846" t="s">
        <v>2474</v>
      </c>
      <c r="D38" s="2847"/>
      <c r="E38" s="2848">
        <v>0.6</v>
      </c>
      <c r="F38" s="2845" t="s">
        <v>2475</v>
      </c>
      <c r="G38" s="2845"/>
    </row>
    <row r="39" spans="1:7" ht="19.5" customHeight="1" thickBot="1">
      <c r="A39" s="3515"/>
      <c r="B39" s="351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16" t="s">
        <v>2610</v>
      </c>
      <c r="B41" s="3511" t="s">
        <v>2634</v>
      </c>
      <c r="C41" s="2842" t="s">
        <v>2479</v>
      </c>
      <c r="D41" s="2843"/>
      <c r="E41" s="2844">
        <v>1</v>
      </c>
      <c r="F41" s="2845" t="s">
        <v>2480</v>
      </c>
      <c r="G41" s="2845"/>
    </row>
    <row r="42" spans="1:7" ht="19.5" customHeight="1">
      <c r="A42" s="3517"/>
      <c r="B42" s="3510"/>
      <c r="C42" s="2846" t="s">
        <v>2481</v>
      </c>
      <c r="D42" s="2847"/>
      <c r="E42" s="2848">
        <v>1</v>
      </c>
      <c r="F42" s="2845" t="s">
        <v>2482</v>
      </c>
      <c r="G42" s="2845"/>
    </row>
    <row r="43" spans="1:7" ht="19.5" customHeight="1">
      <c r="A43" s="3517"/>
      <c r="B43" s="3509"/>
      <c r="C43" s="2846" t="s">
        <v>2483</v>
      </c>
      <c r="D43" s="2847"/>
      <c r="E43" s="2848">
        <v>1.5</v>
      </c>
      <c r="F43" s="2845" t="s">
        <v>2484</v>
      </c>
      <c r="G43" s="2845"/>
    </row>
    <row r="44" spans="1:7" ht="19.5" customHeight="1">
      <c r="A44" s="3517"/>
      <c r="B44" s="2857" t="s">
        <v>2635</v>
      </c>
      <c r="C44" s="2846" t="s">
        <v>2636</v>
      </c>
      <c r="D44" s="2847"/>
      <c r="E44" s="2848">
        <v>2</v>
      </c>
      <c r="F44" s="2845" t="s">
        <v>2485</v>
      </c>
      <c r="G44" s="2845"/>
    </row>
    <row r="45" spans="1:7" ht="19.5" customHeight="1">
      <c r="A45" s="3517"/>
      <c r="B45" s="3508" t="s">
        <v>2637</v>
      </c>
      <c r="C45" s="2846" t="s">
        <v>2486</v>
      </c>
      <c r="D45" s="2847"/>
      <c r="E45" s="2848">
        <v>1</v>
      </c>
      <c r="F45" s="2845" t="s">
        <v>2487</v>
      </c>
      <c r="G45" s="2845"/>
    </row>
    <row r="46" spans="1:7" ht="19.5" customHeight="1">
      <c r="A46" s="3517"/>
      <c r="B46" s="3510"/>
      <c r="C46" s="2846" t="s">
        <v>2488</v>
      </c>
      <c r="D46" s="2847"/>
      <c r="E46" s="2848">
        <v>1</v>
      </c>
      <c r="F46" s="2845" t="s">
        <v>2489</v>
      </c>
      <c r="G46" s="2845"/>
    </row>
    <row r="47" spans="1:7" ht="19.5" customHeight="1">
      <c r="A47" s="3517"/>
      <c r="B47" s="3510"/>
      <c r="C47" s="2846" t="s">
        <v>2490</v>
      </c>
      <c r="D47" s="2847"/>
      <c r="E47" s="2848">
        <v>1</v>
      </c>
      <c r="F47" s="2845" t="s">
        <v>2491</v>
      </c>
      <c r="G47" s="2845"/>
    </row>
    <row r="48" spans="1:7" ht="19.5" customHeight="1">
      <c r="A48" s="3517"/>
      <c r="B48" s="3510"/>
      <c r="C48" s="2846" t="s">
        <v>2492</v>
      </c>
      <c r="D48" s="2847"/>
      <c r="E48" s="2848">
        <v>1</v>
      </c>
      <c r="F48" s="2845" t="s">
        <v>2493</v>
      </c>
      <c r="G48" s="2845"/>
    </row>
    <row r="49" spans="1:7" ht="19.5" customHeight="1">
      <c r="A49" s="3517"/>
      <c r="B49" s="3510"/>
      <c r="C49" s="2846" t="s">
        <v>2494</v>
      </c>
      <c r="D49" s="2847"/>
      <c r="E49" s="2848">
        <v>1</v>
      </c>
      <c r="F49" s="2845" t="s">
        <v>2495</v>
      </c>
      <c r="G49" s="2845"/>
    </row>
    <row r="50" spans="1:7" ht="19.5" customHeight="1">
      <c r="A50" s="3517"/>
      <c r="B50" s="3510"/>
      <c r="C50" s="2846" t="s">
        <v>2496</v>
      </c>
      <c r="D50" s="2847"/>
      <c r="E50" s="2848">
        <v>1</v>
      </c>
      <c r="F50" s="2845" t="s">
        <v>2497</v>
      </c>
      <c r="G50" s="2845"/>
    </row>
    <row r="51" spans="1:7" ht="19.5" customHeight="1" thickBot="1">
      <c r="A51" s="3518"/>
      <c r="B51" s="351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08" t="s">
        <v>2651</v>
      </c>
      <c r="C73" s="2831" t="s">
        <v>2652</v>
      </c>
      <c r="D73" s="2831" t="s">
        <v>2653</v>
      </c>
      <c r="E73" s="2857">
        <v>0.2</v>
      </c>
      <c r="F73" s="2857">
        <v>25</v>
      </c>
    </row>
    <row r="74" spans="1:7" ht="24">
      <c r="A74" s="2857">
        <v>2</v>
      </c>
      <c r="B74" s="3510"/>
      <c r="C74" s="2831" t="s">
        <v>2654</v>
      </c>
      <c r="D74" s="2831" t="s">
        <v>2655</v>
      </c>
      <c r="E74" s="2857">
        <v>0.2</v>
      </c>
      <c r="F74" s="2857">
        <v>25</v>
      </c>
    </row>
    <row r="75" spans="1:7" ht="24">
      <c r="A75" s="2857">
        <v>3</v>
      </c>
      <c r="B75" s="3510"/>
      <c r="C75" s="2831" t="s">
        <v>2656</v>
      </c>
      <c r="D75" s="2831" t="s">
        <v>2657</v>
      </c>
      <c r="E75" s="2857">
        <v>0.2</v>
      </c>
      <c r="F75" s="2857">
        <v>25</v>
      </c>
    </row>
    <row r="76" spans="1:7" ht="13.5">
      <c r="A76" s="2857">
        <v>4</v>
      </c>
      <c r="B76" s="3510"/>
      <c r="C76" s="2831" t="s">
        <v>2658</v>
      </c>
      <c r="D76" s="2831" t="s">
        <v>2659</v>
      </c>
      <c r="E76" s="2857">
        <v>0.15</v>
      </c>
      <c r="F76" s="2857">
        <v>20</v>
      </c>
    </row>
    <row r="77" spans="1:7" ht="24">
      <c r="A77" s="2857">
        <v>5</v>
      </c>
      <c r="B77" s="3510"/>
      <c r="C77" s="2831" t="s">
        <v>2660</v>
      </c>
      <c r="D77" s="2831" t="s">
        <v>2661</v>
      </c>
      <c r="E77" s="2857">
        <v>0.15</v>
      </c>
      <c r="F77" s="2857">
        <v>20</v>
      </c>
    </row>
    <row r="78" spans="1:7" ht="24">
      <c r="A78" s="2857">
        <v>6</v>
      </c>
      <c r="B78" s="3510"/>
      <c r="C78" s="2831" t="s">
        <v>2662</v>
      </c>
      <c r="D78" s="2831" t="s">
        <v>2663</v>
      </c>
      <c r="E78" s="2857">
        <v>0.15</v>
      </c>
      <c r="F78" s="2857">
        <v>20</v>
      </c>
    </row>
    <row r="79" spans="1:7" ht="24">
      <c r="A79" s="2857">
        <v>7</v>
      </c>
      <c r="B79" s="3510"/>
      <c r="C79" s="2831" t="s">
        <v>2664</v>
      </c>
      <c r="D79" s="2831" t="s">
        <v>2665</v>
      </c>
      <c r="E79" s="2857">
        <v>0.15</v>
      </c>
      <c r="F79" s="2857">
        <v>20</v>
      </c>
    </row>
    <row r="80" spans="1:7" ht="24">
      <c r="A80" s="2857">
        <v>8</v>
      </c>
      <c r="B80" s="3510"/>
      <c r="C80" s="2831" t="s">
        <v>2666</v>
      </c>
      <c r="D80" s="2831" t="s">
        <v>2667</v>
      </c>
      <c r="E80" s="2857">
        <v>0.1</v>
      </c>
      <c r="F80" s="2857">
        <v>15</v>
      </c>
    </row>
    <row r="81" spans="1:6" ht="24">
      <c r="A81" s="2857">
        <v>9</v>
      </c>
      <c r="B81" s="3510"/>
      <c r="C81" s="2831" t="s">
        <v>2668</v>
      </c>
      <c r="D81" s="2831" t="s">
        <v>2669</v>
      </c>
      <c r="E81" s="2857">
        <v>0.1</v>
      </c>
      <c r="F81" s="2857">
        <v>15</v>
      </c>
    </row>
    <row r="82" spans="1:6" ht="24">
      <c r="A82" s="2857">
        <v>10</v>
      </c>
      <c r="B82" s="3510"/>
      <c r="C82" s="2831" t="s">
        <v>2670</v>
      </c>
      <c r="D82" s="2831" t="s">
        <v>2671</v>
      </c>
      <c r="E82" s="2857">
        <v>0.1</v>
      </c>
      <c r="F82" s="2857">
        <v>15</v>
      </c>
    </row>
    <row r="83" spans="1:6" ht="24">
      <c r="A83" s="2857">
        <v>11</v>
      </c>
      <c r="B83" s="3510"/>
      <c r="C83" s="2831" t="s">
        <v>2672</v>
      </c>
      <c r="D83" s="2831" t="s">
        <v>2673</v>
      </c>
      <c r="E83" s="2857">
        <v>0.1</v>
      </c>
      <c r="F83" s="2857">
        <v>15</v>
      </c>
    </row>
    <row r="84" spans="1:6" ht="24">
      <c r="A84" s="2857">
        <v>12</v>
      </c>
      <c r="B84" s="3510"/>
      <c r="C84" s="2831" t="s">
        <v>2674</v>
      </c>
      <c r="D84" s="2831" t="s">
        <v>2675</v>
      </c>
      <c r="E84" s="2857">
        <v>0.1</v>
      </c>
      <c r="F84" s="2857">
        <v>15</v>
      </c>
    </row>
    <row r="85" spans="1:6" ht="13.5">
      <c r="A85" s="2857">
        <v>13</v>
      </c>
      <c r="B85" s="3510"/>
      <c r="C85" s="2831" t="s">
        <v>2676</v>
      </c>
      <c r="D85" s="2831" t="s">
        <v>2677</v>
      </c>
      <c r="E85" s="2857">
        <v>0.1</v>
      </c>
      <c r="F85" s="2857">
        <v>15</v>
      </c>
    </row>
    <row r="86" spans="1:6" ht="13.5">
      <c r="A86" s="2857">
        <v>14</v>
      </c>
      <c r="B86" s="3510"/>
      <c r="C86" s="2831" t="s">
        <v>2678</v>
      </c>
      <c r="D86" s="2831" t="s">
        <v>2679</v>
      </c>
      <c r="E86" s="2857">
        <v>0.1</v>
      </c>
      <c r="F86" s="2857">
        <v>15</v>
      </c>
    </row>
    <row r="87" spans="1:6" ht="13.5">
      <c r="A87" s="2857">
        <v>15</v>
      </c>
      <c r="B87" s="3510"/>
      <c r="C87" s="2831" t="s">
        <v>2680</v>
      </c>
      <c r="D87" s="2831" t="s">
        <v>2681</v>
      </c>
      <c r="E87" s="2857">
        <v>0.1</v>
      </c>
      <c r="F87" s="2857">
        <v>15</v>
      </c>
    </row>
    <row r="88" spans="1:6" ht="24">
      <c r="A88" s="2857">
        <v>16</v>
      </c>
      <c r="B88" s="3510"/>
      <c r="C88" s="2831" t="s">
        <v>2682</v>
      </c>
      <c r="D88" s="2831" t="s">
        <v>2683</v>
      </c>
      <c r="E88" s="2857">
        <v>0.1</v>
      </c>
      <c r="F88" s="2857">
        <v>15</v>
      </c>
    </row>
    <row r="89" spans="1:6" ht="24">
      <c r="A89" s="2857">
        <v>17</v>
      </c>
      <c r="B89" s="3509"/>
      <c r="C89" s="2831" t="s">
        <v>2684</v>
      </c>
      <c r="D89" s="2831" t="s">
        <v>2685</v>
      </c>
      <c r="E89" s="2857">
        <v>0.1</v>
      </c>
      <c r="F89" s="2857">
        <v>15</v>
      </c>
    </row>
    <row r="90" spans="1:6" ht="13.5">
      <c r="A90" s="2857">
        <v>18</v>
      </c>
      <c r="B90" s="3508" t="s">
        <v>2686</v>
      </c>
      <c r="C90" s="2831" t="s">
        <v>2687</v>
      </c>
      <c r="D90" s="2831" t="s">
        <v>2688</v>
      </c>
      <c r="E90" s="2857">
        <v>0.2</v>
      </c>
      <c r="F90" s="2857">
        <v>25</v>
      </c>
    </row>
    <row r="91" spans="1:6" ht="24">
      <c r="A91" s="2857">
        <v>19</v>
      </c>
      <c r="B91" s="3510"/>
      <c r="C91" s="2831" t="s">
        <v>2689</v>
      </c>
      <c r="D91" s="2831" t="s">
        <v>2690</v>
      </c>
      <c r="E91" s="2857">
        <v>0.2</v>
      </c>
      <c r="F91" s="2857">
        <v>25</v>
      </c>
    </row>
    <row r="92" spans="1:6" ht="13.5">
      <c r="A92" s="2857">
        <v>20</v>
      </c>
      <c r="B92" s="3510"/>
      <c r="C92" s="2831" t="s">
        <v>2691</v>
      </c>
      <c r="D92" s="2831" t="s">
        <v>2692</v>
      </c>
      <c r="E92" s="2857">
        <v>0.15</v>
      </c>
      <c r="F92" s="2857">
        <v>20</v>
      </c>
    </row>
    <row r="93" spans="1:6" ht="13.5">
      <c r="A93" s="2857">
        <v>21</v>
      </c>
      <c r="B93" s="3510"/>
      <c r="C93" s="2831" t="s">
        <v>2693</v>
      </c>
      <c r="D93" s="2831" t="s">
        <v>2694</v>
      </c>
      <c r="E93" s="2857">
        <v>0.15</v>
      </c>
      <c r="F93" s="2857">
        <v>20</v>
      </c>
    </row>
    <row r="94" spans="1:6" ht="13.5">
      <c r="A94" s="2857">
        <v>22</v>
      </c>
      <c r="B94" s="3510"/>
      <c r="C94" s="2831" t="s">
        <v>2695</v>
      </c>
      <c r="D94" s="2831" t="s">
        <v>2696</v>
      </c>
      <c r="E94" s="2857">
        <v>0.15</v>
      </c>
      <c r="F94" s="2857">
        <v>20</v>
      </c>
    </row>
    <row r="95" spans="1:6" ht="36">
      <c r="A95" s="2857">
        <v>23</v>
      </c>
      <c r="B95" s="3510"/>
      <c r="C95" s="2831" t="s">
        <v>2697</v>
      </c>
      <c r="D95" s="2831" t="s">
        <v>2698</v>
      </c>
      <c r="E95" s="2857">
        <v>0.15</v>
      </c>
      <c r="F95" s="2857">
        <v>20</v>
      </c>
    </row>
    <row r="96" spans="1:6" ht="13.5">
      <c r="A96" s="2857">
        <v>24</v>
      </c>
      <c r="B96" s="3510"/>
      <c r="C96" s="2831" t="s">
        <v>2699</v>
      </c>
      <c r="D96" s="2831" t="s">
        <v>2700</v>
      </c>
      <c r="E96" s="2857">
        <v>0.1</v>
      </c>
      <c r="F96" s="2857">
        <v>15</v>
      </c>
    </row>
    <row r="97" spans="1:6" ht="13.5">
      <c r="A97" s="2857">
        <v>25</v>
      </c>
      <c r="B97" s="3510"/>
      <c r="C97" s="2831" t="s">
        <v>2701</v>
      </c>
      <c r="D97" s="2831" t="s">
        <v>2702</v>
      </c>
      <c r="E97" s="2857">
        <v>0.1</v>
      </c>
      <c r="F97" s="2857">
        <v>15</v>
      </c>
    </row>
    <row r="98" spans="1:6" ht="24">
      <c r="A98" s="2857">
        <v>26</v>
      </c>
      <c r="B98" s="3510"/>
      <c r="C98" s="2831" t="s">
        <v>2703</v>
      </c>
      <c r="D98" s="2831" t="s">
        <v>2704</v>
      </c>
      <c r="E98" s="2857">
        <v>0.1</v>
      </c>
      <c r="F98" s="2857">
        <v>15</v>
      </c>
    </row>
    <row r="99" spans="1:6" ht="24">
      <c r="A99" s="2857">
        <v>27</v>
      </c>
      <c r="B99" s="3510"/>
      <c r="C99" s="2831" t="s">
        <v>2705</v>
      </c>
      <c r="D99" s="2831" t="s">
        <v>2706</v>
      </c>
      <c r="E99" s="2857">
        <v>0.1</v>
      </c>
      <c r="F99" s="2857">
        <v>15</v>
      </c>
    </row>
    <row r="100" spans="1:6" ht="13.5">
      <c r="A100" s="2857">
        <v>28</v>
      </c>
      <c r="B100" s="3510"/>
      <c r="C100" s="2831" t="s">
        <v>2707</v>
      </c>
      <c r="D100" s="2831" t="s">
        <v>2708</v>
      </c>
      <c r="E100" s="2857">
        <v>0.1</v>
      </c>
      <c r="F100" s="2857">
        <v>15</v>
      </c>
    </row>
    <row r="101" spans="1:6" ht="13.5">
      <c r="A101" s="2857">
        <v>29</v>
      </c>
      <c r="B101" s="3510"/>
      <c r="C101" s="2831" t="s">
        <v>2709</v>
      </c>
      <c r="D101" s="2831" t="s">
        <v>2710</v>
      </c>
      <c r="E101" s="2857">
        <v>0.1</v>
      </c>
      <c r="F101" s="2857">
        <v>15</v>
      </c>
    </row>
    <row r="102" spans="1:6" ht="13.5">
      <c r="A102" s="2857">
        <v>30</v>
      </c>
      <c r="B102" s="3510"/>
      <c r="C102" s="2831" t="s">
        <v>2711</v>
      </c>
      <c r="D102" s="2831" t="s">
        <v>2712</v>
      </c>
      <c r="E102" s="2857">
        <v>0.1</v>
      </c>
      <c r="F102" s="2857">
        <v>15</v>
      </c>
    </row>
    <row r="103" spans="1:6" ht="24">
      <c r="A103" s="2857">
        <v>31</v>
      </c>
      <c r="B103" s="3510"/>
      <c r="C103" s="2831" t="s">
        <v>2713</v>
      </c>
      <c r="D103" s="2831" t="s">
        <v>2714</v>
      </c>
      <c r="E103" s="2857">
        <v>0.1</v>
      </c>
      <c r="F103" s="2857">
        <v>15</v>
      </c>
    </row>
    <row r="104" spans="1:6" ht="24">
      <c r="A104" s="2857">
        <v>32</v>
      </c>
      <c r="B104" s="3510"/>
      <c r="C104" s="2831" t="s">
        <v>2715</v>
      </c>
      <c r="D104" s="2831" t="s">
        <v>2716</v>
      </c>
      <c r="E104" s="2857">
        <v>0.1</v>
      </c>
      <c r="F104" s="2857">
        <v>15</v>
      </c>
    </row>
    <row r="105" spans="1:6" ht="24">
      <c r="A105" s="2857">
        <v>33</v>
      </c>
      <c r="B105" s="3510"/>
      <c r="C105" s="2831" t="s">
        <v>2717</v>
      </c>
      <c r="D105" s="2831" t="s">
        <v>2718</v>
      </c>
      <c r="E105" s="2857">
        <v>0.1</v>
      </c>
      <c r="F105" s="2857">
        <v>15</v>
      </c>
    </row>
    <row r="106" spans="1:6" ht="24">
      <c r="A106" s="2857">
        <v>34</v>
      </c>
      <c r="B106" s="3509"/>
      <c r="C106" s="2831" t="s">
        <v>2719</v>
      </c>
      <c r="D106" s="2831" t="s">
        <v>2720</v>
      </c>
      <c r="E106" s="2857">
        <v>0.1</v>
      </c>
      <c r="F106" s="2857">
        <v>15</v>
      </c>
    </row>
    <row r="107" spans="1:6" ht="24">
      <c r="A107" s="2857">
        <v>35</v>
      </c>
      <c r="B107" s="3508" t="s">
        <v>2721</v>
      </c>
      <c r="C107" s="2857" t="s">
        <v>2722</v>
      </c>
      <c r="D107" s="2831" t="s">
        <v>2723</v>
      </c>
      <c r="E107" s="2857">
        <v>0.15</v>
      </c>
      <c r="F107" s="2857">
        <v>20</v>
      </c>
    </row>
    <row r="108" spans="1:6" ht="13.5">
      <c r="A108" s="2857">
        <v>36</v>
      </c>
      <c r="B108" s="3510"/>
      <c r="C108" s="2857" t="s">
        <v>2724</v>
      </c>
      <c r="D108" s="2831" t="s">
        <v>2725</v>
      </c>
      <c r="E108" s="2857">
        <v>0.15</v>
      </c>
      <c r="F108" s="2857">
        <v>20</v>
      </c>
    </row>
    <row r="109" spans="1:6" ht="13.5">
      <c r="A109" s="2857">
        <v>37</v>
      </c>
      <c r="B109" s="3510"/>
      <c r="C109" s="2857" t="s">
        <v>2726</v>
      </c>
      <c r="D109" s="2831" t="s">
        <v>2727</v>
      </c>
      <c r="E109" s="2857">
        <v>0.15</v>
      </c>
      <c r="F109" s="2857">
        <v>20</v>
      </c>
    </row>
    <row r="110" spans="1:6" ht="13.5">
      <c r="A110" s="2857">
        <v>38</v>
      </c>
      <c r="B110" s="3510"/>
      <c r="C110" s="2857" t="s">
        <v>2728</v>
      </c>
      <c r="D110" s="2831" t="s">
        <v>2729</v>
      </c>
      <c r="E110" s="2857">
        <v>0.1</v>
      </c>
      <c r="F110" s="2857">
        <v>15</v>
      </c>
    </row>
    <row r="111" spans="1:6" ht="24">
      <c r="A111" s="2857">
        <v>39</v>
      </c>
      <c r="B111" s="3510"/>
      <c r="C111" s="2857" t="s">
        <v>2730</v>
      </c>
      <c r="D111" s="2831" t="s">
        <v>2731</v>
      </c>
      <c r="E111" s="2857">
        <v>0.1</v>
      </c>
      <c r="F111" s="2857">
        <v>15</v>
      </c>
    </row>
    <row r="112" spans="1:6" ht="24">
      <c r="A112" s="2857">
        <v>40</v>
      </c>
      <c r="B112" s="3509"/>
      <c r="C112" s="2857" t="s">
        <v>2732</v>
      </c>
      <c r="D112" s="2831" t="s">
        <v>2733</v>
      </c>
      <c r="E112" s="2857">
        <v>0.1</v>
      </c>
      <c r="F112" s="2857">
        <v>15</v>
      </c>
    </row>
    <row r="113" spans="1:6" ht="13.5">
      <c r="A113" s="2857">
        <v>41</v>
      </c>
      <c r="B113" s="3507" t="s">
        <v>2734</v>
      </c>
      <c r="C113" s="2857" t="s">
        <v>2735</v>
      </c>
      <c r="D113" s="2831" t="s">
        <v>2736</v>
      </c>
      <c r="E113" s="2857">
        <v>0.1</v>
      </c>
      <c r="F113" s="2857">
        <v>15</v>
      </c>
    </row>
    <row r="114" spans="1:6" ht="13.5">
      <c r="A114" s="2857">
        <v>42</v>
      </c>
      <c r="B114" s="3507"/>
      <c r="C114" s="2857" t="s">
        <v>2737</v>
      </c>
      <c r="D114" s="2831" t="s">
        <v>2738</v>
      </c>
      <c r="E114" s="2857">
        <v>0.1</v>
      </c>
      <c r="F114" s="2857">
        <v>15</v>
      </c>
    </row>
    <row r="115" spans="1:6" ht="24">
      <c r="A115" s="2857">
        <v>43</v>
      </c>
      <c r="B115" s="3507"/>
      <c r="C115" s="2857" t="s">
        <v>2739</v>
      </c>
      <c r="D115" s="2831" t="s">
        <v>2740</v>
      </c>
      <c r="E115" s="2857">
        <v>0.1</v>
      </c>
      <c r="F115" s="2857">
        <v>15</v>
      </c>
    </row>
    <row r="116" spans="1:6" ht="13.5">
      <c r="A116" s="2857">
        <v>44</v>
      </c>
      <c r="B116" s="3508" t="s">
        <v>2741</v>
      </c>
      <c r="C116" s="2857" t="s">
        <v>2742</v>
      </c>
      <c r="D116" s="2831" t="s">
        <v>2743</v>
      </c>
      <c r="E116" s="2857">
        <v>0.1</v>
      </c>
      <c r="F116" s="2857">
        <v>15</v>
      </c>
    </row>
    <row r="117" spans="1:6" ht="24">
      <c r="A117" s="2857">
        <v>45</v>
      </c>
      <c r="B117" s="3509"/>
      <c r="C117" s="2831" t="s">
        <v>2744</v>
      </c>
      <c r="D117" s="2831" t="s">
        <v>2745</v>
      </c>
      <c r="E117" s="2857">
        <v>0.1</v>
      </c>
      <c r="F117" s="2857">
        <v>15</v>
      </c>
    </row>
    <row r="118" spans="1:6" ht="24">
      <c r="A118" s="2857">
        <v>46</v>
      </c>
      <c r="B118" s="3508" t="s">
        <v>2746</v>
      </c>
      <c r="C118" s="2857" t="s">
        <v>2747</v>
      </c>
      <c r="D118" s="2831" t="s">
        <v>2748</v>
      </c>
      <c r="E118" s="2857">
        <v>0.1</v>
      </c>
      <c r="F118" s="2857">
        <v>15</v>
      </c>
    </row>
    <row r="119" spans="1:6" ht="24">
      <c r="A119" s="2857">
        <v>47</v>
      </c>
      <c r="B119" s="3509"/>
      <c r="C119" s="2857" t="s">
        <v>2749</v>
      </c>
      <c r="D119" s="2831" t="s">
        <v>2750</v>
      </c>
      <c r="E119" s="2857">
        <v>0.1</v>
      </c>
      <c r="F119" s="2857">
        <v>15</v>
      </c>
    </row>
    <row r="120" spans="1:6" ht="13.5">
      <c r="A120" s="2857">
        <v>48</v>
      </c>
      <c r="B120" s="3508" t="s">
        <v>2751</v>
      </c>
      <c r="C120" s="2857" t="s">
        <v>2752</v>
      </c>
      <c r="D120" s="2831" t="s">
        <v>2753</v>
      </c>
      <c r="E120" s="2857">
        <v>0.1</v>
      </c>
      <c r="F120" s="2857">
        <v>15</v>
      </c>
    </row>
    <row r="121" spans="1:6" ht="13.5">
      <c r="A121" s="2857">
        <v>49</v>
      </c>
      <c r="B121" s="3509"/>
      <c r="C121" s="2857" t="s">
        <v>2754</v>
      </c>
      <c r="D121" s="2831" t="s">
        <v>2755</v>
      </c>
      <c r="E121" s="2857">
        <v>0.1</v>
      </c>
      <c r="F121" s="2857">
        <v>15</v>
      </c>
    </row>
    <row r="122" spans="1:6" ht="24">
      <c r="A122" s="2857">
        <v>50</v>
      </c>
      <c r="B122" s="3507" t="s">
        <v>2756</v>
      </c>
      <c r="C122" s="2857" t="s">
        <v>2757</v>
      </c>
      <c r="D122" s="2831" t="s">
        <v>2758</v>
      </c>
      <c r="E122" s="2857">
        <v>0.1</v>
      </c>
      <c r="F122" s="2857">
        <v>15</v>
      </c>
    </row>
    <row r="123" spans="1:6" ht="24">
      <c r="A123" s="2857">
        <v>51</v>
      </c>
      <c r="B123" s="3507"/>
      <c r="C123" s="2857" t="s">
        <v>2759</v>
      </c>
      <c r="D123" s="2831" t="s">
        <v>2760</v>
      </c>
      <c r="E123" s="2857">
        <v>0.1</v>
      </c>
      <c r="F123" s="2857">
        <v>15</v>
      </c>
    </row>
    <row r="124" spans="1:6" ht="24">
      <c r="A124" s="2857">
        <v>52</v>
      </c>
      <c r="B124" s="3507" t="s">
        <v>2761</v>
      </c>
      <c r="C124" s="2857" t="s">
        <v>2762</v>
      </c>
      <c r="D124" s="2831" t="s">
        <v>2763</v>
      </c>
      <c r="E124" s="2857">
        <v>0.1</v>
      </c>
      <c r="F124" s="2857">
        <v>15</v>
      </c>
    </row>
    <row r="125" spans="1:6" ht="24">
      <c r="A125" s="2857">
        <v>53</v>
      </c>
      <c r="B125" s="3507"/>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07" t="s">
        <v>2769</v>
      </c>
      <c r="C127" s="2857" t="s">
        <v>2770</v>
      </c>
      <c r="D127" s="2831" t="s">
        <v>2771</v>
      </c>
      <c r="E127" s="2857">
        <v>0.1</v>
      </c>
      <c r="F127" s="2857">
        <v>15</v>
      </c>
    </row>
    <row r="128" spans="1:6" ht="13.5">
      <c r="A128" s="2857">
        <v>56</v>
      </c>
      <c r="B128" s="3507"/>
      <c r="C128" s="2857" t="s">
        <v>2772</v>
      </c>
      <c r="D128" s="2831" t="s">
        <v>2773</v>
      </c>
      <c r="E128" s="2857">
        <v>0.1</v>
      </c>
      <c r="F128" s="2857">
        <v>15</v>
      </c>
    </row>
    <row r="129" spans="1:6" ht="24">
      <c r="A129" s="2857">
        <v>57</v>
      </c>
      <c r="B129" s="3507"/>
      <c r="C129" s="2857" t="s">
        <v>2774</v>
      </c>
      <c r="D129" s="2831" t="s">
        <v>2775</v>
      </c>
      <c r="E129" s="2857">
        <v>0.1</v>
      </c>
      <c r="F129" s="2857">
        <v>15</v>
      </c>
    </row>
    <row r="130" spans="1:6" ht="24">
      <c r="A130" s="2857">
        <v>58</v>
      </c>
      <c r="B130" s="3507" t="s">
        <v>2776</v>
      </c>
      <c r="C130" s="2857" t="s">
        <v>2777</v>
      </c>
      <c r="D130" s="2831" t="s">
        <v>2778</v>
      </c>
      <c r="E130" s="2857">
        <v>0.1</v>
      </c>
      <c r="F130" s="2857">
        <v>15</v>
      </c>
    </row>
    <row r="131" spans="1:6" ht="13.5">
      <c r="A131" s="2857">
        <v>59</v>
      </c>
      <c r="B131" s="3507"/>
      <c r="C131" s="2857" t="s">
        <v>2779</v>
      </c>
      <c r="D131" s="2831" t="s">
        <v>2780</v>
      </c>
      <c r="E131" s="2857">
        <v>0.1</v>
      </c>
      <c r="F131" s="2857">
        <v>15</v>
      </c>
    </row>
    <row r="132" spans="1:6" ht="13.5">
      <c r="A132" s="2857">
        <v>60</v>
      </c>
      <c r="B132" s="3508" t="s">
        <v>2781</v>
      </c>
      <c r="C132" s="2857" t="s">
        <v>2782</v>
      </c>
      <c r="D132" s="2831" t="s">
        <v>2783</v>
      </c>
      <c r="E132" s="2857">
        <v>0.1</v>
      </c>
      <c r="F132" s="2857">
        <v>15</v>
      </c>
    </row>
    <row r="133" spans="1:6" ht="13.5">
      <c r="A133" s="2857">
        <v>61</v>
      </c>
      <c r="B133" s="3509"/>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07" t="s">
        <v>2789</v>
      </c>
      <c r="C135" s="2857" t="s">
        <v>2790</v>
      </c>
      <c r="D135" s="2831" t="s">
        <v>2791</v>
      </c>
      <c r="E135" s="2857">
        <v>0.1</v>
      </c>
      <c r="F135" s="2857">
        <v>15</v>
      </c>
    </row>
    <row r="136" spans="1:6" ht="13.5">
      <c r="A136" s="2857">
        <v>64</v>
      </c>
      <c r="B136" s="3507"/>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1.0287999999999999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0.97860000000000003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26960</v>
      </c>
      <c r="C2" s="2" t="s">
        <v>106</v>
      </c>
      <c r="D2" s="191"/>
      <c r="E2" s="191"/>
      <c r="F2" s="191"/>
      <c r="G2" s="191"/>
    </row>
    <row r="3" spans="1:7" s="192" customFormat="1" ht="18" customHeight="1" thickBot="1">
      <c r="A3" s="195" t="s">
        <v>58</v>
      </c>
      <c r="B3" s="196">
        <f ca="1">ROUND(B2*10000/'数据-汇总表'!E3,0)</f>
        <v>4214476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63.97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63.97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63.97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83" t="s">
        <v>94</v>
      </c>
    </row>
    <row r="43" spans="1:7" ht="13.5" customHeight="1">
      <c r="A43" s="734" t="s">
        <v>347</v>
      </c>
      <c r="B43" s="207" t="s">
        <v>426</v>
      </c>
      <c r="C43" s="230">
        <f ca="1">ROUND(IF('数据-取费表'!B22&lt;=1,C39*F22*'数据-取费表'!B21/2,C39*(POWER((1+F22),'数据-取费表'!B21/2)-1)),0)</f>
        <v>0</v>
      </c>
      <c r="D43" s="230"/>
      <c r="E43" s="230"/>
      <c r="F43" s="231"/>
      <c r="G43" s="3384"/>
    </row>
    <row r="44" spans="1:7" ht="13.5" customHeight="1">
      <c r="A44" s="734" t="s">
        <v>348</v>
      </c>
      <c r="B44" s="207" t="s">
        <v>428</v>
      </c>
      <c r="C44" s="230">
        <f ca="1">ROUND(IF('数据-取费表'!B22&lt;=1,C40*F22*'数据-取费表'!B21/2,C40*(POWER((1+F22),'数据-取费表'!B21/2)-1)),4)</f>
        <v>5.0000000000000001E-4</v>
      </c>
      <c r="D44" s="230"/>
      <c r="E44" s="230"/>
      <c r="F44" s="231"/>
      <c r="G44" s="3385"/>
    </row>
    <row r="45" spans="1:7" s="206" customFormat="1" ht="13.5" customHeight="1">
      <c r="A45" s="731" t="s">
        <v>341</v>
      </c>
      <c r="B45" s="236" t="s">
        <v>85</v>
      </c>
      <c r="C45" s="237">
        <f>C46</f>
        <v>3</v>
      </c>
      <c r="D45" s="227">
        <f>C47</f>
        <v>4.4999999999999997E-3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19</v>
      </c>
      <c r="D51" s="224"/>
      <c r="E51" s="224"/>
      <c r="F51" s="256"/>
      <c r="G51" s="226" t="s">
        <v>37</v>
      </c>
    </row>
    <row r="52" spans="1:7" s="200" customFormat="1" ht="16.5" thickBot="1">
      <c r="A52" s="257" t="s">
        <v>38</v>
      </c>
      <c r="B52" s="258"/>
      <c r="C52" s="259">
        <f ca="1">C31+C51</f>
        <v>26960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91"/>
      <c r="B4" s="3205" t="s">
        <v>917</v>
      </c>
      <c r="C4" s="3205"/>
      <c r="D4" s="3205"/>
      <c r="E4" s="1391"/>
    </row>
    <row r="5" spans="1:5" ht="16.5" thickTop="1">
      <c r="B5" s="3203" t="s">
        <v>909</v>
      </c>
      <c r="C5" s="1392" t="s">
        <v>910</v>
      </c>
      <c r="D5" s="797" t="e">
        <f ca="1">结果表!H101</f>
        <v>#REF!</v>
      </c>
    </row>
    <row r="6" spans="1:5" ht="15.75">
      <c r="B6" s="3203"/>
      <c r="C6" s="1392" t="s">
        <v>911</v>
      </c>
      <c r="D6" s="797" t="e">
        <f ca="1">NUMBERSTRING(INT(D5*10000),2)&amp;"元整"</f>
        <v>#REF!</v>
      </c>
    </row>
    <row r="7" spans="1:5" ht="15.75">
      <c r="B7" s="3208"/>
      <c r="C7" s="1393" t="s">
        <v>912</v>
      </c>
      <c r="D7" s="798" t="e">
        <f ca="1">结果表!H102</f>
        <v>#REF!</v>
      </c>
    </row>
    <row r="8" spans="1:5" ht="15.75">
      <c r="B8" s="3209" t="str">
        <f>结果表!E103</f>
        <v>2.估价师知悉的法定优先受偿款</v>
      </c>
      <c r="C8" s="1394" t="s">
        <v>913</v>
      </c>
      <c r="D8" s="798">
        <f>结果表!H103</f>
        <v>0</v>
      </c>
    </row>
    <row r="9" spans="1:5" ht="15.75">
      <c r="B9" s="321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2" t="str">
        <f>结果表!E107</f>
        <v>3.房地产抵押价值</v>
      </c>
      <c r="C13" s="1397" t="s">
        <v>910</v>
      </c>
      <c r="D13" s="800" t="e">
        <f ca="1">结果表!H107</f>
        <v>#REF!</v>
      </c>
    </row>
    <row r="14" spans="1:5" ht="15.75">
      <c r="B14" s="3203"/>
      <c r="C14" s="1392" t="s">
        <v>911</v>
      </c>
      <c r="D14" s="797" t="e">
        <f ca="1">NUMBERSTRING(INT(D13*10000),2)&amp;"元整"</f>
        <v>#REF!</v>
      </c>
    </row>
    <row r="15" spans="1:5" ht="15">
      <c r="B15" s="3208"/>
      <c r="C15" s="1393" t="s">
        <v>921</v>
      </c>
      <c r="D15" s="806" t="e">
        <f ca="1">结果表!H108</f>
        <v>#REF!</v>
      </c>
    </row>
    <row r="16" spans="1:5" ht="15">
      <c r="B16" s="3209" t="str">
        <f>结果表!E109</f>
        <v>——</v>
      </c>
      <c r="C16" s="1397" t="s">
        <v>922</v>
      </c>
      <c r="D16" s="1398" t="str">
        <f>结果表!H109</f>
        <v>——</v>
      </c>
    </row>
    <row r="17" spans="1:5" ht="15.75">
      <c r="B17" s="3210"/>
      <c r="C17" s="1392" t="s">
        <v>923</v>
      </c>
      <c r="D17" s="797" t="e">
        <f>NUMBERSTRING(INT(D16*10000),2)&amp;"元整"</f>
        <v>#VALUE!</v>
      </c>
    </row>
    <row r="18" spans="1:5" ht="15">
      <c r="B18" s="3211"/>
      <c r="C18" s="1393" t="s">
        <v>912</v>
      </c>
      <c r="D18" s="806" t="str">
        <f>结果表!H110</f>
        <v>——</v>
      </c>
    </row>
    <row r="19" spans="1:5" ht="15.75">
      <c r="B19" s="3202" t="str">
        <f>结果表!E111</f>
        <v>——</v>
      </c>
      <c r="C19" s="1397" t="s">
        <v>910</v>
      </c>
      <c r="D19" s="798" t="str">
        <f>结果表!H111</f>
        <v>——</v>
      </c>
    </row>
    <row r="20" spans="1:5" ht="15.75">
      <c r="B20" s="3203"/>
      <c r="C20" s="1392" t="s">
        <v>923</v>
      </c>
      <c r="D20" s="797" t="e">
        <f>NUMBERSTRING(INT(D19*10000),2)&amp;"元整"</f>
        <v>#VALUE!</v>
      </c>
    </row>
    <row r="21" spans="1:5" ht="15.75" thickBot="1">
      <c r="B21" s="320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19" t="s">
        <v>3181</v>
      </c>
      <c r="B1" s="3519"/>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520" t="s">
        <v>3232</v>
      </c>
      <c r="B1" s="3520"/>
      <c r="C1" s="3520"/>
      <c r="D1" s="3520"/>
      <c r="E1" s="3520"/>
      <c r="F1" s="3521"/>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45812</v>
      </c>
      <c r="B1" s="2929" t="s">
        <v>3378</v>
      </c>
      <c r="C1" s="2930"/>
      <c r="D1" s="2930"/>
      <c r="E1" s="2930"/>
      <c r="F1" s="2930"/>
      <c r="G1" s="2930"/>
      <c r="H1" s="2930"/>
      <c r="I1" s="2930"/>
      <c r="J1" s="2896"/>
      <c r="K1" s="2930" t="s">
        <v>454</v>
      </c>
      <c r="L1" s="2930"/>
      <c r="M1" s="2930"/>
      <c r="N1" s="2930"/>
      <c r="O1" s="2930"/>
      <c r="P1" s="2930"/>
      <c r="Q1" s="2896"/>
      <c r="R1" s="3522" t="s">
        <v>456</v>
      </c>
      <c r="S1" s="3523"/>
      <c r="T1" s="3523"/>
      <c r="U1" s="3523"/>
      <c r="V1" s="3523"/>
      <c r="W1" s="3523"/>
      <c r="X1" s="2896"/>
      <c r="Y1" s="3522" t="s">
        <v>457</v>
      </c>
      <c r="Z1" s="3523"/>
      <c r="AA1" s="3523"/>
      <c r="AB1" s="3523"/>
      <c r="AC1" s="3523"/>
      <c r="AD1" s="3523"/>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3403</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3376</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3375</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3371</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3370</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3368</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3367</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3366</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3364</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3355</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3381</v>
      </c>
    </row>
    <row r="27" spans="1:44">
      <c r="I27" s="1405" t="s">
        <v>2825</v>
      </c>
    </row>
    <row r="29" spans="1:44" s="2008" customFormat="1" ht="12.75">
      <c r="B29" s="2929" t="s">
        <v>3379</v>
      </c>
      <c r="C29" s="2930"/>
      <c r="D29" s="2930"/>
      <c r="E29" s="2930"/>
      <c r="F29" s="2930"/>
      <c r="G29" s="2930"/>
      <c r="H29" s="2930"/>
      <c r="I29" s="2930"/>
      <c r="J29" s="2896"/>
      <c r="K29" s="2930" t="s">
        <v>2826</v>
      </c>
      <c r="L29" s="2930"/>
      <c r="M29" s="2930"/>
      <c r="N29" s="2930"/>
      <c r="O29" s="2930"/>
      <c r="P29" s="2930"/>
      <c r="Q29" s="2896"/>
      <c r="R29" s="3522" t="s">
        <v>2827</v>
      </c>
      <c r="S29" s="3523"/>
      <c r="T29" s="3523"/>
      <c r="U29" s="3523"/>
      <c r="V29" s="3523"/>
      <c r="W29" s="3523"/>
      <c r="X29" s="2896"/>
      <c r="Y29" s="3522" t="s">
        <v>2828</v>
      </c>
      <c r="Z29" s="3523"/>
      <c r="AA29" s="3523"/>
      <c r="AB29" s="3523"/>
      <c r="AC29" s="3523"/>
      <c r="AD29" s="3523"/>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3404</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3403</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3377</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3374</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3372</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3370</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3369</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3367</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3366</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3365</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3355</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35" t="s">
        <v>2839</v>
      </c>
      <c r="B1" s="3535"/>
      <c r="C1" s="3535"/>
      <c r="D1" s="3535"/>
      <c r="E1" s="3535"/>
      <c r="F1" s="3535"/>
      <c r="G1" s="3536"/>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33"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34"/>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45812</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D22EB-4856-48DC-9280-837E3D9B2186}">
  <sheetPr>
    <tabColor rgb="FFFFFF00"/>
  </sheetPr>
  <dimension ref="A1"/>
  <sheetViews>
    <sheetView workbookViewId="0">
      <selection activeCell="AC25" sqref="AC2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56D8-C56D-4CEE-9D40-86D36F4F4E53}">
  <dimension ref="B2:X59"/>
  <sheetViews>
    <sheetView topLeftCell="L16" workbookViewId="0">
      <selection activeCell="M3" sqref="M3"/>
    </sheetView>
  </sheetViews>
  <sheetFormatPr defaultRowHeight="13.5"/>
  <cols>
    <col min="18" max="18" width="10.5" bestFit="1" customWidth="1"/>
    <col min="19" max="19" width="10.625" bestFit="1" customWidth="1"/>
    <col min="22" max="22" width="13.375" bestFit="1" customWidth="1"/>
  </cols>
  <sheetData>
    <row r="2" spans="2:24" ht="14.25" thickBot="1"/>
    <row r="3" spans="2:24" ht="43.5" thickBot="1">
      <c r="B3" s="3172">
        <v>1</v>
      </c>
      <c r="C3" s="3173" t="s">
        <v>3424</v>
      </c>
      <c r="D3" s="3172" t="s">
        <v>3425</v>
      </c>
      <c r="E3" s="3172" t="s">
        <v>3426</v>
      </c>
      <c r="F3" s="3172" t="s">
        <v>3427</v>
      </c>
      <c r="G3" s="3172" t="s">
        <v>3428</v>
      </c>
      <c r="H3" s="3172" t="s">
        <v>3429</v>
      </c>
      <c r="I3" s="3172" t="s">
        <v>3430</v>
      </c>
      <c r="J3" s="3172" t="s">
        <v>3431</v>
      </c>
      <c r="K3" s="3172">
        <v>59.91</v>
      </c>
      <c r="L3" s="3172" t="s">
        <v>3406</v>
      </c>
      <c r="M3" s="3172" t="s">
        <v>3432</v>
      </c>
      <c r="N3" s="3172">
        <v>2</v>
      </c>
      <c r="O3" s="3172">
        <v>2000</v>
      </c>
      <c r="P3" s="3172" t="s">
        <v>633</v>
      </c>
      <c r="Q3" s="3172" t="s">
        <v>633</v>
      </c>
      <c r="R3" s="3172" t="s">
        <v>633</v>
      </c>
      <c r="S3" s="3175">
        <v>47238</v>
      </c>
      <c r="T3" s="3172">
        <v>47322</v>
      </c>
      <c r="U3" s="3172">
        <v>2835061</v>
      </c>
      <c r="V3" s="3174">
        <v>45806</v>
      </c>
    </row>
    <row r="4" spans="2:24" ht="29.25" thickBot="1">
      <c r="B4" s="3179">
        <v>2</v>
      </c>
      <c r="C4" s="3180" t="s">
        <v>3424</v>
      </c>
      <c r="D4" s="3179" t="s">
        <v>3433</v>
      </c>
      <c r="E4" s="3179" t="s">
        <v>3434</v>
      </c>
      <c r="F4" s="3179" t="s">
        <v>3427</v>
      </c>
      <c r="G4" s="3179" t="s">
        <v>3435</v>
      </c>
      <c r="H4" s="3179" t="s">
        <v>3436</v>
      </c>
      <c r="I4" s="3179" t="s">
        <v>3430</v>
      </c>
      <c r="J4" s="3179" t="s">
        <v>3431</v>
      </c>
      <c r="K4" s="3179">
        <v>88.59</v>
      </c>
      <c r="L4" s="3179" t="s">
        <v>3406</v>
      </c>
      <c r="M4" s="3179">
        <v>12</v>
      </c>
      <c r="N4" s="3179">
        <v>5</v>
      </c>
      <c r="O4" s="3179">
        <v>1995</v>
      </c>
      <c r="P4" s="3179" t="s">
        <v>633</v>
      </c>
      <c r="Q4" s="3179" t="s">
        <v>633</v>
      </c>
      <c r="R4" s="3179" t="s">
        <v>633</v>
      </c>
      <c r="S4" s="3181">
        <v>53166</v>
      </c>
      <c r="T4" s="3179">
        <v>53210</v>
      </c>
      <c r="U4" s="3179">
        <v>4713874</v>
      </c>
      <c r="V4" s="3182">
        <v>45804</v>
      </c>
      <c r="W4" s="1405" t="s">
        <v>3485</v>
      </c>
      <c r="X4" s="1405" t="s">
        <v>3483</v>
      </c>
    </row>
    <row r="5" spans="2:24" ht="43.5" thickBot="1">
      <c r="B5" s="3183">
        <v>3</v>
      </c>
      <c r="C5" s="3184" t="s">
        <v>3424</v>
      </c>
      <c r="D5" s="3183" t="s">
        <v>3437</v>
      </c>
      <c r="E5" s="3183" t="s">
        <v>3438</v>
      </c>
      <c r="F5" s="3183" t="s">
        <v>3427</v>
      </c>
      <c r="G5" s="3183" t="s">
        <v>3439</v>
      </c>
      <c r="H5" s="3183" t="s">
        <v>3436</v>
      </c>
      <c r="I5" s="3183" t="s">
        <v>3430</v>
      </c>
      <c r="J5" s="3183" t="s">
        <v>3440</v>
      </c>
      <c r="K5" s="3183">
        <v>64.48</v>
      </c>
      <c r="L5" s="3183" t="s">
        <v>3406</v>
      </c>
      <c r="M5" s="3183">
        <v>18</v>
      </c>
      <c r="N5" s="3183">
        <v>17</v>
      </c>
      <c r="O5" s="3183">
        <v>1995</v>
      </c>
      <c r="P5" s="3183" t="s">
        <v>633</v>
      </c>
      <c r="Q5" s="3183" t="s">
        <v>633</v>
      </c>
      <c r="R5" s="3183" t="s">
        <v>633</v>
      </c>
      <c r="S5" s="3185">
        <v>45285</v>
      </c>
      <c r="T5" s="3183">
        <v>45308</v>
      </c>
      <c r="U5" s="3183">
        <v>2921460</v>
      </c>
      <c r="V5" s="3186">
        <v>45793</v>
      </c>
    </row>
    <row r="6" spans="2:24" ht="43.5" thickBot="1">
      <c r="B6" s="3179">
        <v>4</v>
      </c>
      <c r="C6" s="3180" t="s">
        <v>3424</v>
      </c>
      <c r="D6" s="3179" t="s">
        <v>3441</v>
      </c>
      <c r="E6" s="3179" t="s">
        <v>3442</v>
      </c>
      <c r="F6" s="3179" t="s">
        <v>3427</v>
      </c>
      <c r="G6" s="3179" t="s">
        <v>3443</v>
      </c>
      <c r="H6" s="3179" t="s">
        <v>3436</v>
      </c>
      <c r="I6" s="3179" t="s">
        <v>3430</v>
      </c>
      <c r="J6" s="3179" t="s">
        <v>3431</v>
      </c>
      <c r="K6" s="3179">
        <v>57.33</v>
      </c>
      <c r="L6" s="3179" t="s">
        <v>3406</v>
      </c>
      <c r="M6" s="3179">
        <v>18</v>
      </c>
      <c r="N6" s="3179">
        <v>10</v>
      </c>
      <c r="O6" s="3179">
        <v>1995</v>
      </c>
      <c r="P6" s="3179" t="s">
        <v>633</v>
      </c>
      <c r="Q6" s="3179" t="s">
        <v>633</v>
      </c>
      <c r="R6" s="3179" t="s">
        <v>633</v>
      </c>
      <c r="S6" s="3181">
        <v>61922</v>
      </c>
      <c r="T6" s="3179">
        <v>59753</v>
      </c>
      <c r="U6" s="3179">
        <v>3425639</v>
      </c>
      <c r="V6" s="3182">
        <v>45772</v>
      </c>
      <c r="W6" s="1405" t="s">
        <v>3487</v>
      </c>
      <c r="X6" s="1405" t="s">
        <v>3483</v>
      </c>
    </row>
    <row r="7" spans="2:24" ht="18" thickBot="1">
      <c r="B7" s="3179"/>
      <c r="C7" s="3180"/>
      <c r="D7" s="3179"/>
      <c r="E7" s="3179"/>
      <c r="F7" s="3179"/>
      <c r="G7" s="3179" t="s">
        <v>3479</v>
      </c>
      <c r="H7" s="3179"/>
      <c r="I7" s="3179"/>
      <c r="J7" s="3179"/>
      <c r="K7" s="3179">
        <v>61.55</v>
      </c>
      <c r="L7" s="3179"/>
      <c r="M7" s="3179">
        <v>18</v>
      </c>
      <c r="N7" s="3179">
        <v>2</v>
      </c>
      <c r="O7" s="3179"/>
      <c r="P7" s="3179"/>
      <c r="Q7" s="3179"/>
      <c r="R7" s="3179"/>
      <c r="S7" s="3181">
        <f>ROUND(U7/K7,0)</f>
        <v>60114</v>
      </c>
      <c r="T7" s="3179"/>
      <c r="U7" s="3179">
        <v>3700000</v>
      </c>
      <c r="V7" s="3182">
        <v>45760</v>
      </c>
      <c r="W7" s="1405" t="s">
        <v>3481</v>
      </c>
      <c r="X7" s="1405" t="s">
        <v>3483</v>
      </c>
    </row>
    <row r="8" spans="2:24" ht="43.5" thickBot="1">
      <c r="B8" s="3163">
        <v>5</v>
      </c>
      <c r="C8" s="3164" t="s">
        <v>3424</v>
      </c>
      <c r="D8" s="3163" t="s">
        <v>3444</v>
      </c>
      <c r="E8" s="3163" t="s">
        <v>3445</v>
      </c>
      <c r="F8" s="3163" t="s">
        <v>3427</v>
      </c>
      <c r="G8" s="3163" t="s">
        <v>3446</v>
      </c>
      <c r="H8" s="3163" t="s">
        <v>3436</v>
      </c>
      <c r="I8" s="3163" t="s">
        <v>3430</v>
      </c>
      <c r="J8" s="3163" t="s">
        <v>3440</v>
      </c>
      <c r="K8" s="3163">
        <v>49.66</v>
      </c>
      <c r="L8" s="3163" t="s">
        <v>3406</v>
      </c>
      <c r="M8" s="3163">
        <v>18</v>
      </c>
      <c r="N8" s="3163">
        <v>16</v>
      </c>
      <c r="O8" s="3163" t="s">
        <v>633</v>
      </c>
      <c r="P8" s="3163">
        <v>1994</v>
      </c>
      <c r="Q8" s="3163" t="s">
        <v>633</v>
      </c>
      <c r="R8" s="3163" t="s">
        <v>633</v>
      </c>
      <c r="S8" s="3177">
        <v>46114</v>
      </c>
      <c r="T8" s="3163">
        <v>46243</v>
      </c>
      <c r="U8" s="3163">
        <v>2296427</v>
      </c>
      <c r="V8" s="3165">
        <v>45736</v>
      </c>
    </row>
    <row r="9" spans="2:24" ht="43.5" thickBot="1">
      <c r="B9" s="3166">
        <v>6</v>
      </c>
      <c r="C9" s="3167" t="s">
        <v>3424</v>
      </c>
      <c r="D9" s="3166" t="s">
        <v>3447</v>
      </c>
      <c r="E9" s="3166" t="s">
        <v>3448</v>
      </c>
      <c r="F9" s="3166" t="s">
        <v>3427</v>
      </c>
      <c r="G9" s="3166" t="s">
        <v>3449</v>
      </c>
      <c r="H9" s="3166" t="s">
        <v>3436</v>
      </c>
      <c r="I9" s="3166" t="s">
        <v>3430</v>
      </c>
      <c r="J9" s="3166" t="s">
        <v>3431</v>
      </c>
      <c r="K9" s="3166">
        <v>49.06</v>
      </c>
      <c r="L9" s="3166" t="s">
        <v>3406</v>
      </c>
      <c r="M9" s="3166">
        <v>18</v>
      </c>
      <c r="N9" s="3166">
        <v>6</v>
      </c>
      <c r="O9" s="3166" t="s">
        <v>633</v>
      </c>
      <c r="P9" s="3166">
        <v>1994</v>
      </c>
      <c r="Q9" s="3166" t="s">
        <v>633</v>
      </c>
      <c r="R9" s="3166" t="s">
        <v>633</v>
      </c>
      <c r="S9" s="3176">
        <v>39747</v>
      </c>
      <c r="T9" s="3166">
        <v>40537</v>
      </c>
      <c r="U9" s="3166">
        <v>1988745</v>
      </c>
      <c r="V9" s="3168">
        <v>45724</v>
      </c>
    </row>
    <row r="10" spans="2:24" ht="43.5" thickBot="1">
      <c r="B10" s="3163">
        <v>7</v>
      </c>
      <c r="C10" s="3164" t="s">
        <v>3424</v>
      </c>
      <c r="D10" s="3163" t="s">
        <v>3450</v>
      </c>
      <c r="E10" s="3163" t="s">
        <v>3451</v>
      </c>
      <c r="F10" s="3163" t="s">
        <v>3427</v>
      </c>
      <c r="G10" s="3163" t="s">
        <v>3452</v>
      </c>
      <c r="H10" s="3163" t="s">
        <v>3429</v>
      </c>
      <c r="I10" s="3163" t="s">
        <v>3430</v>
      </c>
      <c r="J10" s="3163" t="s">
        <v>3431</v>
      </c>
      <c r="K10" s="3163">
        <v>86.52</v>
      </c>
      <c r="L10" s="3163" t="s">
        <v>3406</v>
      </c>
      <c r="M10" s="3163">
        <v>21</v>
      </c>
      <c r="N10" s="3163">
        <v>5</v>
      </c>
      <c r="O10" s="3163">
        <v>2000</v>
      </c>
      <c r="P10" s="3163" t="s">
        <v>633</v>
      </c>
      <c r="Q10" s="3163" t="s">
        <v>633</v>
      </c>
      <c r="R10" s="3163" t="s">
        <v>633</v>
      </c>
      <c r="S10" s="3177">
        <v>54901</v>
      </c>
      <c r="T10" s="3163">
        <v>54995</v>
      </c>
      <c r="U10" s="3163">
        <v>4758167</v>
      </c>
      <c r="V10" s="3165">
        <v>45715</v>
      </c>
    </row>
    <row r="11" spans="2:24" ht="29.25" thickBot="1">
      <c r="B11" s="3166">
        <v>8</v>
      </c>
      <c r="C11" s="3167" t="s">
        <v>3424</v>
      </c>
      <c r="D11" s="3166" t="s">
        <v>3453</v>
      </c>
      <c r="E11" s="3166" t="s">
        <v>3454</v>
      </c>
      <c r="F11" s="3166" t="s">
        <v>3427</v>
      </c>
      <c r="G11" s="3166" t="s">
        <v>3455</v>
      </c>
      <c r="H11" s="3166" t="s">
        <v>3436</v>
      </c>
      <c r="I11" s="3166" t="s">
        <v>3456</v>
      </c>
      <c r="J11" s="3166" t="s">
        <v>3440</v>
      </c>
      <c r="K11" s="3166">
        <v>59.25</v>
      </c>
      <c r="L11" s="3166" t="s">
        <v>3406</v>
      </c>
      <c r="M11" s="3166" t="s">
        <v>3457</v>
      </c>
      <c r="N11" s="3166">
        <v>3</v>
      </c>
      <c r="O11" s="3166">
        <v>1995</v>
      </c>
      <c r="P11" s="3166" t="s">
        <v>633</v>
      </c>
      <c r="Q11" s="3166" t="s">
        <v>633</v>
      </c>
      <c r="R11" s="3166" t="s">
        <v>633</v>
      </c>
      <c r="S11" s="3176">
        <v>44895</v>
      </c>
      <c r="T11" s="3166">
        <v>44990</v>
      </c>
      <c r="U11" s="3166">
        <v>2665658</v>
      </c>
      <c r="V11" s="3168">
        <v>45699</v>
      </c>
    </row>
    <row r="12" spans="2:24" ht="29.25" thickBot="1">
      <c r="B12" s="3163">
        <v>9</v>
      </c>
      <c r="C12" s="3164" t="s">
        <v>3424</v>
      </c>
      <c r="D12" s="3163" t="s">
        <v>3458</v>
      </c>
      <c r="E12" s="3163" t="s">
        <v>3459</v>
      </c>
      <c r="F12" s="3163" t="s">
        <v>3427</v>
      </c>
      <c r="G12" s="3163" t="s">
        <v>3460</v>
      </c>
      <c r="H12" s="3163" t="s">
        <v>3436</v>
      </c>
      <c r="I12" s="3163"/>
      <c r="J12" s="3163" t="s">
        <v>3431</v>
      </c>
      <c r="K12" s="3163">
        <v>68.7</v>
      </c>
      <c r="L12" s="3163" t="s">
        <v>3406</v>
      </c>
      <c r="M12" s="3163">
        <v>12</v>
      </c>
      <c r="N12" s="3163">
        <v>9</v>
      </c>
      <c r="O12" s="3163">
        <v>1995</v>
      </c>
      <c r="P12" s="3163" t="s">
        <v>633</v>
      </c>
      <c r="Q12" s="3163" t="s">
        <v>633</v>
      </c>
      <c r="R12" s="3163" t="s">
        <v>633</v>
      </c>
      <c r="S12" s="3177">
        <v>46434</v>
      </c>
      <c r="T12" s="3163">
        <v>46851</v>
      </c>
      <c r="U12" s="3163">
        <v>3218664</v>
      </c>
      <c r="V12" s="3165">
        <v>45632</v>
      </c>
    </row>
    <row r="13" spans="2:24" ht="43.5" thickBot="1">
      <c r="B13" s="3166">
        <v>10</v>
      </c>
      <c r="C13" s="3167" t="s">
        <v>3424</v>
      </c>
      <c r="D13" s="3166" t="s">
        <v>3461</v>
      </c>
      <c r="E13" s="3166" t="s">
        <v>3462</v>
      </c>
      <c r="F13" s="3166" t="s">
        <v>3427</v>
      </c>
      <c r="G13" s="3166" t="s">
        <v>3463</v>
      </c>
      <c r="H13" s="3166" t="s">
        <v>3436</v>
      </c>
      <c r="I13" s="3166" t="s">
        <v>3430</v>
      </c>
      <c r="J13" s="3166" t="s">
        <v>3431</v>
      </c>
      <c r="K13" s="3166">
        <v>50.3</v>
      </c>
      <c r="L13" s="3166" t="s">
        <v>3406</v>
      </c>
      <c r="M13" s="3166">
        <v>20</v>
      </c>
      <c r="N13" s="3166">
        <v>13</v>
      </c>
      <c r="O13" s="3166" t="s">
        <v>633</v>
      </c>
      <c r="P13" s="3166">
        <v>1994</v>
      </c>
      <c r="Q13" s="3166" t="s">
        <v>633</v>
      </c>
      <c r="R13" s="3166" t="s">
        <v>633</v>
      </c>
      <c r="S13" s="3176">
        <v>0</v>
      </c>
      <c r="T13" s="3166">
        <v>51000</v>
      </c>
      <c r="U13" s="3166">
        <v>2565300</v>
      </c>
      <c r="V13" s="3168">
        <v>45605</v>
      </c>
    </row>
    <row r="14" spans="2:24" ht="43.5" thickBot="1">
      <c r="B14" s="3163">
        <v>11</v>
      </c>
      <c r="C14" s="3164" t="s">
        <v>3424</v>
      </c>
      <c r="D14" s="3163" t="s">
        <v>3464</v>
      </c>
      <c r="E14" s="3163" t="s">
        <v>3465</v>
      </c>
      <c r="F14" s="3163" t="s">
        <v>3427</v>
      </c>
      <c r="G14" s="3163" t="s">
        <v>3466</v>
      </c>
      <c r="H14" s="3163" t="s">
        <v>3436</v>
      </c>
      <c r="I14" s="3163" t="s">
        <v>3430</v>
      </c>
      <c r="J14" s="3163" t="s">
        <v>3431</v>
      </c>
      <c r="K14" s="3163">
        <v>64.12</v>
      </c>
      <c r="L14" s="3163" t="s">
        <v>3406</v>
      </c>
      <c r="M14" s="3163">
        <v>18</v>
      </c>
      <c r="N14" s="3163">
        <v>12</v>
      </c>
      <c r="O14" s="3163">
        <v>1995</v>
      </c>
      <c r="P14" s="3163" t="s">
        <v>633</v>
      </c>
      <c r="Q14" s="3163" t="s">
        <v>633</v>
      </c>
      <c r="R14" s="3163" t="s">
        <v>633</v>
      </c>
      <c r="S14" s="3177">
        <v>60512</v>
      </c>
      <c r="T14" s="3163">
        <v>60689</v>
      </c>
      <c r="U14" s="3163">
        <v>3891379</v>
      </c>
      <c r="V14" s="3165">
        <v>45603</v>
      </c>
    </row>
    <row r="15" spans="2:24" ht="43.5" thickBot="1">
      <c r="B15" s="3166">
        <v>12</v>
      </c>
      <c r="C15" s="3167" t="s">
        <v>3424</v>
      </c>
      <c r="D15" s="3166" t="s">
        <v>3467</v>
      </c>
      <c r="E15" s="3166" t="s">
        <v>3468</v>
      </c>
      <c r="F15" s="3166" t="s">
        <v>3427</v>
      </c>
      <c r="G15" s="3166" t="s">
        <v>3469</v>
      </c>
      <c r="H15" s="3166" t="s">
        <v>3429</v>
      </c>
      <c r="I15" s="3166" t="s">
        <v>3430</v>
      </c>
      <c r="J15" s="3166" t="s">
        <v>3440</v>
      </c>
      <c r="K15" s="3166">
        <v>112.13</v>
      </c>
      <c r="L15" s="3166" t="s">
        <v>3406</v>
      </c>
      <c r="M15" s="3166">
        <v>7</v>
      </c>
      <c r="N15" s="3166">
        <v>1</v>
      </c>
      <c r="O15" s="3166">
        <v>1999</v>
      </c>
      <c r="P15" s="3166" t="s">
        <v>633</v>
      </c>
      <c r="Q15" s="3166" t="s">
        <v>633</v>
      </c>
      <c r="R15" s="3166" t="s">
        <v>633</v>
      </c>
      <c r="S15" s="3176">
        <v>59128</v>
      </c>
      <c r="T15" s="3166">
        <v>59215</v>
      </c>
      <c r="U15" s="3166">
        <v>6639778</v>
      </c>
      <c r="V15" s="3168">
        <v>45582</v>
      </c>
    </row>
    <row r="16" spans="2:24" ht="43.5" thickBot="1">
      <c r="B16" s="3169">
        <v>13</v>
      </c>
      <c r="C16" s="3170" t="s">
        <v>3424</v>
      </c>
      <c r="D16" s="3169" t="s">
        <v>3470</v>
      </c>
      <c r="E16" s="3169" t="s">
        <v>3471</v>
      </c>
      <c r="F16" s="3169" t="s">
        <v>3427</v>
      </c>
      <c r="G16" s="3169" t="s">
        <v>3472</v>
      </c>
      <c r="H16" s="3169" t="s">
        <v>3436</v>
      </c>
      <c r="I16" s="3169" t="s">
        <v>3430</v>
      </c>
      <c r="J16" s="3169" t="s">
        <v>3431</v>
      </c>
      <c r="K16" s="3169">
        <v>74.52</v>
      </c>
      <c r="L16" s="3169" t="s">
        <v>3406</v>
      </c>
      <c r="M16" s="3169">
        <v>6</v>
      </c>
      <c r="N16" s="3169">
        <v>6</v>
      </c>
      <c r="O16" s="3169">
        <v>1995</v>
      </c>
      <c r="P16" s="3169" t="s">
        <v>633</v>
      </c>
      <c r="Q16" s="3169" t="s">
        <v>633</v>
      </c>
      <c r="R16" s="3169" t="s">
        <v>633</v>
      </c>
      <c r="S16" s="3178">
        <v>46632</v>
      </c>
      <c r="T16" s="3169">
        <v>47320</v>
      </c>
      <c r="U16" s="3169">
        <v>3526286</v>
      </c>
      <c r="V16" s="3171">
        <v>45578</v>
      </c>
    </row>
    <row r="17" spans="2:22" ht="29.25" thickBot="1">
      <c r="B17" s="3166">
        <v>14</v>
      </c>
      <c r="C17" s="3167" t="s">
        <v>3424</v>
      </c>
      <c r="D17" s="3166" t="s">
        <v>3473</v>
      </c>
      <c r="E17" s="3166" t="s">
        <v>3474</v>
      </c>
      <c r="F17" s="3166" t="s">
        <v>3427</v>
      </c>
      <c r="G17" s="3166" t="s">
        <v>3475</v>
      </c>
      <c r="H17" s="3166" t="s">
        <v>3429</v>
      </c>
      <c r="I17" s="3166" t="s">
        <v>3430</v>
      </c>
      <c r="J17" s="3166" t="s">
        <v>3440</v>
      </c>
      <c r="K17" s="3166">
        <v>60.04</v>
      </c>
      <c r="L17" s="3166" t="s">
        <v>3406</v>
      </c>
      <c r="M17" s="3166">
        <v>21</v>
      </c>
      <c r="N17" s="3166">
        <v>5</v>
      </c>
      <c r="O17" s="3166">
        <v>2000</v>
      </c>
      <c r="P17" s="3166" t="s">
        <v>633</v>
      </c>
      <c r="Q17" s="3166" t="s">
        <v>633</v>
      </c>
      <c r="R17" s="3166" t="s">
        <v>633</v>
      </c>
      <c r="S17" s="3176">
        <v>51965</v>
      </c>
      <c r="T17" s="3166">
        <v>52091</v>
      </c>
      <c r="U17" s="3166">
        <v>3127544</v>
      </c>
      <c r="V17" s="3168">
        <v>45576</v>
      </c>
    </row>
    <row r="18" spans="2:22" ht="43.5" thickBot="1">
      <c r="B18" s="3163">
        <v>15</v>
      </c>
      <c r="C18" s="3164" t="s">
        <v>3424</v>
      </c>
      <c r="D18" s="3163" t="s">
        <v>3476</v>
      </c>
      <c r="E18" s="3163" t="s">
        <v>3477</v>
      </c>
      <c r="F18" s="3163" t="s">
        <v>3427</v>
      </c>
      <c r="G18" s="3163" t="s">
        <v>3478</v>
      </c>
      <c r="H18" s="3163" t="s">
        <v>3436</v>
      </c>
      <c r="I18" s="3163" t="s">
        <v>3430</v>
      </c>
      <c r="J18" s="3163" t="s">
        <v>3440</v>
      </c>
      <c r="K18" s="3163">
        <v>62.41</v>
      </c>
      <c r="L18" s="3163" t="s">
        <v>3406</v>
      </c>
      <c r="M18" s="3163">
        <v>6</v>
      </c>
      <c r="N18" s="3163">
        <v>1</v>
      </c>
      <c r="O18" s="3163">
        <v>1995</v>
      </c>
      <c r="P18" s="3163" t="s">
        <v>633</v>
      </c>
      <c r="Q18" s="3163" t="s">
        <v>633</v>
      </c>
      <c r="R18" s="3163" t="s">
        <v>633</v>
      </c>
      <c r="S18" s="3177">
        <v>42557</v>
      </c>
      <c r="T18" s="3163">
        <v>42732</v>
      </c>
      <c r="U18" s="3163">
        <v>2666904</v>
      </c>
      <c r="V18" s="3165">
        <v>45519</v>
      </c>
    </row>
    <row r="43" spans="18:21">
      <c r="R43" s="3162">
        <v>45827</v>
      </c>
      <c r="S43">
        <v>87</v>
      </c>
      <c r="T43">
        <v>8500</v>
      </c>
      <c r="U43">
        <f>T43/S43</f>
        <v>97.701149425287355</v>
      </c>
    </row>
    <row r="44" spans="18:21">
      <c r="R44" s="3162">
        <v>45816</v>
      </c>
      <c r="S44">
        <v>72.510000000000005</v>
      </c>
      <c r="T44">
        <v>6000</v>
      </c>
      <c r="U44">
        <f t="shared" ref="U44:U46" si="0">T44/S44</f>
        <v>82.747207281754228</v>
      </c>
    </row>
    <row r="45" spans="18:21">
      <c r="R45" s="3162">
        <v>45783</v>
      </c>
      <c r="S45">
        <v>48.08</v>
      </c>
      <c r="T45">
        <v>5500</v>
      </c>
      <c r="U45">
        <f t="shared" si="0"/>
        <v>114.39267886855242</v>
      </c>
    </row>
    <row r="46" spans="18:21">
      <c r="R46" s="3162">
        <v>45737</v>
      </c>
      <c r="S46">
        <v>57.09</v>
      </c>
      <c r="T46">
        <v>4200</v>
      </c>
      <c r="U46">
        <f t="shared" si="0"/>
        <v>73.568050446663165</v>
      </c>
    </row>
    <row r="47" spans="18:21">
      <c r="U47">
        <f>AVERAGE(U43:U46)</f>
        <v>92.102271505564289</v>
      </c>
    </row>
    <row r="50" spans="19:21">
      <c r="S50">
        <v>63.4</v>
      </c>
      <c r="T50">
        <v>6800</v>
      </c>
      <c r="U50">
        <f>T50/S50</f>
        <v>107.25552050473186</v>
      </c>
    </row>
    <row r="51" spans="19:21">
      <c r="S51">
        <v>64.319999999999993</v>
      </c>
      <c r="T51">
        <v>7190</v>
      </c>
      <c r="U51">
        <f t="shared" ref="U51:U55" si="1">T51/S51</f>
        <v>111.78482587064678</v>
      </c>
    </row>
    <row r="52" spans="19:21">
      <c r="S52">
        <v>62.82</v>
      </c>
      <c r="T52">
        <v>5600</v>
      </c>
      <c r="U52">
        <f t="shared" si="1"/>
        <v>89.143584845590581</v>
      </c>
    </row>
    <row r="53" spans="19:21">
      <c r="S53">
        <v>63.52</v>
      </c>
      <c r="T53">
        <v>6000</v>
      </c>
      <c r="U53">
        <f t="shared" si="1"/>
        <v>94.458438287153655</v>
      </c>
    </row>
    <row r="54" spans="19:21">
      <c r="S54">
        <v>49.66</v>
      </c>
      <c r="T54">
        <v>5300</v>
      </c>
      <c r="U54">
        <f t="shared" si="1"/>
        <v>106.72573499798631</v>
      </c>
    </row>
    <row r="55" spans="19:21">
      <c r="S55">
        <v>84</v>
      </c>
      <c r="T55">
        <v>7600</v>
      </c>
      <c r="U55">
        <f t="shared" si="1"/>
        <v>90.476190476190482</v>
      </c>
    </row>
    <row r="59" spans="19:21">
      <c r="U59">
        <f>AVERAGE(U50:U55)</f>
        <v>99.974049163716629</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5698-438C-4698-A142-1A878304A51E}">
  <sheetPr filterMode="1"/>
  <dimension ref="A1:R100"/>
  <sheetViews>
    <sheetView zoomScale="130" zoomScaleNormal="130" workbookViewId="0">
      <pane xSplit="3" ySplit="1" topLeftCell="D2" activePane="bottomRight" state="frozen"/>
      <selection pane="topRight" activeCell="D1" sqref="D1"/>
      <selection pane="bottomLeft" activeCell="A2" sqref="A2"/>
      <selection pane="bottomRight" activeCell="R11" activeCellId="1" sqref="A4:R4 A11:R11"/>
    </sheetView>
  </sheetViews>
  <sheetFormatPr defaultRowHeight="13.5"/>
  <cols>
    <col min="2" max="2" width="11.625" customWidth="1"/>
    <col min="3" max="3" width="27.25" customWidth="1"/>
    <col min="12" max="12" width="21.625" customWidth="1"/>
    <col min="15" max="15" width="9" style="3194"/>
    <col min="18" max="18" width="13.375" bestFit="1" customWidth="1"/>
  </cols>
  <sheetData>
    <row r="1" spans="1:18" ht="14.25">
      <c r="A1" s="3195" t="s">
        <v>3529</v>
      </c>
      <c r="B1" s="3195" t="s">
        <v>3530</v>
      </c>
      <c r="C1" s="3195" t="s">
        <v>3531</v>
      </c>
      <c r="D1" s="3195" t="s">
        <v>3532</v>
      </c>
      <c r="E1" s="3195" t="s">
        <v>3533</v>
      </c>
      <c r="F1" s="3195" t="s">
        <v>3534</v>
      </c>
      <c r="G1" s="3195" t="s">
        <v>3535</v>
      </c>
      <c r="H1" s="3195" t="s">
        <v>3536</v>
      </c>
      <c r="I1" s="3195" t="s">
        <v>3537</v>
      </c>
      <c r="J1" s="3195" t="s">
        <v>3538</v>
      </c>
      <c r="K1" s="3195" t="s">
        <v>3539</v>
      </c>
      <c r="L1" s="3195" t="s">
        <v>3540</v>
      </c>
      <c r="M1" s="3195" t="s">
        <v>3541</v>
      </c>
      <c r="N1" s="3195" t="s">
        <v>3542</v>
      </c>
      <c r="O1" s="3196" t="s">
        <v>3543</v>
      </c>
      <c r="P1" s="3195" t="s">
        <v>3544</v>
      </c>
      <c r="Q1" s="3195" t="s">
        <v>3545</v>
      </c>
      <c r="R1" s="3195" t="s">
        <v>3546</v>
      </c>
    </row>
    <row r="2" spans="1:18" ht="15" hidden="1" thickBot="1">
      <c r="A2" s="3183">
        <v>1</v>
      </c>
      <c r="B2" s="3183" t="s">
        <v>3427</v>
      </c>
      <c r="C2" s="3183" t="s">
        <v>3428</v>
      </c>
      <c r="D2" s="3183" t="s">
        <v>3429</v>
      </c>
      <c r="E2" s="3183" t="s">
        <v>3430</v>
      </c>
      <c r="F2" s="3183" t="s">
        <v>3431</v>
      </c>
      <c r="G2" s="3183">
        <v>59.91</v>
      </c>
      <c r="H2" s="3183" t="s">
        <v>3406</v>
      </c>
      <c r="I2" s="3183" t="s">
        <v>3432</v>
      </c>
      <c r="J2" s="3183">
        <v>2</v>
      </c>
      <c r="K2" s="3183">
        <v>2000</v>
      </c>
      <c r="L2" s="3183" t="s">
        <v>633</v>
      </c>
      <c r="M2" s="3183" t="s">
        <v>633</v>
      </c>
      <c r="N2" s="3183" t="s">
        <v>633</v>
      </c>
      <c r="O2" s="3185">
        <v>47238</v>
      </c>
      <c r="P2" s="3183">
        <v>47322</v>
      </c>
      <c r="Q2" s="3183">
        <v>2835061</v>
      </c>
      <c r="R2" s="3186">
        <v>45806</v>
      </c>
    </row>
    <row r="3" spans="1:18" ht="15" hidden="1" thickBot="1">
      <c r="A3" s="3197">
        <v>2</v>
      </c>
      <c r="B3" s="3197" t="s">
        <v>3427</v>
      </c>
      <c r="C3" s="3197" t="s">
        <v>3547</v>
      </c>
      <c r="D3" s="3197" t="s">
        <v>3548</v>
      </c>
      <c r="E3" s="3197" t="s">
        <v>3430</v>
      </c>
      <c r="F3" s="3197" t="s">
        <v>3431</v>
      </c>
      <c r="G3" s="3197">
        <v>55.41</v>
      </c>
      <c r="H3" s="3197" t="s">
        <v>3406</v>
      </c>
      <c r="I3" s="3197">
        <v>6</v>
      </c>
      <c r="J3" s="3197">
        <v>4</v>
      </c>
      <c r="K3" s="3197" t="s">
        <v>633</v>
      </c>
      <c r="L3" s="3197">
        <v>1979</v>
      </c>
      <c r="M3" s="3197" t="s">
        <v>633</v>
      </c>
      <c r="N3" s="3197" t="s">
        <v>633</v>
      </c>
      <c r="O3" s="3198">
        <v>44216</v>
      </c>
      <c r="P3" s="3197">
        <v>44396</v>
      </c>
      <c r="Q3" s="3197">
        <v>2459982</v>
      </c>
      <c r="R3" s="3199">
        <v>45805</v>
      </c>
    </row>
    <row r="4" spans="1:18" ht="15" thickBot="1">
      <c r="A4" s="3183">
        <v>3</v>
      </c>
      <c r="B4" s="3183" t="s">
        <v>3427</v>
      </c>
      <c r="C4" s="3183" t="s">
        <v>3435</v>
      </c>
      <c r="D4" s="3183" t="s">
        <v>3436</v>
      </c>
      <c r="E4" s="3183" t="s">
        <v>3430</v>
      </c>
      <c r="F4" s="3183" t="s">
        <v>3431</v>
      </c>
      <c r="G4" s="3183">
        <v>88.59</v>
      </c>
      <c r="H4" s="3183" t="s">
        <v>3406</v>
      </c>
      <c r="I4" s="3183">
        <v>12</v>
      </c>
      <c r="J4" s="3183">
        <v>5</v>
      </c>
      <c r="K4" s="3183">
        <v>1995</v>
      </c>
      <c r="L4" s="3183" t="s">
        <v>633</v>
      </c>
      <c r="M4" s="3183" t="s">
        <v>633</v>
      </c>
      <c r="N4" s="3183" t="s">
        <v>633</v>
      </c>
      <c r="O4" s="3185">
        <v>53166</v>
      </c>
      <c r="P4" s="3183">
        <v>53210</v>
      </c>
      <c r="Q4" s="3183">
        <v>4713874</v>
      </c>
      <c r="R4" s="3186">
        <v>45804</v>
      </c>
    </row>
    <row r="5" spans="1:18" ht="29.25" thickBot="1">
      <c r="A5" s="3183">
        <v>4</v>
      </c>
      <c r="B5" s="3183" t="s">
        <v>3427</v>
      </c>
      <c r="C5" s="3183" t="s">
        <v>3439</v>
      </c>
      <c r="D5" s="3183" t="s">
        <v>3436</v>
      </c>
      <c r="E5" s="3183" t="s">
        <v>3430</v>
      </c>
      <c r="F5" s="3183" t="s">
        <v>3440</v>
      </c>
      <c r="G5" s="3183">
        <v>64.48</v>
      </c>
      <c r="H5" s="3183" t="s">
        <v>3406</v>
      </c>
      <c r="I5" s="3183">
        <v>18</v>
      </c>
      <c r="J5" s="3183">
        <v>17</v>
      </c>
      <c r="K5" s="3183">
        <v>1995</v>
      </c>
      <c r="L5" s="3183" t="s">
        <v>633</v>
      </c>
      <c r="M5" s="3183" t="s">
        <v>633</v>
      </c>
      <c r="N5" s="3183" t="s">
        <v>633</v>
      </c>
      <c r="O5" s="3185">
        <v>45285</v>
      </c>
      <c r="P5" s="3183">
        <v>45308</v>
      </c>
      <c r="Q5" s="3183">
        <v>2921460</v>
      </c>
      <c r="R5" s="3186">
        <v>45793</v>
      </c>
    </row>
    <row r="6" spans="1:18" ht="15" hidden="1" thickBot="1">
      <c r="A6" s="3197">
        <v>5</v>
      </c>
      <c r="B6" s="3197" t="s">
        <v>3427</v>
      </c>
      <c r="C6" s="3197" t="s">
        <v>3549</v>
      </c>
      <c r="D6" s="3197" t="s">
        <v>3550</v>
      </c>
      <c r="E6" s="3197" t="s">
        <v>3430</v>
      </c>
      <c r="F6" s="3197" t="s">
        <v>3431</v>
      </c>
      <c r="G6" s="3197">
        <v>57.42</v>
      </c>
      <c r="H6" s="3197" t="s">
        <v>3406</v>
      </c>
      <c r="I6" s="3197">
        <v>6</v>
      </c>
      <c r="J6" s="3197">
        <v>2</v>
      </c>
      <c r="K6" s="3197">
        <v>1999</v>
      </c>
      <c r="L6" s="3197" t="s">
        <v>633</v>
      </c>
      <c r="M6" s="3197" t="s">
        <v>633</v>
      </c>
      <c r="N6" s="3197" t="s">
        <v>633</v>
      </c>
      <c r="O6" s="3198">
        <v>47370</v>
      </c>
      <c r="P6" s="3197">
        <v>47718</v>
      </c>
      <c r="Q6" s="3197">
        <v>2739968</v>
      </c>
      <c r="R6" s="3199">
        <v>45786</v>
      </c>
    </row>
    <row r="7" spans="1:18" ht="15" thickBot="1">
      <c r="A7" s="3197">
        <v>6</v>
      </c>
      <c r="B7" s="3197" t="s">
        <v>3427</v>
      </c>
      <c r="C7" s="3197" t="s">
        <v>3551</v>
      </c>
      <c r="D7" s="3197" t="s">
        <v>3550</v>
      </c>
      <c r="E7" s="3197" t="s">
        <v>3456</v>
      </c>
      <c r="F7" s="3197" t="s">
        <v>3431</v>
      </c>
      <c r="G7" s="3197">
        <v>76.97</v>
      </c>
      <c r="H7" s="3197" t="s">
        <v>3406</v>
      </c>
      <c r="I7" s="3197">
        <v>6</v>
      </c>
      <c r="J7" s="3197">
        <v>6</v>
      </c>
      <c r="K7" s="3197">
        <v>1983</v>
      </c>
      <c r="L7" s="3197" t="s">
        <v>633</v>
      </c>
      <c r="M7" s="3197" t="s">
        <v>633</v>
      </c>
      <c r="N7" s="3197" t="s">
        <v>633</v>
      </c>
      <c r="O7" s="3198">
        <v>44303</v>
      </c>
      <c r="P7" s="3197">
        <v>44392</v>
      </c>
      <c r="Q7" s="3197">
        <v>3416852</v>
      </c>
      <c r="R7" s="3199">
        <v>45787</v>
      </c>
    </row>
    <row r="8" spans="1:18" ht="29.25" thickBot="1">
      <c r="A8" s="3197">
        <v>7</v>
      </c>
      <c r="B8" s="3197" t="s">
        <v>3427</v>
      </c>
      <c r="C8" s="3197" t="s">
        <v>3552</v>
      </c>
      <c r="D8" s="3197" t="s">
        <v>3553</v>
      </c>
      <c r="E8" s="3197" t="s">
        <v>3430</v>
      </c>
      <c r="F8" s="3197" t="s">
        <v>3440</v>
      </c>
      <c r="G8" s="3197">
        <v>56.21</v>
      </c>
      <c r="H8" s="3197" t="s">
        <v>3406</v>
      </c>
      <c r="I8" s="3197">
        <v>6</v>
      </c>
      <c r="J8" s="3197">
        <v>6</v>
      </c>
      <c r="K8" s="3197">
        <v>1981</v>
      </c>
      <c r="L8" s="3197" t="s">
        <v>633</v>
      </c>
      <c r="M8" s="3197" t="s">
        <v>633</v>
      </c>
      <c r="N8" s="3197" t="s">
        <v>633</v>
      </c>
      <c r="O8" s="3198">
        <v>41985</v>
      </c>
      <c r="P8" s="3197">
        <v>42256</v>
      </c>
      <c r="Q8" s="3197">
        <v>2375210</v>
      </c>
      <c r="R8" s="3199">
        <v>45776</v>
      </c>
    </row>
    <row r="9" spans="1:18" ht="15" hidden="1" thickBot="1">
      <c r="A9" s="3197">
        <v>8</v>
      </c>
      <c r="B9" s="3197" t="s">
        <v>3427</v>
      </c>
      <c r="C9" s="3197" t="s">
        <v>3554</v>
      </c>
      <c r="D9" s="3197" t="s">
        <v>3555</v>
      </c>
      <c r="E9" s="3197" t="s">
        <v>3430</v>
      </c>
      <c r="F9" s="3197" t="s">
        <v>3431</v>
      </c>
      <c r="G9" s="3197">
        <v>41.51</v>
      </c>
      <c r="H9" s="3197" t="s">
        <v>3406</v>
      </c>
      <c r="I9" s="3197">
        <v>6</v>
      </c>
      <c r="J9" s="3197">
        <v>4</v>
      </c>
      <c r="K9" s="3197" t="s">
        <v>633</v>
      </c>
      <c r="L9" s="3197">
        <v>1988</v>
      </c>
      <c r="M9" s="3197" t="s">
        <v>633</v>
      </c>
      <c r="N9" s="3197" t="s">
        <v>633</v>
      </c>
      <c r="O9" s="3198">
        <v>51313</v>
      </c>
      <c r="P9" s="3197">
        <v>51514</v>
      </c>
      <c r="Q9" s="3197">
        <v>2138346</v>
      </c>
      <c r="R9" s="3199">
        <v>45775</v>
      </c>
    </row>
    <row r="10" spans="1:18" ht="15" thickBot="1">
      <c r="A10" s="3183">
        <v>9</v>
      </c>
      <c r="B10" s="3183" t="s">
        <v>3427</v>
      </c>
      <c r="C10" s="3183" t="s">
        <v>3556</v>
      </c>
      <c r="D10" s="3183" t="s">
        <v>3550</v>
      </c>
      <c r="E10" s="3183" t="s">
        <v>3430</v>
      </c>
      <c r="F10" s="3183" t="s">
        <v>3431</v>
      </c>
      <c r="G10" s="3183">
        <v>62.62</v>
      </c>
      <c r="H10" s="3183" t="s">
        <v>3406</v>
      </c>
      <c r="I10" s="3183">
        <v>12</v>
      </c>
      <c r="J10" s="3183">
        <v>4</v>
      </c>
      <c r="K10" s="3183">
        <v>1992</v>
      </c>
      <c r="L10" s="3183" t="s">
        <v>633</v>
      </c>
      <c r="M10" s="3183" t="s">
        <v>633</v>
      </c>
      <c r="N10" s="3183" t="s">
        <v>633</v>
      </c>
      <c r="O10" s="3185">
        <v>54583</v>
      </c>
      <c r="P10" s="3183">
        <v>54701</v>
      </c>
      <c r="Q10" s="3183">
        <v>3425377</v>
      </c>
      <c r="R10" s="3186">
        <v>45773</v>
      </c>
    </row>
    <row r="11" spans="1:18" ht="15" thickBot="1">
      <c r="A11" s="3183">
        <v>10</v>
      </c>
      <c r="B11" s="3183" t="s">
        <v>3427</v>
      </c>
      <c r="C11" s="3183" t="s">
        <v>3443</v>
      </c>
      <c r="D11" s="3183" t="s">
        <v>3436</v>
      </c>
      <c r="E11" s="3183" t="s">
        <v>3430</v>
      </c>
      <c r="F11" s="3183" t="s">
        <v>3431</v>
      </c>
      <c r="G11" s="3183">
        <v>57.33</v>
      </c>
      <c r="H11" s="3183" t="s">
        <v>3406</v>
      </c>
      <c r="I11" s="3183">
        <v>18</v>
      </c>
      <c r="J11" s="3183">
        <v>10</v>
      </c>
      <c r="K11" s="3183">
        <v>1995</v>
      </c>
      <c r="L11" s="3183" t="s">
        <v>633</v>
      </c>
      <c r="M11" s="3183" t="s">
        <v>633</v>
      </c>
      <c r="N11" s="3183" t="s">
        <v>633</v>
      </c>
      <c r="O11" s="3185">
        <v>61922</v>
      </c>
      <c r="P11" s="3183">
        <v>59753</v>
      </c>
      <c r="Q11" s="3183">
        <v>3425639</v>
      </c>
      <c r="R11" s="3186">
        <v>45772</v>
      </c>
    </row>
    <row r="12" spans="1:18" ht="29.25" hidden="1" thickBot="1">
      <c r="A12" s="3183">
        <v>11</v>
      </c>
      <c r="B12" s="3183" t="s">
        <v>3427</v>
      </c>
      <c r="C12" s="3183" t="s">
        <v>3557</v>
      </c>
      <c r="D12" s="3183" t="s">
        <v>3550</v>
      </c>
      <c r="E12" s="3183" t="s">
        <v>3430</v>
      </c>
      <c r="F12" s="3183" t="s">
        <v>3440</v>
      </c>
      <c r="G12" s="3183">
        <v>77.05</v>
      </c>
      <c r="H12" s="3183" t="s">
        <v>3406</v>
      </c>
      <c r="I12" s="3183">
        <v>18</v>
      </c>
      <c r="J12" s="3183">
        <v>18</v>
      </c>
      <c r="K12" s="3183">
        <v>1996</v>
      </c>
      <c r="L12" s="3183" t="s">
        <v>633</v>
      </c>
      <c r="M12" s="3183" t="s">
        <v>633</v>
      </c>
      <c r="N12" s="3183" t="s">
        <v>633</v>
      </c>
      <c r="O12" s="3185">
        <v>53602</v>
      </c>
      <c r="P12" s="3183">
        <v>53940</v>
      </c>
      <c r="Q12" s="3183">
        <v>4156077</v>
      </c>
      <c r="R12" s="3186">
        <v>45761</v>
      </c>
    </row>
    <row r="13" spans="1:18" ht="29.25" hidden="1" thickBot="1">
      <c r="A13" s="3183">
        <v>12</v>
      </c>
      <c r="B13" s="3183" t="s">
        <v>3427</v>
      </c>
      <c r="C13" s="3183" t="s">
        <v>3446</v>
      </c>
      <c r="D13" s="3183" t="s">
        <v>3436</v>
      </c>
      <c r="E13" s="3183" t="s">
        <v>3430</v>
      </c>
      <c r="F13" s="3183" t="s">
        <v>3440</v>
      </c>
      <c r="G13" s="3183">
        <v>49.66</v>
      </c>
      <c r="H13" s="3183" t="s">
        <v>3406</v>
      </c>
      <c r="I13" s="3183">
        <v>18</v>
      </c>
      <c r="J13" s="3183">
        <v>16</v>
      </c>
      <c r="K13" s="3183" t="s">
        <v>633</v>
      </c>
      <c r="L13" s="3183">
        <v>1994</v>
      </c>
      <c r="M13" s="3183" t="s">
        <v>633</v>
      </c>
      <c r="N13" s="3183" t="s">
        <v>633</v>
      </c>
      <c r="O13" s="3185">
        <v>46114</v>
      </c>
      <c r="P13" s="3183">
        <v>46243</v>
      </c>
      <c r="Q13" s="3183">
        <v>2296427</v>
      </c>
      <c r="R13" s="3186">
        <v>45736</v>
      </c>
    </row>
    <row r="14" spans="1:18" ht="15" hidden="1" thickBot="1">
      <c r="A14" s="3183">
        <v>13</v>
      </c>
      <c r="B14" s="3183" t="s">
        <v>3427</v>
      </c>
      <c r="C14" s="3183" t="s">
        <v>3449</v>
      </c>
      <c r="D14" s="3183" t="s">
        <v>3436</v>
      </c>
      <c r="E14" s="3183" t="s">
        <v>3430</v>
      </c>
      <c r="F14" s="3183" t="s">
        <v>3431</v>
      </c>
      <c r="G14" s="3183">
        <v>49.06</v>
      </c>
      <c r="H14" s="3183" t="s">
        <v>3406</v>
      </c>
      <c r="I14" s="3183">
        <v>18</v>
      </c>
      <c r="J14" s="3183">
        <v>6</v>
      </c>
      <c r="K14" s="3183" t="s">
        <v>633</v>
      </c>
      <c r="L14" s="3183">
        <v>1994</v>
      </c>
      <c r="M14" s="3183" t="s">
        <v>633</v>
      </c>
      <c r="N14" s="3183" t="s">
        <v>633</v>
      </c>
      <c r="O14" s="3185">
        <v>39747</v>
      </c>
      <c r="P14" s="3183">
        <v>40537</v>
      </c>
      <c r="Q14" s="3183">
        <v>1988745</v>
      </c>
      <c r="R14" s="3186">
        <v>45724</v>
      </c>
    </row>
    <row r="15" spans="1:18" ht="15" hidden="1" thickBot="1">
      <c r="A15" s="3183">
        <v>14</v>
      </c>
      <c r="B15" s="3183" t="s">
        <v>3427</v>
      </c>
      <c r="C15" s="3183" t="s">
        <v>3452</v>
      </c>
      <c r="D15" s="3183" t="s">
        <v>3429</v>
      </c>
      <c r="E15" s="3183" t="s">
        <v>3430</v>
      </c>
      <c r="F15" s="3183" t="s">
        <v>3431</v>
      </c>
      <c r="G15" s="3183">
        <v>86.52</v>
      </c>
      <c r="H15" s="3183" t="s">
        <v>3406</v>
      </c>
      <c r="I15" s="3183">
        <v>21</v>
      </c>
      <c r="J15" s="3183">
        <v>5</v>
      </c>
      <c r="K15" s="3183">
        <v>2000</v>
      </c>
      <c r="L15" s="3183" t="s">
        <v>633</v>
      </c>
      <c r="M15" s="3183" t="s">
        <v>633</v>
      </c>
      <c r="N15" s="3183" t="s">
        <v>633</v>
      </c>
      <c r="O15" s="3185">
        <v>54901</v>
      </c>
      <c r="P15" s="3183">
        <v>54995</v>
      </c>
      <c r="Q15" s="3183">
        <v>4758167</v>
      </c>
      <c r="R15" s="3186">
        <v>45715</v>
      </c>
    </row>
    <row r="16" spans="1:18" ht="15" thickBot="1">
      <c r="A16" s="3197">
        <v>15</v>
      </c>
      <c r="B16" s="3197" t="s">
        <v>3427</v>
      </c>
      <c r="C16" s="3197" t="s">
        <v>3558</v>
      </c>
      <c r="D16" s="3197" t="s">
        <v>3550</v>
      </c>
      <c r="E16" s="3197" t="s">
        <v>3430</v>
      </c>
      <c r="F16" s="3197" t="s">
        <v>3431</v>
      </c>
      <c r="G16" s="3197">
        <v>41.26</v>
      </c>
      <c r="H16" s="3197" t="s">
        <v>3406</v>
      </c>
      <c r="I16" s="3197">
        <v>6</v>
      </c>
      <c r="J16" s="3197">
        <v>5</v>
      </c>
      <c r="K16" s="3197">
        <v>1985</v>
      </c>
      <c r="L16" s="3197" t="s">
        <v>633</v>
      </c>
      <c r="M16" s="3197" t="s">
        <v>633</v>
      </c>
      <c r="N16" s="3197" t="s">
        <v>633</v>
      </c>
      <c r="O16" s="3198">
        <v>54169</v>
      </c>
      <c r="P16" s="3197">
        <v>50786</v>
      </c>
      <c r="Q16" s="3197">
        <v>2095430</v>
      </c>
      <c r="R16" s="3199">
        <v>45742</v>
      </c>
    </row>
    <row r="17" spans="1:18" ht="15" thickBot="1">
      <c r="A17" s="3197">
        <v>16</v>
      </c>
      <c r="B17" s="3197" t="s">
        <v>3427</v>
      </c>
      <c r="C17" s="3197" t="s">
        <v>3559</v>
      </c>
      <c r="D17" s="3197" t="s">
        <v>3550</v>
      </c>
      <c r="E17" s="3197"/>
      <c r="F17" s="3197" t="s">
        <v>3431</v>
      </c>
      <c r="G17" s="3197">
        <v>59.47</v>
      </c>
      <c r="H17" s="3197" t="s">
        <v>3406</v>
      </c>
      <c r="I17" s="3197">
        <v>6</v>
      </c>
      <c r="J17" s="3197">
        <v>3</v>
      </c>
      <c r="K17" s="3197">
        <v>1992</v>
      </c>
      <c r="L17" s="3197" t="s">
        <v>633</v>
      </c>
      <c r="M17" s="3197" t="s">
        <v>633</v>
      </c>
      <c r="N17" s="3197" t="s">
        <v>633</v>
      </c>
      <c r="O17" s="3198">
        <v>63309</v>
      </c>
      <c r="P17" s="3197">
        <v>63327</v>
      </c>
      <c r="Q17" s="3197">
        <v>3766057</v>
      </c>
      <c r="R17" s="3199">
        <v>45696</v>
      </c>
    </row>
    <row r="18" spans="1:18" ht="29.25" thickBot="1">
      <c r="A18" s="3183">
        <v>17</v>
      </c>
      <c r="B18" s="3183" t="s">
        <v>3427</v>
      </c>
      <c r="C18" s="3183" t="s">
        <v>3455</v>
      </c>
      <c r="D18" s="3183" t="s">
        <v>3436</v>
      </c>
      <c r="E18" s="3183" t="s">
        <v>3456</v>
      </c>
      <c r="F18" s="3183" t="s">
        <v>3440</v>
      </c>
      <c r="G18" s="3183">
        <v>59.25</v>
      </c>
      <c r="H18" s="3183" t="s">
        <v>3406</v>
      </c>
      <c r="I18" s="3183" t="s">
        <v>3457</v>
      </c>
      <c r="J18" s="3183">
        <v>3</v>
      </c>
      <c r="K18" s="3183">
        <v>1995</v>
      </c>
      <c r="L18" s="3183" t="s">
        <v>633</v>
      </c>
      <c r="M18" s="3183" t="s">
        <v>633</v>
      </c>
      <c r="N18" s="3183" t="s">
        <v>633</v>
      </c>
      <c r="O18" s="3185">
        <v>44895</v>
      </c>
      <c r="P18" s="3183">
        <v>44990</v>
      </c>
      <c r="Q18" s="3183">
        <v>2665658</v>
      </c>
      <c r="R18" s="3186">
        <v>45699</v>
      </c>
    </row>
    <row r="19" spans="1:18" ht="15" hidden="1" thickBot="1">
      <c r="A19" s="3197">
        <v>18</v>
      </c>
      <c r="B19" s="3197" t="s">
        <v>3427</v>
      </c>
      <c r="C19" s="3197" t="s">
        <v>3560</v>
      </c>
      <c r="D19" s="3197" t="s">
        <v>3550</v>
      </c>
      <c r="E19" s="3197" t="s">
        <v>3430</v>
      </c>
      <c r="F19" s="3197" t="s">
        <v>3431</v>
      </c>
      <c r="G19" s="3197">
        <v>57.07</v>
      </c>
      <c r="H19" s="3197" t="s">
        <v>3406</v>
      </c>
      <c r="I19" s="3197">
        <v>6</v>
      </c>
      <c r="J19" s="3197">
        <v>4</v>
      </c>
      <c r="K19" s="3197" t="s">
        <v>633</v>
      </c>
      <c r="L19" s="3197">
        <v>1986</v>
      </c>
      <c r="M19" s="3197" t="s">
        <v>633</v>
      </c>
      <c r="N19" s="3197" t="s">
        <v>633</v>
      </c>
      <c r="O19" s="3198">
        <v>46014</v>
      </c>
      <c r="P19" s="3197">
        <v>46417</v>
      </c>
      <c r="Q19" s="3197">
        <v>2649018</v>
      </c>
      <c r="R19" s="3199">
        <v>45673</v>
      </c>
    </row>
    <row r="20" spans="1:18" ht="29.25" thickBot="1">
      <c r="A20" s="3197">
        <v>19</v>
      </c>
      <c r="B20" s="3197" t="s">
        <v>3427</v>
      </c>
      <c r="C20" s="3197" t="s">
        <v>3561</v>
      </c>
      <c r="D20" s="3197" t="s">
        <v>3550</v>
      </c>
      <c r="E20" s="3197" t="s">
        <v>3456</v>
      </c>
      <c r="F20" s="3197" t="s">
        <v>3440</v>
      </c>
      <c r="G20" s="3197">
        <v>55.28</v>
      </c>
      <c r="H20" s="3197" t="s">
        <v>3406</v>
      </c>
      <c r="I20" s="3197">
        <v>6</v>
      </c>
      <c r="J20" s="3197">
        <v>6</v>
      </c>
      <c r="K20" s="3197">
        <v>1987</v>
      </c>
      <c r="L20" s="3197" t="s">
        <v>3562</v>
      </c>
      <c r="M20" s="3197" t="s">
        <v>633</v>
      </c>
      <c r="N20" s="3197" t="s">
        <v>633</v>
      </c>
      <c r="O20" s="3198">
        <v>42511</v>
      </c>
      <c r="P20" s="3197">
        <v>43105</v>
      </c>
      <c r="Q20" s="3197">
        <v>2382844</v>
      </c>
      <c r="R20" s="3199">
        <v>45661</v>
      </c>
    </row>
    <row r="21" spans="1:18" ht="15" thickBot="1">
      <c r="A21" s="3197">
        <v>20</v>
      </c>
      <c r="B21" s="3197" t="s">
        <v>3427</v>
      </c>
      <c r="C21" s="3197" t="s">
        <v>3563</v>
      </c>
      <c r="D21" s="3197" t="s">
        <v>3550</v>
      </c>
      <c r="E21" s="3197" t="s">
        <v>3430</v>
      </c>
      <c r="F21" s="3197" t="s">
        <v>3431</v>
      </c>
      <c r="G21" s="3197">
        <v>58.31</v>
      </c>
      <c r="H21" s="3197" t="s">
        <v>3406</v>
      </c>
      <c r="I21" s="3197">
        <v>6</v>
      </c>
      <c r="J21" s="3197">
        <v>2</v>
      </c>
      <c r="K21" s="3197">
        <v>1986</v>
      </c>
      <c r="L21" s="3197" t="s">
        <v>633</v>
      </c>
      <c r="M21" s="3197" t="s">
        <v>633</v>
      </c>
      <c r="N21" s="3197" t="s">
        <v>633</v>
      </c>
      <c r="O21" s="3198">
        <v>42017</v>
      </c>
      <c r="P21" s="3197">
        <v>42926</v>
      </c>
      <c r="Q21" s="3197">
        <v>2503015</v>
      </c>
      <c r="R21" s="3199">
        <v>45654</v>
      </c>
    </row>
    <row r="22" spans="1:18" ht="29.25" hidden="1" thickBot="1">
      <c r="A22" s="3197">
        <v>21</v>
      </c>
      <c r="B22" s="3197" t="s">
        <v>3427</v>
      </c>
      <c r="C22" s="3197" t="s">
        <v>3564</v>
      </c>
      <c r="D22" s="3197" t="s">
        <v>3555</v>
      </c>
      <c r="E22" s="3197" t="s">
        <v>3430</v>
      </c>
      <c r="F22" s="3197" t="s">
        <v>3440</v>
      </c>
      <c r="G22" s="3197">
        <v>41.51</v>
      </c>
      <c r="H22" s="3197" t="s">
        <v>3406</v>
      </c>
      <c r="I22" s="3197">
        <v>6</v>
      </c>
      <c r="J22" s="3197">
        <v>3</v>
      </c>
      <c r="K22" s="3197" t="s">
        <v>633</v>
      </c>
      <c r="L22" s="3197">
        <v>1988</v>
      </c>
      <c r="M22" s="3197" t="s">
        <v>633</v>
      </c>
      <c r="N22" s="3197" t="s">
        <v>3565</v>
      </c>
      <c r="O22" s="3198">
        <v>49386</v>
      </c>
      <c r="P22" s="3197">
        <v>49436</v>
      </c>
      <c r="Q22" s="3197">
        <v>2052088</v>
      </c>
      <c r="R22" s="3199">
        <v>45646</v>
      </c>
    </row>
    <row r="23" spans="1:18" ht="15" thickBot="1">
      <c r="A23" s="3183">
        <v>22</v>
      </c>
      <c r="B23" s="3183" t="s">
        <v>3427</v>
      </c>
      <c r="C23" s="3183" t="s">
        <v>3460</v>
      </c>
      <c r="D23" s="3183" t="s">
        <v>3436</v>
      </c>
      <c r="E23" s="3183"/>
      <c r="F23" s="3183" t="s">
        <v>3431</v>
      </c>
      <c r="G23" s="3183">
        <v>68.7</v>
      </c>
      <c r="H23" s="3183" t="s">
        <v>3406</v>
      </c>
      <c r="I23" s="3183">
        <v>12</v>
      </c>
      <c r="J23" s="3183">
        <v>9</v>
      </c>
      <c r="K23" s="3183">
        <v>1995</v>
      </c>
      <c r="L23" s="3183" t="s">
        <v>633</v>
      </c>
      <c r="M23" s="3183" t="s">
        <v>633</v>
      </c>
      <c r="N23" s="3183" t="s">
        <v>633</v>
      </c>
      <c r="O23" s="3185">
        <v>46434</v>
      </c>
      <c r="P23" s="3183">
        <v>46851</v>
      </c>
      <c r="Q23" s="3183">
        <v>3218664</v>
      </c>
      <c r="R23" s="3186">
        <v>45632</v>
      </c>
    </row>
    <row r="24" spans="1:18" ht="15" hidden="1" thickBot="1">
      <c r="A24" s="3183">
        <v>23</v>
      </c>
      <c r="B24" s="3183" t="s">
        <v>3427</v>
      </c>
      <c r="C24" s="3183" t="s">
        <v>3566</v>
      </c>
      <c r="D24" s="3183" t="s">
        <v>3550</v>
      </c>
      <c r="E24" s="3183" t="s">
        <v>3430</v>
      </c>
      <c r="F24" s="3183" t="s">
        <v>3431</v>
      </c>
      <c r="G24" s="3183">
        <v>60.54</v>
      </c>
      <c r="H24" s="3183" t="s">
        <v>3406</v>
      </c>
      <c r="I24" s="3183">
        <v>12</v>
      </c>
      <c r="J24" s="3183">
        <v>12</v>
      </c>
      <c r="K24" s="3183">
        <v>1999</v>
      </c>
      <c r="L24" s="3183" t="s">
        <v>633</v>
      </c>
      <c r="M24" s="3183" t="s">
        <v>633</v>
      </c>
      <c r="N24" s="3183" t="s">
        <v>633</v>
      </c>
      <c r="O24" s="3185">
        <v>44846</v>
      </c>
      <c r="P24" s="3183">
        <v>44949</v>
      </c>
      <c r="Q24" s="3183">
        <v>2721212</v>
      </c>
      <c r="R24" s="3186">
        <v>45629</v>
      </c>
    </row>
    <row r="25" spans="1:18" ht="29.25" hidden="1" thickBot="1">
      <c r="A25" s="3197">
        <v>24</v>
      </c>
      <c r="B25" s="3197" t="s">
        <v>3427</v>
      </c>
      <c r="C25" s="3197" t="s">
        <v>3567</v>
      </c>
      <c r="D25" s="3197" t="s">
        <v>3550</v>
      </c>
      <c r="E25" s="3197" t="s">
        <v>3430</v>
      </c>
      <c r="F25" s="3197" t="s">
        <v>3440</v>
      </c>
      <c r="G25" s="3197">
        <v>57.99</v>
      </c>
      <c r="H25" s="3197" t="s">
        <v>3406</v>
      </c>
      <c r="I25" s="3197" t="s">
        <v>3568</v>
      </c>
      <c r="J25" s="3197">
        <v>-1</v>
      </c>
      <c r="K25" s="3197" t="s">
        <v>633</v>
      </c>
      <c r="L25" s="3197">
        <v>1992</v>
      </c>
      <c r="M25" s="3197" t="s">
        <v>633</v>
      </c>
      <c r="N25" s="3197" t="s">
        <v>633</v>
      </c>
      <c r="O25" s="3198">
        <v>30695</v>
      </c>
      <c r="P25" s="3197">
        <v>31063</v>
      </c>
      <c r="Q25" s="3197">
        <v>1801343</v>
      </c>
      <c r="R25" s="3199">
        <v>45626</v>
      </c>
    </row>
    <row r="26" spans="1:18" ht="29.25" thickBot="1">
      <c r="A26" s="3197">
        <v>25</v>
      </c>
      <c r="B26" s="3197" t="s">
        <v>3427</v>
      </c>
      <c r="C26" s="3197" t="s">
        <v>3569</v>
      </c>
      <c r="D26" s="3197" t="s">
        <v>3550</v>
      </c>
      <c r="E26" s="3197" t="s">
        <v>3430</v>
      </c>
      <c r="F26" s="3197" t="s">
        <v>3440</v>
      </c>
      <c r="G26" s="3197">
        <v>49.73</v>
      </c>
      <c r="H26" s="3197" t="s">
        <v>3406</v>
      </c>
      <c r="I26" s="3197">
        <v>6</v>
      </c>
      <c r="J26" s="3197">
        <v>1</v>
      </c>
      <c r="K26" s="3197">
        <v>1987</v>
      </c>
      <c r="L26" s="3197" t="s">
        <v>3562</v>
      </c>
      <c r="M26" s="3197" t="s">
        <v>633</v>
      </c>
      <c r="N26" s="3197" t="s">
        <v>633</v>
      </c>
      <c r="O26" s="3198">
        <v>49869</v>
      </c>
      <c r="P26" s="3197">
        <v>50387</v>
      </c>
      <c r="Q26" s="3197">
        <v>2505746</v>
      </c>
      <c r="R26" s="3199">
        <v>45623</v>
      </c>
    </row>
    <row r="27" spans="1:18" ht="15" thickBot="1">
      <c r="A27" s="3197">
        <v>26</v>
      </c>
      <c r="B27" s="3197" t="s">
        <v>3427</v>
      </c>
      <c r="C27" s="3197" t="s">
        <v>3570</v>
      </c>
      <c r="D27" s="3197" t="s">
        <v>3550</v>
      </c>
      <c r="E27" s="3197" t="s">
        <v>3430</v>
      </c>
      <c r="F27" s="3197" t="s">
        <v>3431</v>
      </c>
      <c r="G27" s="3197">
        <v>50.79</v>
      </c>
      <c r="H27" s="3197" t="s">
        <v>3406</v>
      </c>
      <c r="I27" s="3197">
        <v>6</v>
      </c>
      <c r="J27" s="3197">
        <v>2</v>
      </c>
      <c r="K27" s="3197">
        <v>1986</v>
      </c>
      <c r="L27" s="3197" t="s">
        <v>633</v>
      </c>
      <c r="M27" s="3197" t="s">
        <v>633</v>
      </c>
      <c r="N27" s="3197" t="s">
        <v>633</v>
      </c>
      <c r="O27" s="3198">
        <v>46171</v>
      </c>
      <c r="P27" s="3197">
        <v>46216</v>
      </c>
      <c r="Q27" s="3197">
        <v>2347311</v>
      </c>
      <c r="R27" s="3199">
        <v>45610</v>
      </c>
    </row>
    <row r="28" spans="1:18" ht="15" hidden="1" thickBot="1">
      <c r="A28" s="3183">
        <v>27</v>
      </c>
      <c r="B28" s="3183" t="s">
        <v>3427</v>
      </c>
      <c r="C28" s="3183" t="s">
        <v>3463</v>
      </c>
      <c r="D28" s="3183" t="s">
        <v>3436</v>
      </c>
      <c r="E28" s="3183" t="s">
        <v>3430</v>
      </c>
      <c r="F28" s="3183" t="s">
        <v>3431</v>
      </c>
      <c r="G28" s="3183">
        <v>50.3</v>
      </c>
      <c r="H28" s="3183" t="s">
        <v>3406</v>
      </c>
      <c r="I28" s="3183">
        <v>20</v>
      </c>
      <c r="J28" s="3183">
        <v>13</v>
      </c>
      <c r="K28" s="3183" t="s">
        <v>633</v>
      </c>
      <c r="L28" s="3183">
        <v>1994</v>
      </c>
      <c r="M28" s="3183" t="s">
        <v>633</v>
      </c>
      <c r="N28" s="3183" t="s">
        <v>633</v>
      </c>
      <c r="O28" s="3185">
        <v>0</v>
      </c>
      <c r="P28" s="3183">
        <v>51000</v>
      </c>
      <c r="Q28" s="3183">
        <v>2565300</v>
      </c>
      <c r="R28" s="3186">
        <v>45605</v>
      </c>
    </row>
    <row r="29" spans="1:18" ht="15" thickBot="1">
      <c r="A29" s="3183">
        <v>28</v>
      </c>
      <c r="B29" s="3183" t="s">
        <v>3427</v>
      </c>
      <c r="C29" s="3183" t="s">
        <v>3466</v>
      </c>
      <c r="D29" s="3183" t="s">
        <v>3436</v>
      </c>
      <c r="E29" s="3183" t="s">
        <v>3430</v>
      </c>
      <c r="F29" s="3183" t="s">
        <v>3431</v>
      </c>
      <c r="G29" s="3183">
        <v>64.12</v>
      </c>
      <c r="H29" s="3183" t="s">
        <v>3406</v>
      </c>
      <c r="I29" s="3183">
        <v>18</v>
      </c>
      <c r="J29" s="3183">
        <v>12</v>
      </c>
      <c r="K29" s="3183">
        <v>1995</v>
      </c>
      <c r="L29" s="3183" t="s">
        <v>633</v>
      </c>
      <c r="M29" s="3183" t="s">
        <v>633</v>
      </c>
      <c r="N29" s="3183" t="s">
        <v>633</v>
      </c>
      <c r="O29" s="3185">
        <v>60512</v>
      </c>
      <c r="P29" s="3183">
        <v>60689</v>
      </c>
      <c r="Q29" s="3183">
        <v>3891379</v>
      </c>
      <c r="R29" s="3186">
        <v>45603</v>
      </c>
    </row>
    <row r="30" spans="1:18" ht="29.25" thickBot="1">
      <c r="A30" s="3197">
        <v>29</v>
      </c>
      <c r="B30" s="3197" t="s">
        <v>3427</v>
      </c>
      <c r="C30" s="3197" t="s">
        <v>3571</v>
      </c>
      <c r="D30" s="3197" t="s">
        <v>3550</v>
      </c>
      <c r="E30" s="3197" t="s">
        <v>3430</v>
      </c>
      <c r="F30" s="3197" t="s">
        <v>3440</v>
      </c>
      <c r="G30" s="3197">
        <v>54.11</v>
      </c>
      <c r="H30" s="3197" t="s">
        <v>3406</v>
      </c>
      <c r="I30" s="3197">
        <v>6</v>
      </c>
      <c r="J30" s="3197">
        <v>6</v>
      </c>
      <c r="K30" s="3197">
        <v>1988</v>
      </c>
      <c r="L30" s="3197" t="s">
        <v>633</v>
      </c>
      <c r="M30" s="3197" t="s">
        <v>633</v>
      </c>
      <c r="N30" s="3197" t="s">
        <v>633</v>
      </c>
      <c r="O30" s="3198">
        <v>42691</v>
      </c>
      <c r="P30" s="3197">
        <v>43018</v>
      </c>
      <c r="Q30" s="3197">
        <v>2327704</v>
      </c>
      <c r="R30" s="3199">
        <v>45589</v>
      </c>
    </row>
    <row r="31" spans="1:18" ht="29.25" thickBot="1">
      <c r="A31" s="3197">
        <v>30</v>
      </c>
      <c r="B31" s="3197" t="s">
        <v>3427</v>
      </c>
      <c r="C31" s="3197" t="s">
        <v>3572</v>
      </c>
      <c r="D31" s="3197" t="s">
        <v>3550</v>
      </c>
      <c r="E31" s="3197" t="s">
        <v>3573</v>
      </c>
      <c r="F31" s="3197" t="s">
        <v>3440</v>
      </c>
      <c r="G31" s="3197">
        <v>54.11</v>
      </c>
      <c r="H31" s="3197" t="s">
        <v>3406</v>
      </c>
      <c r="I31" s="3197">
        <v>6</v>
      </c>
      <c r="J31" s="3197">
        <v>6</v>
      </c>
      <c r="K31" s="3197">
        <v>1988</v>
      </c>
      <c r="L31" s="3197" t="s">
        <v>633</v>
      </c>
      <c r="M31" s="3197" t="s">
        <v>633</v>
      </c>
      <c r="N31" s="3197" t="s">
        <v>633</v>
      </c>
      <c r="O31" s="3198">
        <v>47681</v>
      </c>
      <c r="P31" s="3197">
        <v>47719</v>
      </c>
      <c r="Q31" s="3197">
        <v>2582075</v>
      </c>
      <c r="R31" s="3199">
        <v>45584</v>
      </c>
    </row>
    <row r="32" spans="1:18" ht="29.25" hidden="1" thickBot="1">
      <c r="A32" s="3183">
        <v>31</v>
      </c>
      <c r="B32" s="3183" t="s">
        <v>3427</v>
      </c>
      <c r="C32" s="3183" t="s">
        <v>3469</v>
      </c>
      <c r="D32" s="3183" t="s">
        <v>3429</v>
      </c>
      <c r="E32" s="3183" t="s">
        <v>3430</v>
      </c>
      <c r="F32" s="3183" t="s">
        <v>3440</v>
      </c>
      <c r="G32" s="3183">
        <v>112.13</v>
      </c>
      <c r="H32" s="3183" t="s">
        <v>3406</v>
      </c>
      <c r="I32" s="3183">
        <v>7</v>
      </c>
      <c r="J32" s="3183">
        <v>1</v>
      </c>
      <c r="K32" s="3183">
        <v>1999</v>
      </c>
      <c r="L32" s="3183" t="s">
        <v>633</v>
      </c>
      <c r="M32" s="3183" t="s">
        <v>633</v>
      </c>
      <c r="N32" s="3183" t="s">
        <v>633</v>
      </c>
      <c r="O32" s="3185">
        <v>59128</v>
      </c>
      <c r="P32" s="3183">
        <v>59215</v>
      </c>
      <c r="Q32" s="3183">
        <v>6639778</v>
      </c>
      <c r="R32" s="3186">
        <v>45582</v>
      </c>
    </row>
    <row r="33" spans="1:18" ht="15" thickBot="1">
      <c r="A33" s="3197">
        <v>32</v>
      </c>
      <c r="B33" s="3197" t="s">
        <v>3427</v>
      </c>
      <c r="C33" s="3197" t="s">
        <v>3472</v>
      </c>
      <c r="D33" s="3197" t="s">
        <v>3436</v>
      </c>
      <c r="E33" s="3197" t="s">
        <v>3430</v>
      </c>
      <c r="F33" s="3197" t="s">
        <v>3431</v>
      </c>
      <c r="G33" s="3197">
        <v>74.52</v>
      </c>
      <c r="H33" s="3197" t="s">
        <v>3406</v>
      </c>
      <c r="I33" s="3197">
        <v>6</v>
      </c>
      <c r="J33" s="3197">
        <v>6</v>
      </c>
      <c r="K33" s="3197">
        <v>1995</v>
      </c>
      <c r="L33" s="3197" t="s">
        <v>633</v>
      </c>
      <c r="M33" s="3197" t="s">
        <v>633</v>
      </c>
      <c r="N33" s="3197" t="s">
        <v>633</v>
      </c>
      <c r="O33" s="3198">
        <v>46632</v>
      </c>
      <c r="P33" s="3197">
        <v>47320</v>
      </c>
      <c r="Q33" s="3197">
        <v>3526286</v>
      </c>
      <c r="R33" s="3199">
        <v>45578</v>
      </c>
    </row>
    <row r="34" spans="1:18" ht="29.25" hidden="1" thickBot="1">
      <c r="A34" s="3183">
        <v>33</v>
      </c>
      <c r="B34" s="3183" t="s">
        <v>3427</v>
      </c>
      <c r="C34" s="3183" t="s">
        <v>3475</v>
      </c>
      <c r="D34" s="3183" t="s">
        <v>3429</v>
      </c>
      <c r="E34" s="3183" t="s">
        <v>3430</v>
      </c>
      <c r="F34" s="3183" t="s">
        <v>3440</v>
      </c>
      <c r="G34" s="3183">
        <v>60.04</v>
      </c>
      <c r="H34" s="3183" t="s">
        <v>3406</v>
      </c>
      <c r="I34" s="3183">
        <v>21</v>
      </c>
      <c r="J34" s="3183">
        <v>5</v>
      </c>
      <c r="K34" s="3183">
        <v>2000</v>
      </c>
      <c r="L34" s="3183" t="s">
        <v>633</v>
      </c>
      <c r="M34" s="3183" t="s">
        <v>633</v>
      </c>
      <c r="N34" s="3183" t="s">
        <v>633</v>
      </c>
      <c r="O34" s="3185">
        <v>51965</v>
      </c>
      <c r="P34" s="3183">
        <v>52091</v>
      </c>
      <c r="Q34" s="3183">
        <v>3127544</v>
      </c>
      <c r="R34" s="3186">
        <v>45576</v>
      </c>
    </row>
    <row r="35" spans="1:18" ht="15" thickBot="1">
      <c r="A35" s="3197">
        <v>34</v>
      </c>
      <c r="B35" s="3197" t="s">
        <v>3427</v>
      </c>
      <c r="C35" s="3197" t="s">
        <v>3574</v>
      </c>
      <c r="D35" s="3197" t="s">
        <v>3550</v>
      </c>
      <c r="E35" s="3197" t="s">
        <v>3430</v>
      </c>
      <c r="F35" s="3197" t="s">
        <v>3431</v>
      </c>
      <c r="G35" s="3197">
        <v>53.89</v>
      </c>
      <c r="H35" s="3197" t="s">
        <v>3406</v>
      </c>
      <c r="I35" s="3197" t="s">
        <v>3568</v>
      </c>
      <c r="J35" s="3197">
        <v>2</v>
      </c>
      <c r="K35" s="3197">
        <v>1992</v>
      </c>
      <c r="L35" s="3197" t="s">
        <v>633</v>
      </c>
      <c r="M35" s="3197" t="s">
        <v>633</v>
      </c>
      <c r="N35" s="3197" t="s">
        <v>633</v>
      </c>
      <c r="O35" s="3198">
        <v>56968</v>
      </c>
      <c r="P35" s="3197">
        <v>57079</v>
      </c>
      <c r="Q35" s="3197">
        <v>3075987</v>
      </c>
      <c r="R35" s="3199">
        <v>45577</v>
      </c>
    </row>
    <row r="36" spans="1:18" ht="29.25" thickBot="1">
      <c r="A36" s="3197">
        <v>35</v>
      </c>
      <c r="B36" s="3197" t="s">
        <v>3427</v>
      </c>
      <c r="C36" s="3197" t="s">
        <v>3575</v>
      </c>
      <c r="D36" s="3197" t="s">
        <v>3550</v>
      </c>
      <c r="E36" s="3197" t="s">
        <v>3430</v>
      </c>
      <c r="F36" s="3197" t="s">
        <v>3440</v>
      </c>
      <c r="G36" s="3197">
        <v>69.45</v>
      </c>
      <c r="H36" s="3197" t="s">
        <v>3406</v>
      </c>
      <c r="I36" s="3197">
        <v>6</v>
      </c>
      <c r="J36" s="3197">
        <v>6</v>
      </c>
      <c r="K36" s="3197">
        <v>1989</v>
      </c>
      <c r="L36" s="3197" t="s">
        <v>633</v>
      </c>
      <c r="M36" s="3197" t="s">
        <v>633</v>
      </c>
      <c r="N36" s="3197" t="s">
        <v>633</v>
      </c>
      <c r="O36" s="3198">
        <v>43053</v>
      </c>
      <c r="P36" s="3197">
        <v>43221</v>
      </c>
      <c r="Q36" s="3197">
        <v>3001698</v>
      </c>
      <c r="R36" s="3199">
        <v>45575</v>
      </c>
    </row>
    <row r="37" spans="1:18" ht="29.25" thickBot="1">
      <c r="A37" s="3197">
        <v>36</v>
      </c>
      <c r="B37" s="3197" t="s">
        <v>3427</v>
      </c>
      <c r="C37" s="3197" t="s">
        <v>3576</v>
      </c>
      <c r="D37" s="3197" t="s">
        <v>3550</v>
      </c>
      <c r="E37" s="3197" t="s">
        <v>3430</v>
      </c>
      <c r="F37" s="3197" t="s">
        <v>3440</v>
      </c>
      <c r="G37" s="3197">
        <v>58.88</v>
      </c>
      <c r="H37" s="3197" t="s">
        <v>3406</v>
      </c>
      <c r="I37" s="3197">
        <v>6</v>
      </c>
      <c r="J37" s="3197">
        <v>6</v>
      </c>
      <c r="K37" s="3197">
        <v>1986</v>
      </c>
      <c r="L37" s="3197" t="s">
        <v>633</v>
      </c>
      <c r="M37" s="3197" t="s">
        <v>633</v>
      </c>
      <c r="N37" s="3197" t="s">
        <v>633</v>
      </c>
      <c r="O37" s="3198">
        <v>35836</v>
      </c>
      <c r="P37" s="3197">
        <v>37397</v>
      </c>
      <c r="Q37" s="3197">
        <v>2201935</v>
      </c>
      <c r="R37" s="3199">
        <v>45554</v>
      </c>
    </row>
    <row r="38" spans="1:18" ht="15" thickBot="1">
      <c r="A38" s="3197">
        <v>37</v>
      </c>
      <c r="B38" s="3197" t="s">
        <v>3427</v>
      </c>
      <c r="C38" s="3197" t="s">
        <v>3577</v>
      </c>
      <c r="D38" s="3197" t="s">
        <v>3550</v>
      </c>
      <c r="E38" s="3197" t="s">
        <v>3430</v>
      </c>
      <c r="F38" s="3197" t="s">
        <v>3431</v>
      </c>
      <c r="G38" s="3197">
        <v>37.96</v>
      </c>
      <c r="H38" s="3197" t="s">
        <v>3406</v>
      </c>
      <c r="I38" s="3197">
        <v>6</v>
      </c>
      <c r="J38" s="3197">
        <v>1</v>
      </c>
      <c r="K38" s="3197">
        <v>1985</v>
      </c>
      <c r="L38" s="3197" t="s">
        <v>633</v>
      </c>
      <c r="M38" s="3197" t="s">
        <v>633</v>
      </c>
      <c r="N38" s="3197" t="s">
        <v>633</v>
      </c>
      <c r="O38" s="3198">
        <v>56902</v>
      </c>
      <c r="P38" s="3197">
        <v>57068</v>
      </c>
      <c r="Q38" s="3197">
        <v>2166301</v>
      </c>
      <c r="R38" s="3199">
        <v>45547</v>
      </c>
    </row>
    <row r="39" spans="1:18" ht="15" hidden="1" thickBot="1">
      <c r="A39" s="3197">
        <v>38</v>
      </c>
      <c r="B39" s="3197" t="s">
        <v>3427</v>
      </c>
      <c r="C39" s="3197" t="s">
        <v>3578</v>
      </c>
      <c r="D39" s="3197" t="s">
        <v>3550</v>
      </c>
      <c r="E39" s="3197" t="s">
        <v>3430</v>
      </c>
      <c r="F39" s="3197" t="s">
        <v>3431</v>
      </c>
      <c r="G39" s="3197">
        <v>96.79</v>
      </c>
      <c r="H39" s="3197" t="s">
        <v>3406</v>
      </c>
      <c r="I39" s="3197">
        <v>6</v>
      </c>
      <c r="J39" s="3197">
        <v>1</v>
      </c>
      <c r="K39" s="3197" t="s">
        <v>633</v>
      </c>
      <c r="L39" s="3197">
        <v>2000</v>
      </c>
      <c r="M39" s="3197" t="s">
        <v>633</v>
      </c>
      <c r="N39" s="3197" t="s">
        <v>633</v>
      </c>
      <c r="O39" s="3198">
        <v>0</v>
      </c>
      <c r="P39" s="3197">
        <v>47482</v>
      </c>
      <c r="Q39" s="3197">
        <v>4595783</v>
      </c>
      <c r="R39" s="3199">
        <v>45545</v>
      </c>
    </row>
    <row r="40" spans="1:18" ht="29.25" thickBot="1">
      <c r="A40" s="3197">
        <v>39</v>
      </c>
      <c r="B40" s="3197" t="s">
        <v>3427</v>
      </c>
      <c r="C40" s="3197" t="s">
        <v>3579</v>
      </c>
      <c r="D40" s="3197" t="s">
        <v>3550</v>
      </c>
      <c r="E40" s="3197" t="s">
        <v>3456</v>
      </c>
      <c r="F40" s="3197" t="s">
        <v>3440</v>
      </c>
      <c r="G40" s="3197">
        <v>53.21</v>
      </c>
      <c r="H40" s="3197" t="s">
        <v>3406</v>
      </c>
      <c r="I40" s="3197">
        <v>6</v>
      </c>
      <c r="J40" s="3197">
        <v>6</v>
      </c>
      <c r="K40" s="3197">
        <v>1987</v>
      </c>
      <c r="L40" s="3197" t="s">
        <v>633</v>
      </c>
      <c r="M40" s="3197" t="s">
        <v>633</v>
      </c>
      <c r="N40" s="3197" t="s">
        <v>633</v>
      </c>
      <c r="O40" s="3198">
        <v>43413</v>
      </c>
      <c r="P40" s="3197">
        <v>43668</v>
      </c>
      <c r="Q40" s="3197">
        <v>2323574</v>
      </c>
      <c r="R40" s="3199">
        <v>45540</v>
      </c>
    </row>
    <row r="41" spans="1:18" ht="15" thickBot="1">
      <c r="A41" s="3197">
        <v>40</v>
      </c>
      <c r="B41" s="3197" t="s">
        <v>3427</v>
      </c>
      <c r="C41" s="3197" t="s">
        <v>3580</v>
      </c>
      <c r="D41" s="3197" t="s">
        <v>3550</v>
      </c>
      <c r="E41" s="3197" t="s">
        <v>3430</v>
      </c>
      <c r="F41" s="3197" t="s">
        <v>3431</v>
      </c>
      <c r="G41" s="3197">
        <v>53.99</v>
      </c>
      <c r="H41" s="3197" t="s">
        <v>3406</v>
      </c>
      <c r="I41" s="3197">
        <v>6</v>
      </c>
      <c r="J41" s="3197">
        <v>6</v>
      </c>
      <c r="K41" s="3197">
        <v>1987</v>
      </c>
      <c r="L41" s="3197" t="s">
        <v>633</v>
      </c>
      <c r="M41" s="3197" t="s">
        <v>633</v>
      </c>
      <c r="N41" s="3197" t="s">
        <v>633</v>
      </c>
      <c r="O41" s="3198">
        <v>45379</v>
      </c>
      <c r="P41" s="3197">
        <v>45566</v>
      </c>
      <c r="Q41" s="3197">
        <v>2460108</v>
      </c>
      <c r="R41" s="3199">
        <v>45538</v>
      </c>
    </row>
    <row r="42" spans="1:18" ht="15" thickBot="1">
      <c r="A42" s="3197">
        <v>41</v>
      </c>
      <c r="B42" s="3197" t="s">
        <v>3427</v>
      </c>
      <c r="C42" s="3197" t="s">
        <v>3581</v>
      </c>
      <c r="D42" s="3197" t="s">
        <v>3582</v>
      </c>
      <c r="E42" s="3197" t="s">
        <v>3430</v>
      </c>
      <c r="F42" s="3197" t="s">
        <v>3431</v>
      </c>
      <c r="G42" s="3197">
        <v>50.03</v>
      </c>
      <c r="H42" s="3197" t="s">
        <v>3406</v>
      </c>
      <c r="I42" s="3197">
        <v>6</v>
      </c>
      <c r="J42" s="3197">
        <v>3</v>
      </c>
      <c r="K42" s="3197">
        <v>1979</v>
      </c>
      <c r="L42" s="3197" t="s">
        <v>633</v>
      </c>
      <c r="M42" s="3197" t="s">
        <v>633</v>
      </c>
      <c r="N42" s="3197" t="s">
        <v>633</v>
      </c>
      <c r="O42" s="3198">
        <v>44973</v>
      </c>
      <c r="P42" s="3197">
        <v>45030</v>
      </c>
      <c r="Q42" s="3197">
        <v>2252851</v>
      </c>
      <c r="R42" s="3199">
        <v>45519</v>
      </c>
    </row>
    <row r="43" spans="1:18" ht="29.25" thickBot="1">
      <c r="A43" s="3197">
        <v>42</v>
      </c>
      <c r="B43" s="3197" t="s">
        <v>3427</v>
      </c>
      <c r="C43" s="3197" t="s">
        <v>3478</v>
      </c>
      <c r="D43" s="3197" t="s">
        <v>3436</v>
      </c>
      <c r="E43" s="3197" t="s">
        <v>3430</v>
      </c>
      <c r="F43" s="3197" t="s">
        <v>3440</v>
      </c>
      <c r="G43" s="3197">
        <v>62.41</v>
      </c>
      <c r="H43" s="3197" t="s">
        <v>3406</v>
      </c>
      <c r="I43" s="3197">
        <v>6</v>
      </c>
      <c r="J43" s="3197">
        <v>1</v>
      </c>
      <c r="K43" s="3197">
        <v>1995</v>
      </c>
      <c r="L43" s="3197" t="s">
        <v>633</v>
      </c>
      <c r="M43" s="3197" t="s">
        <v>633</v>
      </c>
      <c r="N43" s="3197" t="s">
        <v>633</v>
      </c>
      <c r="O43" s="3198">
        <v>42557</v>
      </c>
      <c r="P43" s="3197">
        <v>42732</v>
      </c>
      <c r="Q43" s="3197">
        <v>2666904</v>
      </c>
      <c r="R43" s="3199">
        <v>45519</v>
      </c>
    </row>
    <row r="44" spans="1:18" ht="15" hidden="1" thickBot="1">
      <c r="A44" s="3197">
        <v>43</v>
      </c>
      <c r="B44" s="3197" t="s">
        <v>3427</v>
      </c>
      <c r="C44" s="3197" t="s">
        <v>3583</v>
      </c>
      <c r="D44" s="3197" t="s">
        <v>3555</v>
      </c>
      <c r="E44" s="3197" t="s">
        <v>3430</v>
      </c>
      <c r="F44" s="3197" t="s">
        <v>3431</v>
      </c>
      <c r="G44" s="3197">
        <v>56.05</v>
      </c>
      <c r="H44" s="3197" t="s">
        <v>3406</v>
      </c>
      <c r="I44" s="3197">
        <v>6</v>
      </c>
      <c r="J44" s="3197">
        <v>4</v>
      </c>
      <c r="K44" s="3197" t="s">
        <v>633</v>
      </c>
      <c r="L44" s="3197">
        <v>1985</v>
      </c>
      <c r="M44" s="3197" t="s">
        <v>633</v>
      </c>
      <c r="N44" s="3197" t="s">
        <v>633</v>
      </c>
      <c r="O44" s="3198">
        <v>50901</v>
      </c>
      <c r="P44" s="3197">
        <v>51387</v>
      </c>
      <c r="Q44" s="3197">
        <v>2880241</v>
      </c>
      <c r="R44" s="3199">
        <v>45512</v>
      </c>
    </row>
    <row r="45" spans="1:18" ht="29.25" thickBot="1">
      <c r="A45" s="3183">
        <v>44</v>
      </c>
      <c r="B45" s="3183" t="s">
        <v>3427</v>
      </c>
      <c r="C45" s="3183" t="s">
        <v>3584</v>
      </c>
      <c r="D45" s="3183" t="s">
        <v>3436</v>
      </c>
      <c r="E45" s="3183" t="s">
        <v>3430</v>
      </c>
      <c r="F45" s="3183" t="s">
        <v>3440</v>
      </c>
      <c r="G45" s="3183">
        <v>57.33</v>
      </c>
      <c r="H45" s="3183" t="s">
        <v>3406</v>
      </c>
      <c r="I45" s="3183">
        <v>18</v>
      </c>
      <c r="J45" s="3183">
        <v>6</v>
      </c>
      <c r="K45" s="3183">
        <v>1995</v>
      </c>
      <c r="L45" s="3183" t="s">
        <v>633</v>
      </c>
      <c r="M45" s="3183" t="s">
        <v>633</v>
      </c>
      <c r="N45" s="3183" t="s">
        <v>633</v>
      </c>
      <c r="O45" s="3185">
        <v>0</v>
      </c>
      <c r="P45" s="3183">
        <v>57131</v>
      </c>
      <c r="Q45" s="3183">
        <v>3275320</v>
      </c>
      <c r="R45" s="3186">
        <v>45504</v>
      </c>
    </row>
    <row r="46" spans="1:18" ht="15" thickBot="1">
      <c r="A46" s="3197">
        <v>45</v>
      </c>
      <c r="B46" s="3197" t="s">
        <v>3427</v>
      </c>
      <c r="C46" s="3197" t="s">
        <v>3585</v>
      </c>
      <c r="D46" s="3197" t="s">
        <v>3550</v>
      </c>
      <c r="E46" s="3197" t="s">
        <v>3430</v>
      </c>
      <c r="F46" s="3197" t="s">
        <v>3431</v>
      </c>
      <c r="G46" s="3197">
        <v>53.89</v>
      </c>
      <c r="H46" s="3197" t="s">
        <v>3406</v>
      </c>
      <c r="I46" s="3197">
        <v>6</v>
      </c>
      <c r="J46" s="3197">
        <v>5</v>
      </c>
      <c r="K46" s="3197">
        <v>1992</v>
      </c>
      <c r="L46" s="3197" t="s">
        <v>633</v>
      </c>
      <c r="M46" s="3197" t="s">
        <v>633</v>
      </c>
      <c r="N46" s="3197" t="s">
        <v>633</v>
      </c>
      <c r="O46" s="3198">
        <v>58230</v>
      </c>
      <c r="P46" s="3197">
        <v>58256</v>
      </c>
      <c r="Q46" s="3197">
        <v>3139416</v>
      </c>
      <c r="R46" s="3199">
        <v>45499</v>
      </c>
    </row>
    <row r="47" spans="1:18" ht="15" thickBot="1">
      <c r="A47" s="3197">
        <v>46</v>
      </c>
      <c r="B47" s="3197" t="s">
        <v>3427</v>
      </c>
      <c r="C47" s="3197" t="s">
        <v>3586</v>
      </c>
      <c r="D47" s="3197" t="s">
        <v>3436</v>
      </c>
      <c r="E47" s="3197" t="s">
        <v>3430</v>
      </c>
      <c r="F47" s="3197" t="s">
        <v>3431</v>
      </c>
      <c r="G47" s="3197">
        <v>62.82</v>
      </c>
      <c r="H47" s="3197" t="s">
        <v>3406</v>
      </c>
      <c r="I47" s="3197">
        <v>6</v>
      </c>
      <c r="J47" s="3197">
        <v>5</v>
      </c>
      <c r="K47" s="3197">
        <v>1994</v>
      </c>
      <c r="L47" s="3197" t="s">
        <v>633</v>
      </c>
      <c r="M47" s="3197" t="s">
        <v>633</v>
      </c>
      <c r="N47" s="3197" t="s">
        <v>633</v>
      </c>
      <c r="O47" s="3198">
        <v>53327</v>
      </c>
      <c r="P47" s="3197">
        <v>53760</v>
      </c>
      <c r="Q47" s="3197">
        <v>3377203</v>
      </c>
      <c r="R47" s="3199">
        <v>45486</v>
      </c>
    </row>
    <row r="48" spans="1:18" ht="29.25" thickBot="1">
      <c r="A48" s="3197">
        <v>47</v>
      </c>
      <c r="B48" s="3197" t="s">
        <v>3427</v>
      </c>
      <c r="C48" s="3197" t="s">
        <v>3587</v>
      </c>
      <c r="D48" s="3197" t="s">
        <v>3550</v>
      </c>
      <c r="E48" s="3197" t="s">
        <v>3456</v>
      </c>
      <c r="F48" s="3197" t="s">
        <v>3440</v>
      </c>
      <c r="G48" s="3197">
        <v>57.57</v>
      </c>
      <c r="H48" s="3197" t="s">
        <v>3406</v>
      </c>
      <c r="I48" s="3197">
        <v>6</v>
      </c>
      <c r="J48" s="3197">
        <v>3</v>
      </c>
      <c r="K48" s="3197">
        <v>1986</v>
      </c>
      <c r="L48" s="3197" t="s">
        <v>633</v>
      </c>
      <c r="M48" s="3197" t="s">
        <v>633</v>
      </c>
      <c r="N48" s="3197" t="s">
        <v>633</v>
      </c>
      <c r="O48" s="3198">
        <v>45076</v>
      </c>
      <c r="P48" s="3197">
        <v>45814</v>
      </c>
      <c r="Q48" s="3197">
        <v>2637512</v>
      </c>
      <c r="R48" s="3199">
        <v>45471</v>
      </c>
    </row>
    <row r="49" spans="1:18" ht="29.25" thickBot="1">
      <c r="A49" s="3197">
        <v>48</v>
      </c>
      <c r="B49" s="3197" t="s">
        <v>3427</v>
      </c>
      <c r="C49" s="3197" t="s">
        <v>3588</v>
      </c>
      <c r="D49" s="3197" t="s">
        <v>3553</v>
      </c>
      <c r="E49" s="3197" t="s">
        <v>3430</v>
      </c>
      <c r="F49" s="3197" t="s">
        <v>3431</v>
      </c>
      <c r="G49" s="3197">
        <v>63.43</v>
      </c>
      <c r="H49" s="3197" t="s">
        <v>3406</v>
      </c>
      <c r="I49" s="3197">
        <v>6</v>
      </c>
      <c r="J49" s="3197">
        <v>4</v>
      </c>
      <c r="K49" s="3197">
        <v>1981</v>
      </c>
      <c r="L49" s="3197" t="s">
        <v>3589</v>
      </c>
      <c r="M49" s="3197" t="s">
        <v>633</v>
      </c>
      <c r="N49" s="3197" t="s">
        <v>633</v>
      </c>
      <c r="O49" s="3198">
        <v>45247</v>
      </c>
      <c r="P49" s="3197">
        <v>45703</v>
      </c>
      <c r="Q49" s="3197">
        <v>2898941</v>
      </c>
      <c r="R49" s="3199">
        <v>45468</v>
      </c>
    </row>
    <row r="50" spans="1:18" ht="15" hidden="1" thickBot="1">
      <c r="A50" s="3197">
        <v>49</v>
      </c>
      <c r="B50" s="3197" t="s">
        <v>3427</v>
      </c>
      <c r="C50" s="3197" t="s">
        <v>3590</v>
      </c>
      <c r="D50" s="3197" t="s">
        <v>3550</v>
      </c>
      <c r="E50" s="3197" t="s">
        <v>3456</v>
      </c>
      <c r="F50" s="3197" t="s">
        <v>3431</v>
      </c>
      <c r="G50" s="3197">
        <v>71.72</v>
      </c>
      <c r="H50" s="3197" t="s">
        <v>3406</v>
      </c>
      <c r="I50" s="3197">
        <v>6</v>
      </c>
      <c r="J50" s="3197">
        <v>5</v>
      </c>
      <c r="K50" s="3197">
        <v>2000</v>
      </c>
      <c r="L50" s="3197" t="s">
        <v>633</v>
      </c>
      <c r="M50" s="3197" t="s">
        <v>633</v>
      </c>
      <c r="N50" s="3197" t="s">
        <v>633</v>
      </c>
      <c r="O50" s="3198">
        <v>54378</v>
      </c>
      <c r="P50" s="3197">
        <v>54572</v>
      </c>
      <c r="Q50" s="3197">
        <v>3913904</v>
      </c>
      <c r="R50" s="3199">
        <v>45463</v>
      </c>
    </row>
    <row r="51" spans="1:18" ht="15" hidden="1" thickBot="1">
      <c r="A51" s="3197">
        <v>50</v>
      </c>
      <c r="B51" s="3197" t="s">
        <v>3427</v>
      </c>
      <c r="C51" s="3197" t="s">
        <v>3591</v>
      </c>
      <c r="D51" s="3197" t="s">
        <v>3550</v>
      </c>
      <c r="E51" s="3197" t="s">
        <v>3456</v>
      </c>
      <c r="F51" s="3197" t="s">
        <v>3431</v>
      </c>
      <c r="G51" s="3197">
        <v>58.26</v>
      </c>
      <c r="H51" s="3197" t="s">
        <v>3406</v>
      </c>
      <c r="I51" s="3197">
        <v>6</v>
      </c>
      <c r="J51" s="3197">
        <v>4</v>
      </c>
      <c r="K51" s="3197" t="s">
        <v>633</v>
      </c>
      <c r="L51" s="3197">
        <v>1986</v>
      </c>
      <c r="M51" s="3197" t="s">
        <v>633</v>
      </c>
      <c r="N51" s="3197" t="s">
        <v>633</v>
      </c>
      <c r="O51" s="3198">
        <v>43769</v>
      </c>
      <c r="P51" s="3197">
        <v>44993</v>
      </c>
      <c r="Q51" s="3197">
        <v>2621292</v>
      </c>
      <c r="R51" s="3199">
        <v>45455</v>
      </c>
    </row>
    <row r="52" spans="1:18" ht="29.25" hidden="1" thickBot="1">
      <c r="A52" s="3197">
        <v>51</v>
      </c>
      <c r="B52" s="3197" t="s">
        <v>3427</v>
      </c>
      <c r="C52" s="3197" t="s">
        <v>3592</v>
      </c>
      <c r="D52" s="3197" t="s">
        <v>3555</v>
      </c>
      <c r="E52" s="3197" t="s">
        <v>3456</v>
      </c>
      <c r="F52" s="3197" t="s">
        <v>3440</v>
      </c>
      <c r="G52" s="3197">
        <v>57.73</v>
      </c>
      <c r="H52" s="3197" t="s">
        <v>3406</v>
      </c>
      <c r="I52" s="3197">
        <v>6</v>
      </c>
      <c r="J52" s="3197">
        <v>6</v>
      </c>
      <c r="K52" s="3197" t="s">
        <v>633</v>
      </c>
      <c r="L52" s="3197">
        <v>1988</v>
      </c>
      <c r="M52" s="3197" t="s">
        <v>633</v>
      </c>
      <c r="N52" s="3197" t="s">
        <v>633</v>
      </c>
      <c r="O52" s="3198">
        <v>37762</v>
      </c>
      <c r="P52" s="3197">
        <v>38275</v>
      </c>
      <c r="Q52" s="3197">
        <v>2209616</v>
      </c>
      <c r="R52" s="3199">
        <v>45437</v>
      </c>
    </row>
    <row r="53" spans="1:18" ht="29.25" hidden="1" thickBot="1">
      <c r="A53" s="3197">
        <v>52</v>
      </c>
      <c r="B53" s="3197" t="s">
        <v>3427</v>
      </c>
      <c r="C53" s="3197" t="s">
        <v>3593</v>
      </c>
      <c r="D53" s="3197" t="s">
        <v>3553</v>
      </c>
      <c r="E53" s="3197" t="s">
        <v>3456</v>
      </c>
      <c r="F53" s="3197" t="s">
        <v>3440</v>
      </c>
      <c r="G53" s="3197">
        <v>63.43</v>
      </c>
      <c r="H53" s="3197" t="s">
        <v>3406</v>
      </c>
      <c r="I53" s="3197" t="s">
        <v>3594</v>
      </c>
      <c r="J53" s="3197">
        <v>3</v>
      </c>
      <c r="K53" s="3197" t="s">
        <v>633</v>
      </c>
      <c r="L53" s="3197">
        <v>1982</v>
      </c>
      <c r="M53" s="3197" t="s">
        <v>633</v>
      </c>
      <c r="N53" s="3197" t="s">
        <v>633</v>
      </c>
      <c r="O53" s="3198">
        <v>45562</v>
      </c>
      <c r="P53" s="3197">
        <v>47336</v>
      </c>
      <c r="Q53" s="3197">
        <v>3002522</v>
      </c>
      <c r="R53" s="3199">
        <v>45426</v>
      </c>
    </row>
    <row r="54" spans="1:18" ht="29.25" hidden="1" thickBot="1">
      <c r="A54" s="3197">
        <v>53</v>
      </c>
      <c r="B54" s="3197" t="s">
        <v>3427</v>
      </c>
      <c r="C54" s="3197" t="s">
        <v>3595</v>
      </c>
      <c r="D54" s="3197" t="s">
        <v>3550</v>
      </c>
      <c r="E54" s="3197" t="s">
        <v>3456</v>
      </c>
      <c r="F54" s="3197" t="s">
        <v>3440</v>
      </c>
      <c r="G54" s="3197">
        <v>62.45</v>
      </c>
      <c r="H54" s="3197" t="s">
        <v>3406</v>
      </c>
      <c r="I54" s="3197">
        <v>6</v>
      </c>
      <c r="J54" s="3197">
        <v>4</v>
      </c>
      <c r="K54" s="3197" t="s">
        <v>633</v>
      </c>
      <c r="L54" s="3197">
        <v>1987</v>
      </c>
      <c r="M54" s="3197" t="s">
        <v>633</v>
      </c>
      <c r="N54" s="3197" t="s">
        <v>633</v>
      </c>
      <c r="O54" s="3198">
        <v>56845</v>
      </c>
      <c r="P54" s="3197">
        <v>56990</v>
      </c>
      <c r="Q54" s="3197">
        <v>3559026</v>
      </c>
      <c r="R54" s="3199">
        <v>45409</v>
      </c>
    </row>
    <row r="55" spans="1:18" ht="29.25" hidden="1" thickBot="1">
      <c r="A55" s="3183">
        <v>54</v>
      </c>
      <c r="B55" s="3183" t="s">
        <v>3427</v>
      </c>
      <c r="C55" s="3183" t="s">
        <v>3596</v>
      </c>
      <c r="D55" s="3183" t="s">
        <v>3436</v>
      </c>
      <c r="E55" s="3183" t="s">
        <v>3456</v>
      </c>
      <c r="F55" s="3183" t="s">
        <v>3440</v>
      </c>
      <c r="G55" s="3183">
        <v>50.3</v>
      </c>
      <c r="H55" s="3183" t="s">
        <v>3406</v>
      </c>
      <c r="I55" s="3183">
        <v>18</v>
      </c>
      <c r="J55" s="3183">
        <v>15</v>
      </c>
      <c r="K55" s="3183" t="s">
        <v>633</v>
      </c>
      <c r="L55" s="3183">
        <v>1995</v>
      </c>
      <c r="M55" s="3183" t="s">
        <v>633</v>
      </c>
      <c r="N55" s="3183" t="s">
        <v>633</v>
      </c>
      <c r="O55" s="3185">
        <v>51292</v>
      </c>
      <c r="P55" s="3183">
        <v>51592</v>
      </c>
      <c r="Q55" s="3183">
        <v>2595078</v>
      </c>
      <c r="R55" s="3186">
        <v>45393</v>
      </c>
    </row>
    <row r="56" spans="1:18" ht="15" thickBot="1">
      <c r="A56" s="3197">
        <v>55</v>
      </c>
      <c r="B56" s="3197" t="s">
        <v>3427</v>
      </c>
      <c r="C56" s="3197" t="s">
        <v>3597</v>
      </c>
      <c r="D56" s="3197" t="s">
        <v>3436</v>
      </c>
      <c r="E56" s="3197" t="s">
        <v>3456</v>
      </c>
      <c r="F56" s="3197" t="s">
        <v>3431</v>
      </c>
      <c r="G56" s="3197">
        <v>56.99</v>
      </c>
      <c r="H56" s="3197" t="s">
        <v>3406</v>
      </c>
      <c r="I56" s="3197">
        <v>6</v>
      </c>
      <c r="J56" s="3197">
        <v>4</v>
      </c>
      <c r="K56" s="3197">
        <v>1994</v>
      </c>
      <c r="L56" s="3197" t="s">
        <v>633</v>
      </c>
      <c r="M56" s="3197" t="s">
        <v>633</v>
      </c>
      <c r="N56" s="3197" t="s">
        <v>633</v>
      </c>
      <c r="O56" s="3198">
        <v>45271</v>
      </c>
      <c r="P56" s="3197">
        <v>46935</v>
      </c>
      <c r="Q56" s="3197">
        <v>2674826</v>
      </c>
      <c r="R56" s="3199">
        <v>45390</v>
      </c>
    </row>
    <row r="57" spans="1:18" ht="15" hidden="1" thickBot="1">
      <c r="A57" s="3183">
        <v>56</v>
      </c>
      <c r="B57" s="3183" t="s">
        <v>3427</v>
      </c>
      <c r="C57" s="3183" t="s">
        <v>3598</v>
      </c>
      <c r="D57" s="3183" t="s">
        <v>3429</v>
      </c>
      <c r="E57" s="3183" t="s">
        <v>3456</v>
      </c>
      <c r="F57" s="3183" t="s">
        <v>3431</v>
      </c>
      <c r="G57" s="3183">
        <v>64.3</v>
      </c>
      <c r="H57" s="3183" t="s">
        <v>3406</v>
      </c>
      <c r="I57" s="3183">
        <v>21</v>
      </c>
      <c r="J57" s="3183">
        <v>9</v>
      </c>
      <c r="K57" s="3183">
        <v>2000</v>
      </c>
      <c r="L57" s="3183" t="s">
        <v>633</v>
      </c>
      <c r="M57" s="3183" t="s">
        <v>633</v>
      </c>
      <c r="N57" s="3183" t="s">
        <v>633</v>
      </c>
      <c r="O57" s="3185">
        <v>61431</v>
      </c>
      <c r="P57" s="3183">
        <v>60304</v>
      </c>
      <c r="Q57" s="3183">
        <v>3877547</v>
      </c>
      <c r="R57" s="3186">
        <v>45384</v>
      </c>
    </row>
    <row r="58" spans="1:18" ht="15" thickBot="1">
      <c r="A58" s="3183">
        <v>57</v>
      </c>
      <c r="B58" s="3183" t="s">
        <v>3427</v>
      </c>
      <c r="C58" s="3183" t="s">
        <v>3599</v>
      </c>
      <c r="D58" s="3183" t="s">
        <v>3436</v>
      </c>
      <c r="E58" s="3183" t="s">
        <v>3456</v>
      </c>
      <c r="F58" s="3183" t="s">
        <v>3431</v>
      </c>
      <c r="G58" s="3183">
        <v>110.75</v>
      </c>
      <c r="H58" s="3183" t="s">
        <v>3406</v>
      </c>
      <c r="I58" s="3183">
        <v>18</v>
      </c>
      <c r="J58" s="3183">
        <v>11</v>
      </c>
      <c r="K58" s="3183">
        <v>1995</v>
      </c>
      <c r="L58" s="3183" t="s">
        <v>633</v>
      </c>
      <c r="M58" s="3183" t="s">
        <v>633</v>
      </c>
      <c r="N58" s="3183" t="s">
        <v>633</v>
      </c>
      <c r="O58" s="3185">
        <v>53725</v>
      </c>
      <c r="P58" s="3183">
        <v>53547</v>
      </c>
      <c r="Q58" s="3183">
        <v>5930330</v>
      </c>
      <c r="R58" s="3186">
        <v>45381</v>
      </c>
    </row>
    <row r="59" spans="1:18" ht="29.25" thickBot="1">
      <c r="A59" s="3183">
        <v>58</v>
      </c>
      <c r="B59" s="3183" t="s">
        <v>3427</v>
      </c>
      <c r="C59" s="3183" t="s">
        <v>3600</v>
      </c>
      <c r="D59" s="3183" t="s">
        <v>3550</v>
      </c>
      <c r="E59" s="3183" t="s">
        <v>3456</v>
      </c>
      <c r="F59" s="3183" t="s">
        <v>3440</v>
      </c>
      <c r="G59" s="3183">
        <v>62.22</v>
      </c>
      <c r="H59" s="3183" t="s">
        <v>3406</v>
      </c>
      <c r="I59" s="3183">
        <v>12</v>
      </c>
      <c r="J59" s="3183">
        <v>11</v>
      </c>
      <c r="K59" s="3183">
        <v>1992</v>
      </c>
      <c r="L59" s="3183" t="s">
        <v>633</v>
      </c>
      <c r="M59" s="3183" t="s">
        <v>633</v>
      </c>
      <c r="N59" s="3183" t="s">
        <v>633</v>
      </c>
      <c r="O59" s="3185">
        <v>52234</v>
      </c>
      <c r="P59" s="3183">
        <v>53131</v>
      </c>
      <c r="Q59" s="3183">
        <v>3305811</v>
      </c>
      <c r="R59" s="3186">
        <v>45372</v>
      </c>
    </row>
    <row r="60" spans="1:18" ht="15" hidden="1" thickBot="1">
      <c r="A60" s="3183">
        <v>59</v>
      </c>
      <c r="B60" s="3183" t="s">
        <v>3427</v>
      </c>
      <c r="C60" s="3183" t="s">
        <v>3601</v>
      </c>
      <c r="D60" s="3183" t="s">
        <v>3436</v>
      </c>
      <c r="E60" s="3183" t="s">
        <v>3456</v>
      </c>
      <c r="F60" s="3183" t="s">
        <v>3431</v>
      </c>
      <c r="G60" s="3183">
        <v>50.3</v>
      </c>
      <c r="H60" s="3183" t="s">
        <v>3406</v>
      </c>
      <c r="I60" s="3183" t="s">
        <v>3602</v>
      </c>
      <c r="J60" s="3183">
        <v>8</v>
      </c>
      <c r="K60" s="3183" t="s">
        <v>633</v>
      </c>
      <c r="L60" s="3183">
        <v>1994</v>
      </c>
      <c r="M60" s="3183" t="s">
        <v>633</v>
      </c>
      <c r="N60" s="3183" t="s">
        <v>633</v>
      </c>
      <c r="O60" s="3185">
        <v>50099</v>
      </c>
      <c r="P60" s="3183">
        <v>50792</v>
      </c>
      <c r="Q60" s="3183">
        <v>2554838</v>
      </c>
      <c r="R60" s="3186">
        <v>45371</v>
      </c>
    </row>
    <row r="61" spans="1:18" ht="29.25" thickBot="1">
      <c r="A61" s="3197">
        <v>60</v>
      </c>
      <c r="B61" s="3197" t="s">
        <v>3427</v>
      </c>
      <c r="C61" s="3197" t="s">
        <v>3603</v>
      </c>
      <c r="D61" s="3197" t="s">
        <v>3550</v>
      </c>
      <c r="E61" s="3197" t="s">
        <v>3456</v>
      </c>
      <c r="F61" s="3197" t="s">
        <v>3440</v>
      </c>
      <c r="G61" s="3197">
        <v>79.260000000000005</v>
      </c>
      <c r="H61" s="3197" t="s">
        <v>3406</v>
      </c>
      <c r="I61" s="3197">
        <v>6</v>
      </c>
      <c r="J61" s="3197">
        <v>4</v>
      </c>
      <c r="K61" s="3197">
        <v>1987</v>
      </c>
      <c r="L61" s="3197" t="s">
        <v>633</v>
      </c>
      <c r="M61" s="3197" t="s">
        <v>633</v>
      </c>
      <c r="N61" s="3197" t="s">
        <v>633</v>
      </c>
      <c r="O61" s="3198">
        <v>57406</v>
      </c>
      <c r="P61" s="3197">
        <v>57425</v>
      </c>
      <c r="Q61" s="3197">
        <v>4551506</v>
      </c>
      <c r="R61" s="3199">
        <v>45324</v>
      </c>
    </row>
    <row r="62" spans="1:18" ht="29.25" hidden="1" thickBot="1">
      <c r="A62" s="3183">
        <v>61</v>
      </c>
      <c r="B62" s="3183" t="s">
        <v>3427</v>
      </c>
      <c r="C62" s="3183" t="s">
        <v>3604</v>
      </c>
      <c r="D62" s="3183" t="s">
        <v>3436</v>
      </c>
      <c r="E62" s="3183" t="s">
        <v>3456</v>
      </c>
      <c r="F62" s="3183" t="s">
        <v>3440</v>
      </c>
      <c r="G62" s="3183">
        <v>63.38</v>
      </c>
      <c r="H62" s="3183" t="s">
        <v>3406</v>
      </c>
      <c r="I62" s="3183">
        <v>18</v>
      </c>
      <c r="J62" s="3183">
        <v>18</v>
      </c>
      <c r="K62" s="3183" t="s">
        <v>633</v>
      </c>
      <c r="L62" s="3183">
        <v>1995</v>
      </c>
      <c r="M62" s="3183" t="s">
        <v>633</v>
      </c>
      <c r="N62" s="3183" t="s">
        <v>633</v>
      </c>
      <c r="O62" s="3185">
        <v>50489</v>
      </c>
      <c r="P62" s="3183">
        <v>50485</v>
      </c>
      <c r="Q62" s="3183">
        <v>3199739</v>
      </c>
      <c r="R62" s="3186">
        <v>45324</v>
      </c>
    </row>
    <row r="63" spans="1:18" ht="29.25" thickBot="1">
      <c r="A63" s="3197">
        <v>62</v>
      </c>
      <c r="B63" s="3197" t="s">
        <v>3427</v>
      </c>
      <c r="C63" s="3197" t="s">
        <v>3605</v>
      </c>
      <c r="D63" s="3197" t="s">
        <v>3550</v>
      </c>
      <c r="E63" s="3197" t="s">
        <v>3606</v>
      </c>
      <c r="F63" s="3197" t="s">
        <v>3440</v>
      </c>
      <c r="G63" s="3197">
        <v>53.89</v>
      </c>
      <c r="H63" s="3197" t="s">
        <v>3406</v>
      </c>
      <c r="I63" s="3197">
        <v>6</v>
      </c>
      <c r="J63" s="3197">
        <v>4</v>
      </c>
      <c r="K63" s="3197">
        <v>1992</v>
      </c>
      <c r="L63" s="3197" t="s">
        <v>633</v>
      </c>
      <c r="M63" s="3197" t="s">
        <v>633</v>
      </c>
      <c r="N63" s="3197" t="s">
        <v>633</v>
      </c>
      <c r="O63" s="3198">
        <v>58452</v>
      </c>
      <c r="P63" s="3197">
        <v>58479</v>
      </c>
      <c r="Q63" s="3197">
        <v>3151433</v>
      </c>
      <c r="R63" s="3199">
        <v>45315</v>
      </c>
    </row>
    <row r="64" spans="1:18" ht="15" thickBot="1">
      <c r="A64" s="3183">
        <v>63</v>
      </c>
      <c r="B64" s="3183" t="s">
        <v>3427</v>
      </c>
      <c r="C64" s="3183" t="s">
        <v>3607</v>
      </c>
      <c r="D64" s="3183" t="s">
        <v>3436</v>
      </c>
      <c r="E64" s="3183" t="s">
        <v>3608</v>
      </c>
      <c r="F64" s="3183" t="s">
        <v>3431</v>
      </c>
      <c r="G64" s="3183">
        <v>66.150000000000006</v>
      </c>
      <c r="H64" s="3183" t="s">
        <v>3406</v>
      </c>
      <c r="I64" s="3183">
        <v>18</v>
      </c>
      <c r="J64" s="3183">
        <v>11</v>
      </c>
      <c r="K64" s="3183">
        <v>1995</v>
      </c>
      <c r="L64" s="3183" t="s">
        <v>633</v>
      </c>
      <c r="M64" s="3183" t="s">
        <v>633</v>
      </c>
      <c r="N64" s="3183" t="s">
        <v>633</v>
      </c>
      <c r="O64" s="3185">
        <v>65306</v>
      </c>
      <c r="P64" s="3183">
        <v>62933</v>
      </c>
      <c r="Q64" s="3183">
        <v>4163018</v>
      </c>
      <c r="R64" s="3186">
        <v>45314</v>
      </c>
    </row>
    <row r="65" spans="1:18" ht="29.25" hidden="1" thickBot="1">
      <c r="A65" s="3183">
        <v>64</v>
      </c>
      <c r="B65" s="3183" t="s">
        <v>3427</v>
      </c>
      <c r="C65" s="3183" t="s">
        <v>3609</v>
      </c>
      <c r="D65" s="3183" t="s">
        <v>3436</v>
      </c>
      <c r="E65" s="3183" t="s">
        <v>3430</v>
      </c>
      <c r="F65" s="3183" t="s">
        <v>3440</v>
      </c>
      <c r="G65" s="3183">
        <v>89.81</v>
      </c>
      <c r="H65" s="3183" t="s">
        <v>3406</v>
      </c>
      <c r="I65" s="3183">
        <v>18</v>
      </c>
      <c r="J65" s="3183">
        <v>10</v>
      </c>
      <c r="K65" s="3183" t="s">
        <v>633</v>
      </c>
      <c r="L65" s="3183">
        <v>1995</v>
      </c>
      <c r="M65" s="3183" t="s">
        <v>633</v>
      </c>
      <c r="N65" s="3183" t="s">
        <v>633</v>
      </c>
      <c r="O65" s="3185">
        <v>60750</v>
      </c>
      <c r="P65" s="3183">
        <v>54021</v>
      </c>
      <c r="Q65" s="3183">
        <v>4851626</v>
      </c>
      <c r="R65" s="3186">
        <v>45486</v>
      </c>
    </row>
    <row r="66" spans="1:18" ht="29.25" hidden="1" thickBot="1">
      <c r="A66" s="3183">
        <v>65</v>
      </c>
      <c r="B66" s="3183" t="s">
        <v>3427</v>
      </c>
      <c r="C66" s="3183" t="s">
        <v>3610</v>
      </c>
      <c r="D66" s="3183" t="s">
        <v>3436</v>
      </c>
      <c r="E66" s="3183" t="s">
        <v>3456</v>
      </c>
      <c r="F66" s="3183" t="s">
        <v>3440</v>
      </c>
      <c r="G66" s="3183">
        <v>66.150000000000006</v>
      </c>
      <c r="H66" s="3183" t="s">
        <v>3406</v>
      </c>
      <c r="I66" s="3183">
        <v>18</v>
      </c>
      <c r="J66" s="3183">
        <v>10</v>
      </c>
      <c r="K66" s="3183" t="s">
        <v>633</v>
      </c>
      <c r="L66" s="3183">
        <v>1995</v>
      </c>
      <c r="M66" s="3183" t="s">
        <v>633</v>
      </c>
      <c r="N66" s="3183" t="s">
        <v>633</v>
      </c>
      <c r="O66" s="3185">
        <v>66062</v>
      </c>
      <c r="P66" s="3183">
        <v>65141</v>
      </c>
      <c r="Q66" s="3183">
        <v>4309077</v>
      </c>
      <c r="R66" s="3186">
        <v>45293</v>
      </c>
    </row>
    <row r="67" spans="1:18" ht="29.25" thickBot="1">
      <c r="A67" s="3197">
        <v>66</v>
      </c>
      <c r="B67" s="3197" t="s">
        <v>3427</v>
      </c>
      <c r="C67" s="3197" t="s">
        <v>3611</v>
      </c>
      <c r="D67" s="3197" t="s">
        <v>3555</v>
      </c>
      <c r="E67" s="3197" t="s">
        <v>3456</v>
      </c>
      <c r="F67" s="3197" t="s">
        <v>3440</v>
      </c>
      <c r="G67" s="3197">
        <v>56.05</v>
      </c>
      <c r="H67" s="3197" t="s">
        <v>3406</v>
      </c>
      <c r="I67" s="3197">
        <v>6</v>
      </c>
      <c r="J67" s="3197">
        <v>3</v>
      </c>
      <c r="K67" s="3197">
        <v>1992</v>
      </c>
      <c r="L67" s="3197" t="s">
        <v>633</v>
      </c>
      <c r="M67" s="3197" t="s">
        <v>633</v>
      </c>
      <c r="N67" s="3197" t="s">
        <v>633</v>
      </c>
      <c r="O67" s="3198">
        <v>53078</v>
      </c>
      <c r="P67" s="3197">
        <v>53006</v>
      </c>
      <c r="Q67" s="3197">
        <v>2970986</v>
      </c>
      <c r="R67" s="3199">
        <v>45293</v>
      </c>
    </row>
    <row r="68" spans="1:18" ht="15" thickBot="1">
      <c r="A68" s="3197">
        <v>67</v>
      </c>
      <c r="B68" s="3197" t="s">
        <v>3427</v>
      </c>
      <c r="C68" s="3197" t="s">
        <v>3612</v>
      </c>
      <c r="D68" s="3197" t="s">
        <v>3550</v>
      </c>
      <c r="E68" s="3197" t="s">
        <v>3456</v>
      </c>
      <c r="F68" s="3197" t="s">
        <v>3431</v>
      </c>
      <c r="G68" s="3197">
        <v>62.75</v>
      </c>
      <c r="H68" s="3197" t="s">
        <v>3406</v>
      </c>
      <c r="I68" s="3197" t="s">
        <v>3613</v>
      </c>
      <c r="J68" s="3197">
        <v>5</v>
      </c>
      <c r="K68" s="3197">
        <v>1992</v>
      </c>
      <c r="L68" s="3197" t="s">
        <v>633</v>
      </c>
      <c r="M68" s="3197" t="s">
        <v>633</v>
      </c>
      <c r="N68" s="3197" t="s">
        <v>633</v>
      </c>
      <c r="O68" s="3198">
        <v>54980</v>
      </c>
      <c r="P68" s="3197">
        <v>53886</v>
      </c>
      <c r="Q68" s="3197">
        <v>3381347</v>
      </c>
      <c r="R68" s="3199">
        <v>45293</v>
      </c>
    </row>
    <row r="69" spans="1:18" ht="15" thickBot="1">
      <c r="A69" s="3197">
        <v>68</v>
      </c>
      <c r="B69" s="3197" t="s">
        <v>3427</v>
      </c>
      <c r="C69" s="3197" t="s">
        <v>3614</v>
      </c>
      <c r="D69" s="3197" t="s">
        <v>3553</v>
      </c>
      <c r="E69" s="3197" t="s">
        <v>3456</v>
      </c>
      <c r="F69" s="3197" t="s">
        <v>3431</v>
      </c>
      <c r="G69" s="3197">
        <v>63.33</v>
      </c>
      <c r="H69" s="3197" t="s">
        <v>3406</v>
      </c>
      <c r="I69" s="3197">
        <v>6</v>
      </c>
      <c r="J69" s="3197">
        <v>5</v>
      </c>
      <c r="K69" s="3197">
        <v>1981</v>
      </c>
      <c r="L69" s="3197" t="s">
        <v>633</v>
      </c>
      <c r="M69" s="3197" t="s">
        <v>633</v>
      </c>
      <c r="N69" s="3197" t="s">
        <v>633</v>
      </c>
      <c r="O69" s="3198">
        <v>50529</v>
      </c>
      <c r="P69" s="3197">
        <v>50571</v>
      </c>
      <c r="Q69" s="3197">
        <v>3202661</v>
      </c>
      <c r="R69" s="3199">
        <v>45258</v>
      </c>
    </row>
    <row r="70" spans="1:18" ht="15" thickBot="1">
      <c r="A70" s="3197">
        <v>69</v>
      </c>
      <c r="B70" s="3197" t="s">
        <v>3427</v>
      </c>
      <c r="C70" s="3197" t="s">
        <v>3615</v>
      </c>
      <c r="D70" s="3197" t="s">
        <v>3550</v>
      </c>
      <c r="E70" s="3197" t="s">
        <v>3456</v>
      </c>
      <c r="F70" s="3197" t="s">
        <v>3431</v>
      </c>
      <c r="G70" s="3197">
        <v>61.43</v>
      </c>
      <c r="H70" s="3197" t="s">
        <v>3406</v>
      </c>
      <c r="I70" s="3197">
        <v>6</v>
      </c>
      <c r="J70" s="3197">
        <v>4</v>
      </c>
      <c r="K70" s="3197">
        <v>1983</v>
      </c>
      <c r="L70" s="3197" t="s">
        <v>633</v>
      </c>
      <c r="M70" s="3197" t="s">
        <v>633</v>
      </c>
      <c r="N70" s="3197" t="s">
        <v>633</v>
      </c>
      <c r="O70" s="3198">
        <v>63161</v>
      </c>
      <c r="P70" s="3197">
        <v>60731</v>
      </c>
      <c r="Q70" s="3197">
        <v>3730705</v>
      </c>
      <c r="R70" s="3199">
        <v>45255</v>
      </c>
    </row>
    <row r="71" spans="1:18" ht="29.25" hidden="1" thickBot="1">
      <c r="A71" s="3197">
        <v>70</v>
      </c>
      <c r="B71" s="3197" t="s">
        <v>3427</v>
      </c>
      <c r="C71" s="3197" t="s">
        <v>3616</v>
      </c>
      <c r="D71" s="3197" t="s">
        <v>3555</v>
      </c>
      <c r="E71" s="3197" t="s">
        <v>3456</v>
      </c>
      <c r="F71" s="3197" t="s">
        <v>3440</v>
      </c>
      <c r="G71" s="3197">
        <v>41.08</v>
      </c>
      <c r="H71" s="3197" t="s">
        <v>3406</v>
      </c>
      <c r="I71" s="3197">
        <v>6</v>
      </c>
      <c r="J71" s="3197">
        <v>5</v>
      </c>
      <c r="K71" s="3197" t="s">
        <v>633</v>
      </c>
      <c r="L71" s="3197">
        <v>1988</v>
      </c>
      <c r="M71" s="3197" t="s">
        <v>633</v>
      </c>
      <c r="N71" s="3197" t="s">
        <v>633</v>
      </c>
      <c r="O71" s="3198">
        <v>57291</v>
      </c>
      <c r="P71" s="3197">
        <v>57279</v>
      </c>
      <c r="Q71" s="3197">
        <v>2353021</v>
      </c>
      <c r="R71" s="3199">
        <v>45244</v>
      </c>
    </row>
    <row r="72" spans="1:18" ht="29.25" thickBot="1">
      <c r="A72" s="3197">
        <v>71</v>
      </c>
      <c r="B72" s="3197" t="s">
        <v>3427</v>
      </c>
      <c r="C72" s="3197" t="s">
        <v>3617</v>
      </c>
      <c r="D72" s="3197" t="s">
        <v>3553</v>
      </c>
      <c r="E72" s="3197" t="s">
        <v>3456</v>
      </c>
      <c r="F72" s="3197" t="s">
        <v>3440</v>
      </c>
      <c r="G72" s="3197">
        <v>62.83</v>
      </c>
      <c r="H72" s="3197" t="s">
        <v>3406</v>
      </c>
      <c r="I72" s="3197">
        <v>6</v>
      </c>
      <c r="J72" s="3197">
        <v>4</v>
      </c>
      <c r="K72" s="3197">
        <v>1982</v>
      </c>
      <c r="L72" s="3197" t="s">
        <v>633</v>
      </c>
      <c r="M72" s="3197" t="s">
        <v>633</v>
      </c>
      <c r="N72" s="3197" t="s">
        <v>633</v>
      </c>
      <c r="O72" s="3198">
        <v>57297</v>
      </c>
      <c r="P72" s="3197">
        <v>55450</v>
      </c>
      <c r="Q72" s="3197">
        <v>3483924</v>
      </c>
      <c r="R72" s="3199">
        <v>45237</v>
      </c>
    </row>
    <row r="73" spans="1:18" ht="15" thickBot="1">
      <c r="A73" s="3197">
        <v>72</v>
      </c>
      <c r="B73" s="3197" t="s">
        <v>3427</v>
      </c>
      <c r="C73" s="3197" t="s">
        <v>3618</v>
      </c>
      <c r="D73" s="3197" t="s">
        <v>3550</v>
      </c>
      <c r="E73" s="3197" t="s">
        <v>3456</v>
      </c>
      <c r="F73" s="3197" t="s">
        <v>3431</v>
      </c>
      <c r="G73" s="3197">
        <v>37.69</v>
      </c>
      <c r="H73" s="3197" t="s">
        <v>3406</v>
      </c>
      <c r="I73" s="3197">
        <v>6</v>
      </c>
      <c r="J73" s="3197">
        <v>2</v>
      </c>
      <c r="K73" s="3197">
        <v>1986</v>
      </c>
      <c r="L73" s="3197" t="s">
        <v>633</v>
      </c>
      <c r="M73" s="3197" t="s">
        <v>633</v>
      </c>
      <c r="N73" s="3197" t="s">
        <v>633</v>
      </c>
      <c r="O73" s="3198">
        <v>58902</v>
      </c>
      <c r="P73" s="3197">
        <v>58253</v>
      </c>
      <c r="Q73" s="3197">
        <v>2195556</v>
      </c>
      <c r="R73" s="3199">
        <v>45230</v>
      </c>
    </row>
    <row r="74" spans="1:18" ht="29.25" thickBot="1">
      <c r="A74" s="3197">
        <v>73</v>
      </c>
      <c r="B74" s="3197" t="s">
        <v>3427</v>
      </c>
      <c r="C74" s="3197" t="s">
        <v>3619</v>
      </c>
      <c r="D74" s="3197" t="s">
        <v>3553</v>
      </c>
      <c r="E74" s="3197" t="s">
        <v>3456</v>
      </c>
      <c r="F74" s="3197" t="s">
        <v>3440</v>
      </c>
      <c r="G74" s="3197">
        <v>62.83</v>
      </c>
      <c r="H74" s="3197" t="s">
        <v>3406</v>
      </c>
      <c r="I74" s="3197">
        <v>6</v>
      </c>
      <c r="J74" s="3197">
        <v>4</v>
      </c>
      <c r="K74" s="3197">
        <v>1982</v>
      </c>
      <c r="L74" s="3197" t="s">
        <v>633</v>
      </c>
      <c r="M74" s="3197" t="s">
        <v>633</v>
      </c>
      <c r="N74" s="3197" t="s">
        <v>633</v>
      </c>
      <c r="O74" s="3198">
        <v>57297</v>
      </c>
      <c r="P74" s="3197">
        <v>55560</v>
      </c>
      <c r="Q74" s="3197">
        <v>3490835</v>
      </c>
      <c r="R74" s="3199">
        <v>45216</v>
      </c>
    </row>
    <row r="75" spans="1:18" ht="15" hidden="1" thickBot="1">
      <c r="A75" s="3197">
        <v>74</v>
      </c>
      <c r="B75" s="3198" t="s">
        <v>3427</v>
      </c>
      <c r="C75" s="3198" t="s">
        <v>3620</v>
      </c>
      <c r="D75" s="3198" t="s">
        <v>3550</v>
      </c>
      <c r="E75" s="3198" t="s">
        <v>3456</v>
      </c>
      <c r="F75" s="3198" t="s">
        <v>3431</v>
      </c>
      <c r="G75" s="3198">
        <v>37.270000000000003</v>
      </c>
      <c r="H75" s="3198" t="s">
        <v>3406</v>
      </c>
      <c r="I75" s="3198" t="s">
        <v>3613</v>
      </c>
      <c r="J75" s="3198">
        <v>-1</v>
      </c>
      <c r="K75" s="3198" t="s">
        <v>633</v>
      </c>
      <c r="L75" s="3198">
        <v>1992</v>
      </c>
      <c r="M75" s="3198" t="s">
        <v>633</v>
      </c>
      <c r="N75" s="3198" t="s">
        <v>633</v>
      </c>
      <c r="O75" s="3198">
        <v>48565</v>
      </c>
      <c r="P75" s="3198">
        <v>45719</v>
      </c>
      <c r="Q75" s="3198">
        <v>1703947</v>
      </c>
      <c r="R75" s="3200">
        <v>45192</v>
      </c>
    </row>
    <row r="76" spans="1:18" ht="29.25" thickBot="1">
      <c r="A76" s="3197">
        <v>75</v>
      </c>
      <c r="B76" s="3197" t="s">
        <v>3427</v>
      </c>
      <c r="C76" s="3197" t="s">
        <v>3621</v>
      </c>
      <c r="D76" s="3197" t="s">
        <v>3550</v>
      </c>
      <c r="E76" s="3197" t="s">
        <v>3456</v>
      </c>
      <c r="F76" s="3197" t="s">
        <v>3440</v>
      </c>
      <c r="G76" s="3197">
        <v>76.44</v>
      </c>
      <c r="H76" s="3197" t="s">
        <v>3406</v>
      </c>
      <c r="I76" s="3197">
        <v>6</v>
      </c>
      <c r="J76" s="3197">
        <v>3</v>
      </c>
      <c r="K76" s="3197">
        <v>1986</v>
      </c>
      <c r="L76" s="3197" t="s">
        <v>633</v>
      </c>
      <c r="M76" s="3197" t="s">
        <v>633</v>
      </c>
      <c r="N76" s="3197" t="s">
        <v>633</v>
      </c>
      <c r="O76" s="3198">
        <v>64103</v>
      </c>
      <c r="P76" s="3197">
        <v>62632</v>
      </c>
      <c r="Q76" s="3197">
        <v>4787590</v>
      </c>
      <c r="R76" s="3199">
        <v>45184</v>
      </c>
    </row>
    <row r="77" spans="1:18" ht="15" hidden="1" thickBot="1">
      <c r="A77" s="3183">
        <v>76</v>
      </c>
      <c r="B77" s="3183" t="s">
        <v>3427</v>
      </c>
      <c r="C77" s="3183" t="s">
        <v>3622</v>
      </c>
      <c r="D77" s="3183" t="s">
        <v>3436</v>
      </c>
      <c r="E77" s="3183" t="s">
        <v>3606</v>
      </c>
      <c r="F77" s="3183" t="s">
        <v>3431</v>
      </c>
      <c r="G77" s="3183">
        <v>57.33</v>
      </c>
      <c r="H77" s="3183" t="s">
        <v>3406</v>
      </c>
      <c r="I77" s="3183">
        <v>18</v>
      </c>
      <c r="J77" s="3183">
        <v>14</v>
      </c>
      <c r="K77" s="3183" t="s">
        <v>633</v>
      </c>
      <c r="L77" s="3183">
        <v>1995</v>
      </c>
      <c r="M77" s="3183" t="s">
        <v>633</v>
      </c>
      <c r="N77" s="3183" t="s">
        <v>633</v>
      </c>
      <c r="O77" s="3185">
        <v>76923</v>
      </c>
      <c r="P77" s="3183">
        <v>74154</v>
      </c>
      <c r="Q77" s="3183">
        <v>4251249</v>
      </c>
      <c r="R77" s="3186">
        <v>45178</v>
      </c>
    </row>
    <row r="78" spans="1:18" ht="15" thickBot="1">
      <c r="A78" s="3197">
        <v>77</v>
      </c>
      <c r="B78" s="3197" t="s">
        <v>3427</v>
      </c>
      <c r="C78" s="3197" t="s">
        <v>3623</v>
      </c>
      <c r="D78" s="3197" t="s">
        <v>3550</v>
      </c>
      <c r="E78" s="3197" t="s">
        <v>3606</v>
      </c>
      <c r="F78" s="3197" t="s">
        <v>3431</v>
      </c>
      <c r="G78" s="3197">
        <v>43.11</v>
      </c>
      <c r="H78" s="3197" t="s">
        <v>3406</v>
      </c>
      <c r="I78" s="3197">
        <v>6</v>
      </c>
      <c r="J78" s="3197">
        <v>4</v>
      </c>
      <c r="K78" s="3197">
        <v>1991</v>
      </c>
      <c r="L78" s="3197" t="s">
        <v>633</v>
      </c>
      <c r="M78" s="3197" t="s">
        <v>633</v>
      </c>
      <c r="N78" s="3197" t="s">
        <v>633</v>
      </c>
      <c r="O78" s="3198">
        <v>64834</v>
      </c>
      <c r="P78" s="3197">
        <v>63005</v>
      </c>
      <c r="Q78" s="3197">
        <v>2716146</v>
      </c>
      <c r="R78" s="3199">
        <v>45174</v>
      </c>
    </row>
    <row r="79" spans="1:18" ht="29.25" hidden="1" thickBot="1">
      <c r="A79" s="3197">
        <v>78</v>
      </c>
      <c r="B79" s="3197" t="s">
        <v>3427</v>
      </c>
      <c r="C79" s="3197" t="s">
        <v>3624</v>
      </c>
      <c r="D79" s="3197" t="s">
        <v>3555</v>
      </c>
      <c r="E79" s="3197" t="s">
        <v>3456</v>
      </c>
      <c r="F79" s="3197" t="s">
        <v>3440</v>
      </c>
      <c r="G79" s="3197">
        <v>64.77</v>
      </c>
      <c r="H79" s="3197" t="s">
        <v>3406</v>
      </c>
      <c r="I79" s="3197">
        <v>6</v>
      </c>
      <c r="J79" s="3197">
        <v>6</v>
      </c>
      <c r="K79" s="3197" t="s">
        <v>633</v>
      </c>
      <c r="L79" s="3197">
        <v>1985</v>
      </c>
      <c r="M79" s="3197" t="s">
        <v>633</v>
      </c>
      <c r="N79" s="3197" t="s">
        <v>633</v>
      </c>
      <c r="O79" s="3198">
        <v>54809</v>
      </c>
      <c r="P79" s="3197">
        <v>54998</v>
      </c>
      <c r="Q79" s="3197">
        <v>3562220</v>
      </c>
      <c r="R79" s="3199">
        <v>45156</v>
      </c>
    </row>
    <row r="80" spans="1:18" ht="29.25" thickBot="1">
      <c r="A80" s="3197">
        <v>79</v>
      </c>
      <c r="B80" s="3197" t="s">
        <v>3427</v>
      </c>
      <c r="C80" s="3197" t="s">
        <v>3625</v>
      </c>
      <c r="D80" s="3197" t="s">
        <v>3550</v>
      </c>
      <c r="E80" s="3197" t="s">
        <v>3456</v>
      </c>
      <c r="F80" s="3197" t="s">
        <v>3440</v>
      </c>
      <c r="G80" s="3197">
        <v>55.96</v>
      </c>
      <c r="H80" s="3197" t="s">
        <v>3406</v>
      </c>
      <c r="I80" s="3197">
        <v>6</v>
      </c>
      <c r="J80" s="3197">
        <v>6</v>
      </c>
      <c r="K80" s="3197">
        <v>1986</v>
      </c>
      <c r="L80" s="3197" t="s">
        <v>633</v>
      </c>
      <c r="M80" s="3197" t="s">
        <v>633</v>
      </c>
      <c r="N80" s="3197" t="s">
        <v>633</v>
      </c>
      <c r="O80" s="3198">
        <v>58613</v>
      </c>
      <c r="P80" s="3197">
        <v>58809</v>
      </c>
      <c r="Q80" s="3197">
        <v>3290952</v>
      </c>
      <c r="R80" s="3199">
        <v>45153</v>
      </c>
    </row>
    <row r="81" spans="1:18" ht="29.25" thickBot="1">
      <c r="A81" s="3197">
        <v>80</v>
      </c>
      <c r="B81" s="3197" t="s">
        <v>3427</v>
      </c>
      <c r="C81" s="3197" t="s">
        <v>3626</v>
      </c>
      <c r="D81" s="3197" t="s">
        <v>3553</v>
      </c>
      <c r="E81" s="3197" t="s">
        <v>3456</v>
      </c>
      <c r="F81" s="3197" t="s">
        <v>3440</v>
      </c>
      <c r="G81" s="3197">
        <v>40.93</v>
      </c>
      <c r="H81" s="3197" t="s">
        <v>3406</v>
      </c>
      <c r="I81" s="3197">
        <v>6</v>
      </c>
      <c r="J81" s="3197">
        <v>6</v>
      </c>
      <c r="K81" s="3197">
        <v>1981</v>
      </c>
      <c r="L81" s="3197" t="s">
        <v>633</v>
      </c>
      <c r="M81" s="3197" t="s">
        <v>633</v>
      </c>
      <c r="N81" s="3197" t="s">
        <v>633</v>
      </c>
      <c r="O81" s="3198">
        <v>51918</v>
      </c>
      <c r="P81" s="3197">
        <v>51289</v>
      </c>
      <c r="Q81" s="3197">
        <v>2099259</v>
      </c>
      <c r="R81" s="3199">
        <v>45149</v>
      </c>
    </row>
    <row r="82" spans="1:18" ht="29.25" hidden="1" thickBot="1">
      <c r="A82" s="3197">
        <v>81</v>
      </c>
      <c r="B82" s="3197" t="s">
        <v>3427</v>
      </c>
      <c r="C82" s="3197" t="s">
        <v>3627</v>
      </c>
      <c r="D82" s="3197" t="s">
        <v>3550</v>
      </c>
      <c r="E82" s="3197" t="s">
        <v>3456</v>
      </c>
      <c r="F82" s="3197" t="s">
        <v>3440</v>
      </c>
      <c r="G82" s="3197">
        <v>42.11</v>
      </c>
      <c r="H82" s="3197" t="s">
        <v>3406</v>
      </c>
      <c r="I82" s="3197" t="s">
        <v>3628</v>
      </c>
      <c r="J82" s="3197">
        <v>5</v>
      </c>
      <c r="K82" s="3197" t="s">
        <v>633</v>
      </c>
      <c r="L82" s="3197">
        <v>1986</v>
      </c>
      <c r="M82" s="3197" t="s">
        <v>633</v>
      </c>
      <c r="N82" s="3197" t="s">
        <v>633</v>
      </c>
      <c r="O82" s="3198">
        <v>52244</v>
      </c>
      <c r="P82" s="3197">
        <v>50648</v>
      </c>
      <c r="Q82" s="3197">
        <v>2132787</v>
      </c>
      <c r="R82" s="3199">
        <v>45147</v>
      </c>
    </row>
    <row r="83" spans="1:18" ht="15" thickBot="1">
      <c r="A83" s="3197">
        <v>82</v>
      </c>
      <c r="B83" s="3197" t="s">
        <v>3427</v>
      </c>
      <c r="C83" s="3197" t="s">
        <v>3629</v>
      </c>
      <c r="D83" s="3197" t="s">
        <v>3550</v>
      </c>
      <c r="E83" s="3197" t="s">
        <v>3456</v>
      </c>
      <c r="F83" s="3197" t="s">
        <v>3431</v>
      </c>
      <c r="G83" s="3197">
        <v>53.96</v>
      </c>
      <c r="H83" s="3197" t="s">
        <v>3406</v>
      </c>
      <c r="I83" s="3197">
        <v>6</v>
      </c>
      <c r="J83" s="3197">
        <v>5</v>
      </c>
      <c r="K83" s="3197">
        <v>1987</v>
      </c>
      <c r="L83" s="3197" t="s">
        <v>633</v>
      </c>
      <c r="M83" s="3197" t="s">
        <v>633</v>
      </c>
      <c r="N83" s="3197" t="s">
        <v>633</v>
      </c>
      <c r="O83" s="3198">
        <v>63473</v>
      </c>
      <c r="P83" s="3197">
        <v>61681</v>
      </c>
      <c r="Q83" s="3197">
        <v>3328307</v>
      </c>
      <c r="R83" s="3199">
        <v>45146</v>
      </c>
    </row>
    <row r="84" spans="1:18" ht="15" hidden="1" thickBot="1">
      <c r="A84" s="3183">
        <v>83</v>
      </c>
      <c r="B84" s="3183" t="s">
        <v>3427</v>
      </c>
      <c r="C84" s="3183" t="s">
        <v>3630</v>
      </c>
      <c r="D84" s="3183" t="s">
        <v>3436</v>
      </c>
      <c r="E84" s="3183" t="s">
        <v>3456</v>
      </c>
      <c r="F84" s="3183" t="s">
        <v>3431</v>
      </c>
      <c r="G84" s="3183">
        <v>49.06</v>
      </c>
      <c r="H84" s="3183" t="s">
        <v>3406</v>
      </c>
      <c r="I84" s="3183">
        <v>18</v>
      </c>
      <c r="J84" s="3183">
        <v>15</v>
      </c>
      <c r="K84" s="3183" t="s">
        <v>633</v>
      </c>
      <c r="L84" s="3183">
        <v>1994</v>
      </c>
      <c r="M84" s="3183" t="s">
        <v>633</v>
      </c>
      <c r="N84" s="3183" t="s">
        <v>633</v>
      </c>
      <c r="O84" s="3185">
        <v>62780</v>
      </c>
      <c r="P84" s="3183">
        <v>62946</v>
      </c>
      <c r="Q84" s="3183">
        <v>3088131</v>
      </c>
      <c r="R84" s="3186">
        <v>45127</v>
      </c>
    </row>
    <row r="85" spans="1:18" ht="29.25" thickBot="1">
      <c r="A85" s="3197">
        <v>84</v>
      </c>
      <c r="B85" s="3197" t="s">
        <v>3427</v>
      </c>
      <c r="C85" s="3197" t="s">
        <v>3631</v>
      </c>
      <c r="D85" s="3197" t="s">
        <v>3548</v>
      </c>
      <c r="E85" s="3197" t="s">
        <v>3456</v>
      </c>
      <c r="F85" s="3197" t="s">
        <v>3440</v>
      </c>
      <c r="G85" s="3197">
        <v>67.3</v>
      </c>
      <c r="H85" s="3197" t="s">
        <v>3406</v>
      </c>
      <c r="I85" s="3197">
        <v>6</v>
      </c>
      <c r="J85" s="3197">
        <v>5</v>
      </c>
      <c r="K85" s="3197">
        <v>1979</v>
      </c>
      <c r="L85" s="3197" t="s">
        <v>633</v>
      </c>
      <c r="M85" s="3197" t="s">
        <v>633</v>
      </c>
      <c r="N85" s="3197" t="s">
        <v>633</v>
      </c>
      <c r="O85" s="3198">
        <v>60921</v>
      </c>
      <c r="P85" s="3197">
        <v>59496</v>
      </c>
      <c r="Q85" s="3197">
        <v>4004081</v>
      </c>
      <c r="R85" s="3199">
        <v>45120</v>
      </c>
    </row>
    <row r="86" spans="1:18" ht="29.25" thickBot="1">
      <c r="A86" s="3197">
        <v>85</v>
      </c>
      <c r="B86" s="3197" t="s">
        <v>3427</v>
      </c>
      <c r="C86" s="3197" t="s">
        <v>3632</v>
      </c>
      <c r="D86" s="3197" t="s">
        <v>3550</v>
      </c>
      <c r="E86" s="3197" t="s">
        <v>3606</v>
      </c>
      <c r="F86" s="3197" t="s">
        <v>3440</v>
      </c>
      <c r="G86" s="3197">
        <v>68.86</v>
      </c>
      <c r="H86" s="3197" t="s">
        <v>3406</v>
      </c>
      <c r="I86" s="3197">
        <v>6</v>
      </c>
      <c r="J86" s="3197">
        <v>4</v>
      </c>
      <c r="K86" s="3197">
        <v>1987</v>
      </c>
      <c r="L86" s="3197" t="s">
        <v>633</v>
      </c>
      <c r="M86" s="3197" t="s">
        <v>633</v>
      </c>
      <c r="N86" s="3197" t="s">
        <v>633</v>
      </c>
      <c r="O86" s="3198">
        <v>71159</v>
      </c>
      <c r="P86" s="3197">
        <v>71206</v>
      </c>
      <c r="Q86" s="3197">
        <v>4903245</v>
      </c>
      <c r="R86" s="3199">
        <v>45112</v>
      </c>
    </row>
    <row r="87" spans="1:18" ht="15" hidden="1" thickBot="1">
      <c r="A87" s="3197">
        <v>86</v>
      </c>
      <c r="B87" s="3197" t="s">
        <v>3427</v>
      </c>
      <c r="C87" s="3197" t="s">
        <v>3633</v>
      </c>
      <c r="D87" s="3197" t="s">
        <v>3550</v>
      </c>
      <c r="E87" s="3197" t="s">
        <v>3456</v>
      </c>
      <c r="F87" s="3197" t="s">
        <v>3431</v>
      </c>
      <c r="G87" s="3197">
        <v>41.07</v>
      </c>
      <c r="H87" s="3197" t="s">
        <v>3406</v>
      </c>
      <c r="I87" s="3197" t="s">
        <v>3568</v>
      </c>
      <c r="J87" s="3197">
        <v>6</v>
      </c>
      <c r="K87" s="3197" t="s">
        <v>633</v>
      </c>
      <c r="L87" s="3197">
        <v>1992</v>
      </c>
      <c r="M87" s="3197" t="s">
        <v>633</v>
      </c>
      <c r="N87" s="3197" t="s">
        <v>633</v>
      </c>
      <c r="O87" s="3198">
        <v>58924</v>
      </c>
      <c r="P87" s="3197">
        <v>58462</v>
      </c>
      <c r="Q87" s="3197">
        <v>2401034</v>
      </c>
      <c r="R87" s="3199">
        <v>45108</v>
      </c>
    </row>
    <row r="88" spans="1:18" ht="15" thickBot="1">
      <c r="A88" s="3197">
        <v>87</v>
      </c>
      <c r="B88" s="3197" t="s">
        <v>3427</v>
      </c>
      <c r="C88" s="3197" t="s">
        <v>3634</v>
      </c>
      <c r="D88" s="3197" t="s">
        <v>3550</v>
      </c>
      <c r="E88" s="3197" t="s">
        <v>3456</v>
      </c>
      <c r="F88" s="3197" t="s">
        <v>3431</v>
      </c>
      <c r="G88" s="3197">
        <v>68.33</v>
      </c>
      <c r="H88" s="3197" t="s">
        <v>3406</v>
      </c>
      <c r="I88" s="3197">
        <v>6</v>
      </c>
      <c r="J88" s="3197">
        <v>3</v>
      </c>
      <c r="K88" s="3197">
        <v>1987</v>
      </c>
      <c r="L88" s="3197" t="s">
        <v>633</v>
      </c>
      <c r="M88" s="3197" t="s">
        <v>633</v>
      </c>
      <c r="N88" s="3197" t="s">
        <v>633</v>
      </c>
      <c r="O88" s="3198">
        <v>72882</v>
      </c>
      <c r="P88" s="3197">
        <v>70621</v>
      </c>
      <c r="Q88" s="3197">
        <v>4825533</v>
      </c>
      <c r="R88" s="3199">
        <v>45063</v>
      </c>
    </row>
    <row r="89" spans="1:18" ht="29.25" thickBot="1">
      <c r="A89" s="3183">
        <v>88</v>
      </c>
      <c r="B89" s="3183" t="s">
        <v>3427</v>
      </c>
      <c r="C89" s="3183" t="s">
        <v>3635</v>
      </c>
      <c r="D89" s="3183" t="s">
        <v>3436</v>
      </c>
      <c r="E89" s="3183" t="s">
        <v>3456</v>
      </c>
      <c r="F89" s="3183" t="s">
        <v>3440</v>
      </c>
      <c r="G89" s="3183">
        <v>66.150000000000006</v>
      </c>
      <c r="H89" s="3183" t="s">
        <v>3406</v>
      </c>
      <c r="I89" s="3183">
        <v>18</v>
      </c>
      <c r="J89" s="3183">
        <v>4</v>
      </c>
      <c r="K89" s="3183">
        <v>1995</v>
      </c>
      <c r="L89" s="3183" t="s">
        <v>633</v>
      </c>
      <c r="M89" s="3183" t="s">
        <v>633</v>
      </c>
      <c r="N89" s="3183" t="s">
        <v>633</v>
      </c>
      <c r="O89" s="3185">
        <v>70295</v>
      </c>
      <c r="P89" s="3183">
        <v>67197</v>
      </c>
      <c r="Q89" s="3183">
        <v>4445082</v>
      </c>
      <c r="R89" s="3186">
        <v>45057</v>
      </c>
    </row>
    <row r="90" spans="1:18" ht="15" hidden="1" thickBot="1">
      <c r="A90" s="3183">
        <v>89</v>
      </c>
      <c r="B90" s="3183" t="s">
        <v>3427</v>
      </c>
      <c r="C90" s="3183" t="s">
        <v>3636</v>
      </c>
      <c r="D90" s="3183" t="s">
        <v>3436</v>
      </c>
      <c r="E90" s="3183" t="s">
        <v>3456</v>
      </c>
      <c r="F90" s="3183" t="s">
        <v>3431</v>
      </c>
      <c r="G90" s="3183">
        <v>63.52</v>
      </c>
      <c r="H90" s="3183" t="s">
        <v>3406</v>
      </c>
      <c r="I90" s="3183">
        <v>12</v>
      </c>
      <c r="J90" s="3183">
        <v>7</v>
      </c>
      <c r="K90" s="3183" t="s">
        <v>633</v>
      </c>
      <c r="L90" s="3183">
        <v>1995</v>
      </c>
      <c r="M90" s="3183" t="s">
        <v>633</v>
      </c>
      <c r="N90" s="3183" t="s">
        <v>633</v>
      </c>
      <c r="O90" s="3185">
        <v>64547</v>
      </c>
      <c r="P90" s="3183">
        <v>61818</v>
      </c>
      <c r="Q90" s="3183">
        <v>3926679</v>
      </c>
      <c r="R90" s="3186">
        <v>45051</v>
      </c>
    </row>
    <row r="91" spans="1:18" ht="15" thickBot="1">
      <c r="A91" s="3183">
        <v>90</v>
      </c>
      <c r="B91" s="3183" t="s">
        <v>3427</v>
      </c>
      <c r="C91" s="3183" t="s">
        <v>3637</v>
      </c>
      <c r="D91" s="3183" t="s">
        <v>3436</v>
      </c>
      <c r="E91" s="3183" t="s">
        <v>3456</v>
      </c>
      <c r="F91" s="3183" t="s">
        <v>3431</v>
      </c>
      <c r="G91" s="3183">
        <v>58.46</v>
      </c>
      <c r="H91" s="3183" t="s">
        <v>3406</v>
      </c>
      <c r="I91" s="3183">
        <v>18</v>
      </c>
      <c r="J91" s="3183">
        <v>12</v>
      </c>
      <c r="K91" s="3183">
        <v>1995</v>
      </c>
      <c r="L91" s="3183" t="s">
        <v>633</v>
      </c>
      <c r="M91" s="3183" t="s">
        <v>633</v>
      </c>
      <c r="N91" s="3183" t="s">
        <v>633</v>
      </c>
      <c r="O91" s="3185">
        <v>77403</v>
      </c>
      <c r="P91" s="3183">
        <v>72546</v>
      </c>
      <c r="Q91" s="3183">
        <v>4241039</v>
      </c>
      <c r="R91" s="3186">
        <v>45042</v>
      </c>
    </row>
    <row r="92" spans="1:18" ht="15" thickBot="1">
      <c r="A92" s="3197">
        <v>91</v>
      </c>
      <c r="B92" s="3197" t="s">
        <v>3427</v>
      </c>
      <c r="C92" s="3197" t="s">
        <v>3638</v>
      </c>
      <c r="D92" s="3197" t="s">
        <v>3436</v>
      </c>
      <c r="E92" s="3197" t="s">
        <v>3456</v>
      </c>
      <c r="F92" s="3197" t="s">
        <v>3431</v>
      </c>
      <c r="G92" s="3197">
        <v>58.05</v>
      </c>
      <c r="H92" s="3197" t="s">
        <v>3406</v>
      </c>
      <c r="I92" s="3197">
        <v>6</v>
      </c>
      <c r="J92" s="3197">
        <v>3</v>
      </c>
      <c r="K92" s="3197">
        <v>1994</v>
      </c>
      <c r="L92" s="3197" t="s">
        <v>633</v>
      </c>
      <c r="M92" s="3197" t="s">
        <v>633</v>
      </c>
      <c r="N92" s="3197" t="s">
        <v>633</v>
      </c>
      <c r="O92" s="3198">
        <v>67183</v>
      </c>
      <c r="P92" s="3197">
        <v>64625</v>
      </c>
      <c r="Q92" s="3197">
        <v>3751481</v>
      </c>
      <c r="R92" s="3199">
        <v>45034</v>
      </c>
    </row>
    <row r="93" spans="1:18" ht="15" hidden="1" thickBot="1">
      <c r="A93" s="3197">
        <v>92</v>
      </c>
      <c r="B93" s="3197" t="s">
        <v>3427</v>
      </c>
      <c r="C93" s="3197" t="s">
        <v>3639</v>
      </c>
      <c r="D93" s="3197" t="s">
        <v>3550</v>
      </c>
      <c r="E93" s="3197" t="s">
        <v>3456</v>
      </c>
      <c r="F93" s="3197" t="s">
        <v>3431</v>
      </c>
      <c r="G93" s="3197">
        <v>68.47</v>
      </c>
      <c r="H93" s="3197" t="s">
        <v>3406</v>
      </c>
      <c r="I93" s="3197">
        <v>6</v>
      </c>
      <c r="J93" s="3197">
        <v>2</v>
      </c>
      <c r="K93" s="3197">
        <v>2000</v>
      </c>
      <c r="L93" s="3197" t="s">
        <v>633</v>
      </c>
      <c r="M93" s="3197" t="s">
        <v>633</v>
      </c>
      <c r="N93" s="3197" t="s">
        <v>633</v>
      </c>
      <c r="O93" s="3198">
        <v>87411</v>
      </c>
      <c r="P93" s="3197">
        <v>76180</v>
      </c>
      <c r="Q93" s="3197">
        <v>5216045</v>
      </c>
      <c r="R93" s="3199">
        <v>45024</v>
      </c>
    </row>
    <row r="94" spans="1:18" ht="29.25" hidden="1" thickBot="1">
      <c r="A94" s="3183">
        <v>93</v>
      </c>
      <c r="B94" s="3183" t="s">
        <v>3427</v>
      </c>
      <c r="C94" s="3183" t="s">
        <v>3640</v>
      </c>
      <c r="D94" s="3183" t="s">
        <v>3436</v>
      </c>
      <c r="E94" s="3183" t="s">
        <v>3456</v>
      </c>
      <c r="F94" s="3183" t="s">
        <v>3440</v>
      </c>
      <c r="G94" s="3183">
        <v>48.08</v>
      </c>
      <c r="H94" s="3183" t="s">
        <v>3406</v>
      </c>
      <c r="I94" s="3183" t="s">
        <v>3457</v>
      </c>
      <c r="J94" s="3183">
        <v>17</v>
      </c>
      <c r="K94" s="3183" t="s">
        <v>633</v>
      </c>
      <c r="L94" s="3183">
        <v>1995</v>
      </c>
      <c r="M94" s="3183" t="s">
        <v>633</v>
      </c>
      <c r="N94" s="3183" t="s">
        <v>633</v>
      </c>
      <c r="O94" s="3185">
        <v>64476</v>
      </c>
      <c r="P94" s="3183">
        <v>60506</v>
      </c>
      <c r="Q94" s="3183">
        <v>2909128</v>
      </c>
      <c r="R94" s="3186">
        <v>44995</v>
      </c>
    </row>
    <row r="95" spans="1:18" ht="15" hidden="1" thickBot="1">
      <c r="A95" s="3197">
        <v>94</v>
      </c>
      <c r="B95" s="3197" t="s">
        <v>3427</v>
      </c>
      <c r="C95" s="3197" t="s">
        <v>3641</v>
      </c>
      <c r="D95" s="3197" t="s">
        <v>3550</v>
      </c>
      <c r="E95" s="3197" t="s">
        <v>3456</v>
      </c>
      <c r="F95" s="3197" t="s">
        <v>3431</v>
      </c>
      <c r="G95" s="3197">
        <v>40.04</v>
      </c>
      <c r="H95" s="3197" t="s">
        <v>3406</v>
      </c>
      <c r="I95" s="3197">
        <v>6</v>
      </c>
      <c r="J95" s="3197">
        <v>6</v>
      </c>
      <c r="K95" s="3197" t="s">
        <v>633</v>
      </c>
      <c r="L95" s="3197">
        <v>1985</v>
      </c>
      <c r="M95" s="3197" t="s">
        <v>633</v>
      </c>
      <c r="N95" s="3197" t="s">
        <v>633</v>
      </c>
      <c r="O95" s="3198">
        <v>60689</v>
      </c>
      <c r="P95" s="3197">
        <v>58446</v>
      </c>
      <c r="Q95" s="3197">
        <v>2340178</v>
      </c>
      <c r="R95" s="3199">
        <v>44980</v>
      </c>
    </row>
    <row r="96" spans="1:18" ht="15" thickBot="1">
      <c r="A96" s="3183">
        <v>95</v>
      </c>
      <c r="B96" s="3183" t="s">
        <v>3427</v>
      </c>
      <c r="C96" s="3183" t="s">
        <v>3642</v>
      </c>
      <c r="D96" s="3183" t="s">
        <v>3436</v>
      </c>
      <c r="E96" s="3183" t="s">
        <v>3456</v>
      </c>
      <c r="F96" s="3183" t="s">
        <v>3431</v>
      </c>
      <c r="G96" s="3183">
        <v>66.150000000000006</v>
      </c>
      <c r="H96" s="3183" t="s">
        <v>3406</v>
      </c>
      <c r="I96" s="3183">
        <v>18</v>
      </c>
      <c r="J96" s="3183">
        <v>15</v>
      </c>
      <c r="K96" s="3183">
        <v>1995</v>
      </c>
      <c r="L96" s="3183" t="s">
        <v>633</v>
      </c>
      <c r="M96" s="3183" t="s">
        <v>633</v>
      </c>
      <c r="N96" s="3183" t="s">
        <v>633</v>
      </c>
      <c r="O96" s="3185">
        <v>72411</v>
      </c>
      <c r="P96" s="3183">
        <v>70745</v>
      </c>
      <c r="Q96" s="3183">
        <v>4679782</v>
      </c>
      <c r="R96" s="3186">
        <v>44980</v>
      </c>
    </row>
    <row r="97" spans="1:18" ht="15" thickBot="1">
      <c r="A97" s="3197">
        <v>96</v>
      </c>
      <c r="B97" s="3197" t="s">
        <v>3427</v>
      </c>
      <c r="C97" s="3197" t="s">
        <v>3643</v>
      </c>
      <c r="D97" s="3197" t="s">
        <v>3550</v>
      </c>
      <c r="E97" s="3197" t="s">
        <v>3456</v>
      </c>
      <c r="F97" s="3197" t="s">
        <v>3431</v>
      </c>
      <c r="G97" s="3197">
        <v>51.37</v>
      </c>
      <c r="H97" s="3197" t="s">
        <v>3406</v>
      </c>
      <c r="I97" s="3197">
        <v>6</v>
      </c>
      <c r="J97" s="3197">
        <v>5</v>
      </c>
      <c r="K97" s="3197">
        <v>1989</v>
      </c>
      <c r="L97" s="3197" t="s">
        <v>633</v>
      </c>
      <c r="M97" s="3197" t="s">
        <v>633</v>
      </c>
      <c r="N97" s="3197" t="s">
        <v>633</v>
      </c>
      <c r="O97" s="3198">
        <v>0</v>
      </c>
      <c r="P97" s="3197">
        <v>61008</v>
      </c>
      <c r="Q97" s="3197">
        <v>3133981</v>
      </c>
      <c r="R97" s="3199">
        <v>44978</v>
      </c>
    </row>
    <row r="98" spans="1:18" ht="29.25" hidden="1" thickBot="1">
      <c r="A98" s="3183">
        <v>97</v>
      </c>
      <c r="B98" s="3183" t="s">
        <v>3427</v>
      </c>
      <c r="C98" s="3183" t="s">
        <v>3644</v>
      </c>
      <c r="D98" s="3183" t="s">
        <v>3436</v>
      </c>
      <c r="E98" s="3183" t="s">
        <v>3456</v>
      </c>
      <c r="F98" s="3183" t="s">
        <v>3440</v>
      </c>
      <c r="G98" s="3183">
        <v>58.46</v>
      </c>
      <c r="H98" s="3183" t="s">
        <v>3406</v>
      </c>
      <c r="I98" s="3183">
        <v>18</v>
      </c>
      <c r="J98" s="3183">
        <v>9</v>
      </c>
      <c r="K98" s="3183" t="s">
        <v>633</v>
      </c>
      <c r="L98" s="3183">
        <v>1995</v>
      </c>
      <c r="M98" s="3183" t="s">
        <v>633</v>
      </c>
      <c r="N98" s="3183" t="s">
        <v>633</v>
      </c>
      <c r="O98" s="3185">
        <v>74068</v>
      </c>
      <c r="P98" s="3183">
        <v>73594</v>
      </c>
      <c r="Q98" s="3183">
        <v>4302305</v>
      </c>
      <c r="R98" s="3186">
        <v>44975</v>
      </c>
    </row>
    <row r="99" spans="1:18" ht="29.25" hidden="1" thickBot="1">
      <c r="A99" s="3197">
        <v>98</v>
      </c>
      <c r="B99" s="3197" t="s">
        <v>3427</v>
      </c>
      <c r="C99" s="3197" t="s">
        <v>3645</v>
      </c>
      <c r="D99" s="3197" t="s">
        <v>3555</v>
      </c>
      <c r="E99" s="3197" t="s">
        <v>3456</v>
      </c>
      <c r="F99" s="3197" t="s">
        <v>3440</v>
      </c>
      <c r="G99" s="3197">
        <v>41.51</v>
      </c>
      <c r="H99" s="3197" t="s">
        <v>3406</v>
      </c>
      <c r="I99" s="3197">
        <v>6</v>
      </c>
      <c r="J99" s="3197">
        <v>5</v>
      </c>
      <c r="K99" s="3197" t="s">
        <v>633</v>
      </c>
      <c r="L99" s="3197">
        <v>1988</v>
      </c>
      <c r="M99" s="3197" t="s">
        <v>633</v>
      </c>
      <c r="N99" s="3197" t="s">
        <v>633</v>
      </c>
      <c r="O99" s="3198">
        <v>60708</v>
      </c>
      <c r="P99" s="3197">
        <v>60948</v>
      </c>
      <c r="Q99" s="3197">
        <v>2529951</v>
      </c>
      <c r="R99" s="3199">
        <v>44964</v>
      </c>
    </row>
    <row r="100" spans="1:18" ht="29.25" hidden="1" thickBot="1">
      <c r="A100" s="3197">
        <v>99</v>
      </c>
      <c r="B100" s="3197" t="s">
        <v>3427</v>
      </c>
      <c r="C100" s="3197" t="s">
        <v>3646</v>
      </c>
      <c r="D100" s="3197" t="s">
        <v>3550</v>
      </c>
      <c r="E100" s="3197" t="s">
        <v>3456</v>
      </c>
      <c r="F100" s="3197" t="s">
        <v>3440</v>
      </c>
      <c r="G100" s="3197">
        <v>37.72</v>
      </c>
      <c r="H100" s="3197" t="s">
        <v>3406</v>
      </c>
      <c r="I100" s="3197">
        <v>6</v>
      </c>
      <c r="J100" s="3197">
        <v>2</v>
      </c>
      <c r="K100" s="3197" t="s">
        <v>633</v>
      </c>
      <c r="L100" s="3197">
        <v>1987</v>
      </c>
      <c r="M100" s="3197" t="s">
        <v>633</v>
      </c>
      <c r="N100" s="3197" t="s">
        <v>633</v>
      </c>
      <c r="O100" s="3198">
        <v>60843</v>
      </c>
      <c r="P100" s="3197">
        <v>58387</v>
      </c>
      <c r="Q100" s="3197">
        <v>2202358</v>
      </c>
      <c r="R100" s="3199">
        <v>44955</v>
      </c>
    </row>
  </sheetData>
  <autoFilter ref="A1:R100" xr:uid="{69E05698-438C-4698-A142-1A878304A51E}">
    <filterColumn colId="10">
      <filters>
        <filter val="1979"/>
        <filter val="1981"/>
        <filter val="1982"/>
        <filter val="1983"/>
        <filter val="1985"/>
        <filter val="1986"/>
        <filter val="1987"/>
        <filter val="1988"/>
        <filter val="1989"/>
        <filter val="1991"/>
        <filter val="1992"/>
        <filter val="1994"/>
        <filter val="1995"/>
      </filters>
    </filterColumn>
  </autoFilter>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估价结果一览表</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房地产市场价值</v>
      </c>
      <c r="I2" s="3220"/>
    </row>
    <row r="3" spans="1:9" ht="15">
      <c r="A3" s="3215"/>
      <c r="B3" s="3215"/>
      <c r="C3" s="3215"/>
      <c r="D3" s="801" t="s">
        <v>925</v>
      </c>
      <c r="E3" s="801" t="s">
        <v>931</v>
      </c>
      <c r="F3" s="801" t="s">
        <v>925</v>
      </c>
      <c r="G3" s="801" t="s">
        <v>926</v>
      </c>
      <c r="H3" s="801" t="s">
        <v>925</v>
      </c>
      <c r="I3" s="801" t="s">
        <v>926</v>
      </c>
    </row>
    <row r="4" spans="1:9" ht="15">
      <c r="A4" s="1403" t="str">
        <f>项目基本情况!S2</f>
        <v>北京市房地产</v>
      </c>
      <c r="B4" s="801">
        <f>项目基本情况!C17</f>
        <v>63.97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5" t="s">
        <v>927</v>
      </c>
      <c r="B5" s="3215"/>
      <c r="C5" s="3215"/>
      <c r="D5" s="3215" t="e">
        <f ca="1">结果表!D119</f>
        <v>#REF!</v>
      </c>
      <c r="E5" s="3215"/>
      <c r="F5" s="3215" t="e">
        <f ca="1">结果表!F119</f>
        <v>#REF!</v>
      </c>
      <c r="G5" s="3215"/>
      <c r="H5" s="3215" t="e">
        <f ca="1">结果表!H119</f>
        <v>#REF!</v>
      </c>
      <c r="I5" s="3215"/>
    </row>
    <row r="6" spans="1:9" ht="15.75">
      <c r="A6" s="3214" t="str">
        <f>结果表!A120</f>
        <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75">
      <c r="A8" s="3214" t="str">
        <f>结果表!A122</f>
        <v/>
      </c>
      <c r="B8" s="3214"/>
      <c r="C8" s="3214"/>
      <c r="D8" s="3214" t="e">
        <f ca="1">结果表!D122</f>
        <v>#REF!</v>
      </c>
      <c r="E8" s="3214"/>
      <c r="F8" s="3214"/>
      <c r="G8" s="3214"/>
      <c r="H8" s="3214"/>
      <c r="I8" s="3214"/>
    </row>
    <row r="9" spans="1:9" ht="15">
      <c r="A9" s="3215" t="s">
        <v>927</v>
      </c>
      <c r="B9" s="3215"/>
      <c r="C9" s="3215"/>
      <c r="D9" s="3215" t="e">
        <f ca="1">结果表!D123</f>
        <v>#REF!</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7" t="s">
        <v>949</v>
      </c>
      <c r="B1" s="3227"/>
      <c r="C1" s="3227"/>
      <c r="D1" s="3227"/>
    </row>
    <row r="2" spans="1:4" ht="18">
      <c r="A2" s="3228" t="s">
        <v>933</v>
      </c>
      <c r="B2" s="3228"/>
      <c r="C2" s="3228"/>
      <c r="D2" s="322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8" t="s">
        <v>939</v>
      </c>
      <c r="B6" s="3228"/>
      <c r="C6" s="3228"/>
      <c r="D6" s="322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9"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1" t="str">
        <f>IF(项目基本情况!B8="抵押","3.抵押双方在办理抵押登记手续时，应使用本公司出具的正式《房地产评估报告》，特提醒报告使用者注意。","——")</f>
        <v>——</v>
      </c>
      <c r="B13" s="3226"/>
      <c r="C13" s="3226"/>
      <c r="D13" s="3226"/>
    </row>
    <row r="14" spans="1:4" ht="15.75" customHeight="1">
      <c r="A14" s="3221" t="str">
        <f>IF(项目基本情况!B8="抵押","4.本次评估估价师所知悉的法定优先受偿款情况说明如下：","——")</f>
        <v>——</v>
      </c>
      <c r="B14" s="3226"/>
      <c r="C14" s="3226"/>
      <c r="D14" s="3226"/>
    </row>
    <row r="15" spans="1:4" ht="42" customHeight="1">
      <c r="A15" s="3221" t="str">
        <f>IF(项目基本情况!B8="抵押","（1）"&amp;CONCATENATE(项目基本情况!L20,项目基本情况!L21,项目基本情况!L22),"——")</f>
        <v>——</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5" t="s">
        <v>956</v>
      </c>
      <c r="B15" s="3230" t="s">
        <v>109</v>
      </c>
      <c r="C15" s="3231"/>
    </row>
    <row r="16" spans="1:7" ht="13.5">
      <c r="A16" s="3236"/>
      <c r="B16" s="3230" t="s">
        <v>42</v>
      </c>
      <c r="C16" s="3231"/>
    </row>
    <row r="17" spans="1:3" ht="13.5">
      <c r="A17" s="3236"/>
      <c r="B17" s="3233" t="s">
        <v>957</v>
      </c>
      <c r="C17" s="1429" t="s">
        <v>956</v>
      </c>
    </row>
    <row r="18" spans="1:3" ht="13.5">
      <c r="A18" s="3236"/>
      <c r="B18" s="3233"/>
      <c r="C18" s="1429" t="s">
        <v>958</v>
      </c>
    </row>
    <row r="19" spans="1:3" ht="13.5">
      <c r="A19" s="3236"/>
      <c r="B19" s="3233"/>
      <c r="C19" s="1429" t="s">
        <v>959</v>
      </c>
    </row>
    <row r="20" spans="1:3" ht="13.5">
      <c r="A20" s="3237"/>
      <c r="B20" s="3232" t="s">
        <v>960</v>
      </c>
      <c r="C20" s="3231"/>
    </row>
    <row r="21" spans="1:3" ht="13.5">
      <c r="A21" s="1430" t="s">
        <v>961</v>
      </c>
      <c r="B21" s="1431"/>
      <c r="C21" s="1432"/>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9" t="s">
        <v>967</v>
      </c>
    </row>
    <row r="26" spans="1:3" ht="13.5">
      <c r="A26" s="3234"/>
      <c r="B26" s="3233"/>
      <c r="C26" s="1429" t="s">
        <v>968</v>
      </c>
    </row>
    <row r="27" spans="1:3" ht="13.5">
      <c r="A27" s="3234"/>
      <c r="B27" s="3233"/>
      <c r="C27" s="1429" t="s">
        <v>969</v>
      </c>
    </row>
    <row r="28" spans="1:3" ht="13.5">
      <c r="A28" s="3234"/>
      <c r="B28" s="3233"/>
      <c r="C28" s="1429" t="s">
        <v>970</v>
      </c>
    </row>
    <row r="29" spans="1:3" ht="13.5">
      <c r="A29" s="3234"/>
      <c r="B29" s="3233"/>
      <c r="C29" s="1429" t="s">
        <v>971</v>
      </c>
    </row>
    <row r="30" spans="1:3" ht="13.5">
      <c r="A30" s="3234"/>
      <c r="B30" s="3233"/>
      <c r="C30" s="1429" t="s">
        <v>972</v>
      </c>
    </row>
    <row r="31" spans="1:3" ht="13.5">
      <c r="A31" s="3234"/>
      <c r="B31" s="3233"/>
      <c r="C31" s="1429" t="s">
        <v>973</v>
      </c>
    </row>
    <row r="32" spans="1:3" ht="13.5">
      <c r="A32" s="3234"/>
      <c r="B32" s="3233"/>
      <c r="C32" s="1429" t="s">
        <v>974</v>
      </c>
    </row>
    <row r="33" spans="1:3" ht="13.5">
      <c r="A33" s="3234"/>
      <c r="B33" s="323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45832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9"/>
      <c r="E18" s="3240" t="s">
        <v>2162</v>
      </c>
      <c r="F18" s="3239"/>
      <c r="G18" s="323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2025-06-24T07:42:10Z</dcterms:modified>
</cp:coreProperties>
</file>