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土地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38" hidden="1">土地案例!$A$34:$S$52</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2" i="1" l="1"/>
  <c r="I21" i="1"/>
  <c r="I20" i="1" l="1"/>
  <c r="E59" i="21" l="1"/>
  <c r="F59" i="21" s="1"/>
  <c r="G59" i="21" s="1"/>
  <c r="H59" i="21" s="1"/>
  <c r="I59" i="21" s="1"/>
  <c r="J59" i="21" s="1"/>
  <c r="D59" i="21"/>
  <c r="I46" i="39"/>
  <c r="G46" i="39"/>
  <c r="E46" i="39"/>
  <c r="I38" i="39"/>
  <c r="G38" i="39"/>
  <c r="E38" i="39"/>
  <c r="I11" i="39"/>
  <c r="E11" i="39"/>
  <c r="I9" i="39"/>
  <c r="G9" i="39"/>
  <c r="E9" i="39"/>
  <c r="E71" i="39"/>
  <c r="F71" i="39" s="1"/>
  <c r="G71" i="39" s="1"/>
  <c r="H71" i="39" s="1"/>
  <c r="I71" i="39" s="1"/>
  <c r="J71" i="39" s="1"/>
  <c r="K71" i="39" s="1"/>
  <c r="L71" i="39" s="1"/>
  <c r="M71" i="39" s="1"/>
  <c r="N71" i="39" s="1"/>
  <c r="O71" i="39" s="1"/>
  <c r="D71" i="39"/>
  <c r="G7" i="39"/>
  <c r="I5" i="39"/>
  <c r="G5" i="39"/>
  <c r="E5" i="39"/>
  <c r="BI61" i="64"/>
  <c r="BH61" i="64"/>
  <c r="BG61" i="64"/>
  <c r="BF61" i="64"/>
  <c r="BC61" i="64"/>
  <c r="BB61" i="64"/>
  <c r="BA61" i="64"/>
  <c r="AR61" i="64"/>
  <c r="AS61" i="64" s="1"/>
  <c r="AQ61" i="64"/>
  <c r="AM61" i="64"/>
  <c r="AL61" i="64"/>
  <c r="AF61" i="64"/>
  <c r="AD61" i="64"/>
  <c r="X61" i="64"/>
  <c r="W61" i="64"/>
  <c r="BI60" i="64"/>
  <c r="BH60" i="64"/>
  <c r="BG60" i="64"/>
  <c r="BF60" i="64"/>
  <c r="BC60" i="64"/>
  <c r="BB60" i="64"/>
  <c r="BA60" i="64"/>
  <c r="AR60" i="64"/>
  <c r="AS60" i="64" s="1"/>
  <c r="AQ60" i="64"/>
  <c r="AM60" i="64"/>
  <c r="AL60" i="64"/>
  <c r="AF60" i="64"/>
  <c r="AD60" i="64"/>
  <c r="X60" i="64"/>
  <c r="W60" i="64"/>
  <c r="F20" i="63" l="1"/>
  <c r="F21" i="63"/>
  <c r="F23" i="63"/>
  <c r="F24" i="63"/>
  <c r="F25" i="63"/>
  <c r="F22" i="63"/>
  <c r="B12" i="63" l="1"/>
  <c r="K17" i="1" s="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5" i="61"/>
  <c r="D4" i="61"/>
  <c r="F3" i="61"/>
  <c r="F5" i="61"/>
  <c r="D3" i="61"/>
  <c r="D6" i="61"/>
  <c r="D7"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E109" i="39"/>
  <c r="F109" i="39" s="1"/>
  <c r="H31" i="39"/>
  <c r="AB31" i="39" s="1"/>
  <c r="F31" i="39"/>
  <c r="AA31" i="39" s="1"/>
  <c r="E103" i="39"/>
  <c r="H19" i="39"/>
  <c r="AB19" i="39" s="1"/>
  <c r="F19" i="39"/>
  <c r="S19" i="39" s="1"/>
  <c r="H17" i="39"/>
  <c r="U17" i="39" s="1"/>
  <c r="F17" i="39"/>
  <c r="AA17" i="39" s="1"/>
  <c r="J23" i="40"/>
  <c r="AC23" i="40" s="1"/>
  <c r="H42" i="39"/>
  <c r="AB42"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J25" i="39"/>
  <c r="W25" i="39" s="1"/>
  <c r="F25" i="39"/>
  <c r="S25" i="39" s="1"/>
  <c r="F15" i="39"/>
  <c r="S15" i="39" s="1"/>
  <c r="H15" i="39"/>
  <c r="U15" i="39" s="1"/>
  <c r="J15" i="39"/>
  <c r="W15" i="39" s="1"/>
  <c r="F11" i="39"/>
  <c r="AA11" i="39" s="1"/>
  <c r="H21" i="39"/>
  <c r="U21" i="39" s="1"/>
  <c r="F32" i="39"/>
  <c r="S32" i="39" s="1"/>
  <c r="W19" i="39"/>
  <c r="S42" i="39"/>
  <c r="W39" i="39"/>
  <c r="W8" i="39"/>
  <c r="W21" i="39"/>
  <c r="J11" i="39"/>
  <c r="W11" i="39" s="1"/>
  <c r="J32" i="39"/>
  <c r="AC32" i="39" s="1"/>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H41" i="39" l="1"/>
  <c r="AB41" i="39" s="1"/>
  <c r="G109" i="39"/>
  <c r="H109" i="39" s="1"/>
  <c r="I109" i="39" s="1"/>
  <c r="J109" i="39" s="1"/>
  <c r="K109" i="39" s="1"/>
  <c r="L109" i="39" s="1"/>
  <c r="M109" i="39" s="1"/>
  <c r="H34" i="39"/>
  <c r="AB34" i="39" s="1"/>
  <c r="J34" i="39"/>
  <c r="AC34" i="39" s="1"/>
  <c r="F7" i="15"/>
  <c r="F31" i="15" s="1"/>
  <c r="E17" i="1"/>
  <c r="E56" i="39"/>
  <c r="E66" i="39" s="1"/>
  <c r="C109" i="57"/>
  <c r="H103" i="57" s="1"/>
  <c r="U34" i="39"/>
  <c r="S41" i="39"/>
  <c r="AB39" i="39"/>
  <c r="U31" i="39"/>
  <c r="AC31" i="39"/>
  <c r="W29" i="39"/>
  <c r="F99" i="39"/>
  <c r="G99" i="39" s="1"/>
  <c r="H25" i="39"/>
  <c r="U25" i="39" s="1"/>
  <c r="U23" i="39"/>
  <c r="AB21" i="39"/>
  <c r="AA15" i="39"/>
  <c r="S42" i="21"/>
  <c r="U42" i="21"/>
  <c r="S40" i="21"/>
  <c r="AB38" i="21"/>
  <c r="S38" i="21"/>
  <c r="AB37" i="21"/>
  <c r="AC36" i="21"/>
  <c r="U35" i="21"/>
  <c r="AB34" i="21"/>
  <c r="W25" i="21"/>
  <c r="AC27" i="21"/>
  <c r="S23" i="21"/>
  <c r="S19" i="21"/>
  <c r="W17" i="21"/>
  <c r="AC15" i="21"/>
  <c r="AB15" i="21"/>
  <c r="B74" i="43"/>
  <c r="C27" i="39"/>
  <c r="S10" i="21"/>
  <c r="AC9" i="21"/>
  <c r="AA9" i="21"/>
  <c r="C2" i="31"/>
  <c r="I23" i="31" s="1"/>
  <c r="B23" i="3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18" i="1" l="1"/>
  <c r="I20" i="43"/>
  <c r="C20" i="43" s="1"/>
  <c r="C10" i="39"/>
  <c r="AB25"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 i="3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6" i="43"/>
  <c r="C33"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5"/>
  <c r="E2" i="21"/>
  <c r="E2" i="34"/>
  <c r="E2" i="36"/>
  <c r="C20" i="57"/>
  <c r="E2" i="33"/>
  <c r="E2" i="11"/>
  <c r="E2" i="37"/>
  <c r="C19" i="57"/>
  <c r="B2" i="36" l="1"/>
  <c r="B3" i="36" s="1"/>
  <c r="B2" i="34"/>
  <c r="B3" i="34" s="1"/>
  <c r="B2" i="35"/>
  <c r="B2" i="37"/>
  <c r="B3" i="37" s="1"/>
  <c r="B2" i="33"/>
  <c r="B3" i="33" s="1"/>
  <c r="B2" i="21"/>
  <c r="B3" i="21" s="1"/>
  <c r="C102" i="57"/>
  <c r="G20" i="57"/>
  <c r="C103" i="57"/>
  <c r="Q65" i="15"/>
  <c r="L58" i="15"/>
  <c r="L61" i="15" s="1"/>
  <c r="O68" i="39"/>
  <c r="O70" i="39" s="1"/>
  <c r="N70" i="39"/>
  <c r="O63" i="40"/>
  <c r="O65" i="40" s="1"/>
  <c r="N65" i="40"/>
  <c r="C20" i="9"/>
  <c r="C19" i="9"/>
  <c r="D19" i="57"/>
  <c r="C102" i="9" l="1"/>
  <c r="Q64" i="15"/>
  <c r="Q73" i="15" s="1"/>
  <c r="Q55" i="15"/>
  <c r="Q60" i="15" s="1"/>
  <c r="D22" i="57"/>
  <c r="D102" i="57"/>
  <c r="G19" i="57"/>
  <c r="C105" i="57" s="1"/>
  <c r="C101" i="9"/>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l="1"/>
  <c r="C6" i="11"/>
  <c r="C7" i="11" s="1"/>
  <c r="C5" i="11" s="1"/>
  <c r="D6" i="62"/>
  <c r="C6" i="62"/>
  <c r="C20" i="11" l="1"/>
  <c r="C23" i="11"/>
  <c r="M56" i="9"/>
  <c r="D130" i="9"/>
  <c r="D13" i="52" s="1"/>
  <c r="C28" i="11" l="1"/>
  <c r="C27" i="11" s="1"/>
  <c r="C25" i="11"/>
  <c r="C22" i="11" s="1"/>
  <c r="D35" i="9"/>
  <c r="C31" i="11" l="1"/>
  <c r="C52" i="11" s="1"/>
  <c r="B3" i="11" s="1"/>
  <c r="D34" i="9"/>
  <c r="D20" i="9"/>
  <c r="C56" i="11" l="1"/>
  <c r="C57" i="11" s="1"/>
  <c r="B2" i="11"/>
  <c r="G20" i="9"/>
  <c r="D102" i="9"/>
  <c r="I112" i="9"/>
  <c r="D114" i="9"/>
  <c r="D115" i="9" s="1"/>
  <c r="D19" i="9"/>
  <c r="G19" i="9" l="1"/>
  <c r="C32" i="9" s="1"/>
  <c r="C35" i="9" s="1"/>
  <c r="C34" i="9" s="1"/>
  <c r="D101" i="9"/>
  <c r="D22" i="9"/>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121" i="9" l="1"/>
  <c r="D107" i="9" s="1"/>
  <c r="I4" i="52" l="1"/>
  <c r="H121" i="9"/>
  <c r="C104" i="9"/>
  <c r="I103" i="9"/>
  <c r="D106" i="9" l="1"/>
  <c r="D112" i="9" s="1"/>
  <c r="C103" i="9"/>
  <c r="I102" i="9"/>
  <c r="H122" i="9"/>
  <c r="H5" i="52" s="1"/>
  <c r="H4" i="52"/>
  <c r="D9" i="50"/>
  <c r="B21" i="60" s="1"/>
  <c r="D30" i="50"/>
  <c r="D45" i="9" l="1"/>
  <c r="D28" i="50"/>
  <c r="D29" i="50" s="1"/>
  <c r="I110" i="9"/>
  <c r="M48" i="9"/>
  <c r="D7" i="50"/>
  <c r="D113" i="9"/>
  <c r="D117" i="9"/>
  <c r="D38" i="50" l="1"/>
  <c r="B62" i="60" s="1"/>
  <c r="I111" i="9"/>
  <c r="D44" i="50"/>
  <c r="I115" i="9"/>
  <c r="D23" i="50" s="1"/>
  <c r="B34" i="60" s="1"/>
  <c r="D8" i="50"/>
  <c r="B22" i="60" s="1"/>
  <c r="B19" i="60"/>
  <c r="D15" i="50"/>
  <c r="D36" i="50"/>
  <c r="D37" i="50" s="1"/>
  <c r="D125" i="9"/>
  <c r="D8" i="52" s="1"/>
  <c r="C93" i="9"/>
  <c r="C86" i="9" s="1"/>
  <c r="D52" i="9"/>
  <c r="C85" i="9"/>
  <c r="C95" i="9" s="1"/>
  <c r="C64" i="9"/>
  <c r="C63" i="9" s="1"/>
  <c r="C67" i="9" s="1"/>
  <c r="C68" i="9" s="1"/>
  <c r="D54" i="9" s="1"/>
  <c r="D53" i="9"/>
  <c r="D48" i="9" s="1"/>
  <c r="M52" i="9" s="1"/>
  <c r="D59" i="9"/>
  <c r="M55" i="9" s="1"/>
  <c r="D55" i="9"/>
  <c r="M53" i="9" s="1"/>
  <c r="C72" i="9"/>
  <c r="C78" i="9"/>
  <c r="C73" i="9" s="1"/>
  <c r="C79" i="9" l="1"/>
  <c r="C96" i="9"/>
  <c r="E96" i="9" s="1"/>
  <c r="E97" i="9" s="1"/>
  <c r="D126" i="9"/>
  <c r="D9" i="52" s="1"/>
  <c r="D17" i="50"/>
  <c r="C80" i="9"/>
  <c r="E80" i="9" s="1"/>
  <c r="E81" i="9" s="1"/>
  <c r="D16" i="50"/>
  <c r="B30" i="60" s="1"/>
  <c r="B29" i="60"/>
  <c r="C81" i="9" l="1"/>
  <c r="C97" i="9"/>
  <c r="D58" i="9" s="1"/>
  <c r="D56" i="9" s="1"/>
  <c r="M54" i="9" s="1"/>
  <c r="N57" i="9" s="1"/>
  <c r="P57" i="9" l="1"/>
  <c r="N59" i="9"/>
  <c r="N58" i="9"/>
  <c r="N61" i="9" l="1"/>
  <c r="N60" i="9"/>
  <c r="G121" i="9"/>
  <c r="F121" i="9" s="1"/>
  <c r="E121" i="9"/>
  <c r="D121" i="9" s="1"/>
  <c r="E4" i="52" l="1"/>
  <c r="B38" i="60" s="1"/>
  <c r="G4" i="52"/>
  <c r="B41" i="60" s="1"/>
  <c r="F4" i="52"/>
  <c r="B40" i="60" s="1"/>
  <c r="F122" i="9"/>
  <c r="F5" i="52" s="1"/>
  <c r="B42"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kz</author>
  </authors>
  <commentList>
    <comment ref="D57" authorId="0">
      <text>
        <r>
          <rPr>
            <sz val="9"/>
            <rFont val="宋体"/>
            <family val="3"/>
            <charset val="134"/>
          </rPr>
          <t xml:space="preserve">项目名称？
</t>
        </r>
      </text>
    </comment>
    <comment ref="AA58" authorId="1">
      <text>
        <r>
          <rPr>
            <sz val="9"/>
            <rFont val="宋体"/>
            <family val="3"/>
            <charset val="134"/>
          </rPr>
          <t>kz:
拆分单元格限价房、面积</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<sst xmlns="http://schemas.openxmlformats.org/spreadsheetml/2006/main" count="7426" uniqueCount="3368">
  <si>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</si>
  <si>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</si>
  <si>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</si>
  <si>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</si>
  <si>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</si>
  <si>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</si>
  <si>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</si>
  <si>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</si>
  <si>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</si>
  <si>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</si>
  <si>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</si>
  <si>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</si>
  <si>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</si>
  <si>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</si>
  <si>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</si>
  <si>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</si>
  <si>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</si>
  <si>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</si>
  <si>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</si>
  <si>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</si>
  <si>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</si>
  <si>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</si>
  <si>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</si>
  <si>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</si>
  <si>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</si>
  <si>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</si>
  <si>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</si>
  <si>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</si>
  <si>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</si>
  <si>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</si>
  <si>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</si>
  <si>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</si>
  <si>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</si>
  <si>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</si>
  <si>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</si>
  <si>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</si>
  <si>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</si>
  <si>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</si>
  <si>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</si>
  <si>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</si>
  <si>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</si>
  <si>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</si>
  <si>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</si>
  <si>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</si>
  <si>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</si>
  <si>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</si>
  <si>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</si>
  <si>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</si>
  <si>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</si>
  <si>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</si>
  <si>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</si>
  <si>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</si>
  <si>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</si>
  <si>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</si>
  <si>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</si>
  <si>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</si>
  <si>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</si>
  <si>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</si>
  <si>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</si>
  <si>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</si>
  <si>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</si>
  <si>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</si>
  <si>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</si>
  <si>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</si>
  <si>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</si>
  <si>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</si>
  <si>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</si>
  <si>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</si>
  <si>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</si>
  <si>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</si>
  <si>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</si>
  <si>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</si>
  <si>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</si>
  <si>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</si>
  <si>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</si>
  <si>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</si>
  <si>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</si>
  <si>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</si>
  <si>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</si>
  <si>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</si>
  <si>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</si>
  <si>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</si>
  <si>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</si>
  <si>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</si>
  <si>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</si>
  <si>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</si>
  <si>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</si>
  <si>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</si>
  <si>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</si>
  <si>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</si>
  <si>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</si>
  <si>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</si>
  <si>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</si>
  <si>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</si>
  <si>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</si>
  <si>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</si>
  <si>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</si>
  <si>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</si>
  <si>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</si>
  <si>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</si>
  <si>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</si>
  <si>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</si>
  <si>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</si>
  <si>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</si>
  <si>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</si>
  <si>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</si>
  <si>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</si>
  <si>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</si>
  <si>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</si>
  <si>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</si>
  <si>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</si>
  <si>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</si>
  <si>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</si>
  <si>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</si>
  <si>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</si>
  <si>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</si>
  <si>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</si>
  <si>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</si>
  <si>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</si>
  <si>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</si>
  <si>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</si>
  <si>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</si>
  <si>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</si>
  <si>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</si>
  <si>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</si>
  <si>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</si>
  <si>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</si>
  <si>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</si>
  <si>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</si>
  <si>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</si>
  <si>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</si>
  <si>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</si>
  <si>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</si>
  <si>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</si>
  <si>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</si>
  <si>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</si>
  <si>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</si>
  <si>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</si>
  <si>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</si>
  <si>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</si>
  <si>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</si>
  <si>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</si>
  <si>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</si>
  <si>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</si>
  <si>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</si>
  <si>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</si>
  <si>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</si>
  <si>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</si>
  <si>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</si>
  <si>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</si>
  <si>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</si>
  <si>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</si>
  <si>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</si>
  <si>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</si>
  <si>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</si>
  <si>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</si>
  <si>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</si>
  <si>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</si>
  <si>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</si>
  <si>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</si>
  <si>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</si>
  <si>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</si>
  <si>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</si>
  <si>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</si>
  <si>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</si>
  <si>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</si>
  <si>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</si>
  <si>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</si>
  <si>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</si>
  <si>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</si>
  <si>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</si>
  <si>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</si>
  <si>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</si>
  <si>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</si>
  <si>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</si>
  <si>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</si>
  <si>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</si>
  <si>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</si>
  <si>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</si>
  <si>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</si>
  <si>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</si>
  <si>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</si>
  <si>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</si>
  <si>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</si>
  <si>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</si>
  <si>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</si>
  <si>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</si>
  <si>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</si>
  <si>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</si>
  <si>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</si>
  <si>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</si>
  <si>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</si>
  <si>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</si>
  <si>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</si>
  <si>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</si>
  <si>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</si>
  <si>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</si>
  <si>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</si>
  <si>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</si>
  <si>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</si>
  <si>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</si>
  <si>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</si>
  <si>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</si>
  <si>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</si>
  <si>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</si>
  <si>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</si>
  <si>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</si>
  <si>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</si>
  <si>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</si>
  <si>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</si>
  <si>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</si>
  <si>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</si>
  <si>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</si>
  <si>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</si>
  <si>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</si>
  <si>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</si>
  <si>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</si>
  <si>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</si>
  <si>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</si>
  <si>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</si>
  <si>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</si>
  <si>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</si>
  <si>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</si>
  <si>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</si>
  <si>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</si>
  <si>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</si>
  <si>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</si>
  <si>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</si>
  <si>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</si>
  <si>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</si>
  <si>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</si>
  <si>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</si>
  <si>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</si>
  <si>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</si>
  <si>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</si>
  <si>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</si>
  <si>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</si>
  <si>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</si>
  <si>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</si>
  <si>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</si>
  <si>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</si>
  <si>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</si>
  <si>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</si>
  <si>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</si>
  <si>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</si>
  <si>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</si>
  <si>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</si>
  <si>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</si>
  <si>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</si>
  <si>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</si>
  <si>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</si>
  <si>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</si>
  <si>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</si>
  <si>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</si>
  <si>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</si>
  <si>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</si>
  <si>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</si>
  <si>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</si>
  <si>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</si>
  <si>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</si>
  <si>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</si>
  <si>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</si>
  <si>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</si>
  <si>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</si>
  <si>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</si>
  <si>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</si>
  <si>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</si>
  <si>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</si>
  <si>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</si>
  <si>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</si>
  <si>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</si>
  <si>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</si>
  <si>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</si>
  <si>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</si>
  <si>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</si>
  <si>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</si>
  <si>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</si>
  <si>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</si>
  <si>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</si>
  <si>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</si>
  <si>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</si>
  <si>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</si>
  <si>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</si>
  <si>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</si>
  <si>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</si>
  <si>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</si>
  <si>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</si>
  <si>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</si>
  <si>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</si>
  <si>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</si>
  <si>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</si>
  <si>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</si>
  <si>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</si>
  <si>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</si>
  <si>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</si>
  <si>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</si>
  <si>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</si>
  <si>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</si>
  <si>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</si>
  <si>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</si>
  <si>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</si>
  <si>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</si>
  <si>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</si>
  <si>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</si>
  <si>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</si>
  <si>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</si>
  <si>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</si>
  <si>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</si>
  <si>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</si>
  <si>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</si>
  <si>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</si>
  <si>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</si>
  <si>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</si>
  <si>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</si>
  <si>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</si>
  <si>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</si>
  <si>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</si>
  <si>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</si>
  <si>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</si>
  <si>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</si>
  <si>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</si>
  <si>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</si>
  <si>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</si>
  <si>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</si>
  <si>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</si>
  <si>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</si>
  <si>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</si>
  <si>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</si>
  <si>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</si>
  <si>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</si>
  <si>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</si>
  <si>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</si>
  <si>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</si>
  <si>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</si>
  <si>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</si>
  <si>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</si>
  <si>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</si>
  <si>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</si>
  <si>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</si>
  <si>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</si>
  <si>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</si>
  <si>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</si>
  <si>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</si>
  <si>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</si>
  <si>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</si>
  <si>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</si>
  <si>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</si>
  <si>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</si>
  <si>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</si>
  <si>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</si>
  <si>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</si>
  <si>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</si>
  <si>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</si>
  <si>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</si>
  <si>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</si>
  <si>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</si>
  <si>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</si>
  <si>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</si>
  <si>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</si>
  <si>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</si>
  <si>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</si>
  <si>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</si>
  <si>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</si>
  <si>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</si>
  <si>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</si>
  <si>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</si>
  <si>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</si>
  <si>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</si>
  <si>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</si>
  <si>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</si>
  <si>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</si>
  <si>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</si>
  <si>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</si>
  <si>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</si>
  <si>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</si>
  <si>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</si>
  <si>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</si>
  <si>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</si>
  <si>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</si>
  <si>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</si>
  <si>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</si>
  <si>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</si>
  <si>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</si>
  <si>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</si>
  <si>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</si>
  <si>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</si>
  <si>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</si>
  <si>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</si>
  <si>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</si>
  <si>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</si>
  <si>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</si>
  <si>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</si>
  <si>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</si>
  <si>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</si>
  <si>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</si>
  <si>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</si>
  <si>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</si>
  <si>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</si>
  <si>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</si>
  <si>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</si>
  <si>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</si>
  <si>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</si>
  <si>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</si>
  <si>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</si>
  <si>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</si>
  <si>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</si>
  <si>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</si>
  <si>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</si>
  <si>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</si>
  <si>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</si>
  <si>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</si>
  <si>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</si>
  <si>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</si>
  <si>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</si>
  <si>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</si>
  <si>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</si>
  <si>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</si>
  <si>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</si>
  <si>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</si>
  <si>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</si>
  <si>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</si>
  <si>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</si>
  <si>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</si>
  <si>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</si>
  <si>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</si>
  <si>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</si>
  <si>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</si>
  <si>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</si>
  <si>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</si>
  <si>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</si>
  <si>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</si>
  <si>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</si>
  <si>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</si>
  <si>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</si>
  <si>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</si>
  <si>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</si>
  <si>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</si>
  <si>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</si>
  <si>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</si>
  <si>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</si>
  <si>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</si>
  <si>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</si>
  <si>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</si>
  <si>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</si>
  <si>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</si>
  <si>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</si>
  <si>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</si>
  <si>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</si>
  <si>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</si>
  <si>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</si>
  <si>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</si>
  <si>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</si>
  <si>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</si>
  <si>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</si>
  <si>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</si>
  <si>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</si>
  <si>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</si>
  <si>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</si>
  <si>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</si>
  <si>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</si>
  <si>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</si>
  <si>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</si>
  <si>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</si>
  <si>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</si>
  <si>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</si>
  <si>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</si>
  <si>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</si>
  <si>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</si>
  <si>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</si>
  <si>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</si>
  <si>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</si>
  <si>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</si>
  <si>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</si>
  <si>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</si>
  <si>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</si>
  <si>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</si>
  <si>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</si>
  <si>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</si>
  <si>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</si>
  <si>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</si>
  <si>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</si>
  <si>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</si>
  <si>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</si>
  <si>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</si>
  <si>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</si>
  <si>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</si>
  <si>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</si>
  <si>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</si>
  <si>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</si>
  <si>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</si>
  <si>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</si>
  <si>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</si>
  <si>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</si>
  <si>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</si>
  <si>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</si>
  <si>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</si>
  <si>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</si>
  <si>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</si>
  <si>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</si>
  <si>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</si>
  <si>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</si>
  <si>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</si>
  <si>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</si>
  <si>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</si>
  <si>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</si>
  <si>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</si>
  <si>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</si>
  <si>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</si>
  <si>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</si>
  <si>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</si>
  <si>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</si>
  <si>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</si>
  <si>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</si>
  <si>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</si>
  <si>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</si>
  <si>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</si>
  <si>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</si>
  <si>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</si>
  <si>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</si>
  <si>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</si>
  <si>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</si>
  <si>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</si>
  <si>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</si>
  <si>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</si>
  <si>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</si>
  <si>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</si>
  <si>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</si>
  <si>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</si>
  <si>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</si>
  <si>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</si>
  <si>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</si>
  <si>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</si>
  <si>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</si>
  <si>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</si>
  <si>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</si>
  <si>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</si>
  <si>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</si>
  <si>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</si>
  <si>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</si>
  <si>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</si>
  <si>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</si>
  <si>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</si>
  <si>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</si>
  <si>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</si>
  <si>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</si>
  <si>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</si>
  <si>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</si>
  <si>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</si>
  <si>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</si>
  <si>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</si>
  <si>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</si>
  <si>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</si>
  <si>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</si>
  <si>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</si>
  <si>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</si>
  <si>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</si>
  <si>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</si>
  <si>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</si>
  <si>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</si>
  <si>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</si>
  <si>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</si>
  <si>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</si>
  <si>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</si>
  <si>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</si>
  <si>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</si>
  <si>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</si>
  <si>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</si>
  <si>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</si>
  <si>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</si>
  <si>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</si>
  <si>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</si>
  <si>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</si>
  <si>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</si>
  <si>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</si>
  <si>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</si>
  <si>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</si>
  <si>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</si>
  <si>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</si>
  <si>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</si>
  <si>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</si>
  <si>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</si>
  <si>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</si>
  <si>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</si>
  <si>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</si>
  <si>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</si>
  <si>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</si>
  <si>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</si>
  <si>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</si>
  <si>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</si>
  <si>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</si>
  <si>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</si>
  <si>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</si>
  <si>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</si>
  <si>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</si>
  <si>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</si>
  <si>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</si>
  <si>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</si>
  <si>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</si>
  <si>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</si>
  <si>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</si>
  <si>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</si>
  <si>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</si>
  <si>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</si>
  <si>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</si>
  <si>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</si>
  <si>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</si>
  <si>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</si>
  <si>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</si>
  <si>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</si>
  <si>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</si>
  <si>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</si>
  <si>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</si>
  <si>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</si>
  <si>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</si>
  <si>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</si>
  <si>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</si>
  <si>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</si>
  <si>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</si>
  <si>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</si>
  <si>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</si>
  <si>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</si>
  <si>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</si>
  <si>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</si>
  <si>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</si>
  <si>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</si>
  <si>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</si>
  <si>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</si>
  <si>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</si>
  <si>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</si>
  <si>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</si>
  <si>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</si>
  <si>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</si>
  <si>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</si>
  <si>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</si>
  <si>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</si>
  <si>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</si>
  <si>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</si>
  <si>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</si>
  <si>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</si>
  <si>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</si>
  <si>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</si>
  <si>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</si>
  <si>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</si>
  <si>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</si>
  <si>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</si>
  <si>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</si>
  <si>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</si>
  <si>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</si>
  <si>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</si>
  <si>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</si>
  <si>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</si>
  <si>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</si>
  <si>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</si>
  <si>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</si>
  <si>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</si>
  <si>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</si>
  <si>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</si>
  <si>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</si>
  <si>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</si>
  <si>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</si>
  <si>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</si>
  <si>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</si>
  <si>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</si>
  <si>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</si>
  <si>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</si>
  <si>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</si>
  <si>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</si>
  <si>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</si>
  <si>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</si>
  <si>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</si>
  <si>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</si>
  <si>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</si>
  <si>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</si>
  <si>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</si>
  <si>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</si>
  <si>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</si>
  <si>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</si>
  <si>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</si>
  <si>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</si>
  <si>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</si>
  <si>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</si>
  <si>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</si>
  <si>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</si>
  <si>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</si>
  <si>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</si>
  <si>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</si>
  <si>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</si>
  <si>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</si>
  <si>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</si>
  <si>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</si>
  <si>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</si>
  <si>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</si>
  <si>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</si>
  <si>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</si>
  <si>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</si>
  <si>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</si>
  <si>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</si>
  <si>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</si>
  <si>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</si>
  <si>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</si>
  <si>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</si>
  <si>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</si>
  <si>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</si>
  <si>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</si>
  <si>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</si>
  <si>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</si>
  <si>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</si>
  <si>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</si>
  <si>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</si>
  <si>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</si>
  <si>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</si>
  <si>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</si>
  <si>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</si>
  <si>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</si>
  <si>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</si>
  <si>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</si>
  <si>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</si>
  <si>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</si>
  <si>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</si>
  <si>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</si>
  <si>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</si>
  <si>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</si>
  <si>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</si>
  <si>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</si>
  <si>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</si>
  <si>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</si>
  <si>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</si>
  <si>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</si>
  <si>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</si>
  <si>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</si>
  <si>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</si>
  <si>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</si>
  <si>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</si>
  <si>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</si>
  <si>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</si>
  <si>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</si>
  <si>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</si>
  <si>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</si>
  <si>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</si>
  <si>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</si>
  <si>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</si>
  <si>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</si>
  <si>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</si>
  <si>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</si>
  <si>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</si>
  <si>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</si>
  <si>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</si>
  <si>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</si>
  <si>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</si>
  <si>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</si>
  <si>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</si>
  <si>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</si>
  <si>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</si>
  <si>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</si>
  <si>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</si>
  <si>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</si>
  <si>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</si>
  <si>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</si>
  <si>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</si>
  <si>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</si>
  <si>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</si>
  <si>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</si>
  <si>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</si>
  <si>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</si>
  <si>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</si>
  <si>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</si>
  <si>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</si>
  <si>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</si>
  <si>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</si>
  <si>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</si>
  <si>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</si>
  <si>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</si>
  <si>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</si>
  <si>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</si>
  <si>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</si>
  <si>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</si>
  <si>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</si>
  <si>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</si>
  <si>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</si>
  <si>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</si>
  <si>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</si>
  <si>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</si>
  <si>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</si>
  <si>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</si>
  <si>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</si>
  <si>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</si>
  <si>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</si>
  <si>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</si>
  <si>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</si>
  <si>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</si>
  <si>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</si>
  <si>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</si>
  <si>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</si>
  <si>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</si>
  <si>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</si>
  <si>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</si>
  <si>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</si>
  <si>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</si>
  <si>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</si>
  <si>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</si>
  <si>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</si>
  <si>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</si>
  <si>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</si>
  <si>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</si>
  <si>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</si>
  <si>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</si>
  <si>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</si>
  <si>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</si>
  <si>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</si>
  <si>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</si>
  <si>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</si>
  <si>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</si>
  <si>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</si>
  <si>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</si>
  <si>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</si>
  <si>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</si>
  <si>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</si>
  <si>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</si>
  <si>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</si>
  <si>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</si>
  <si>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</si>
  <si>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</si>
  <si>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</si>
  <si>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</si>
  <si>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</si>
  <si>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</si>
  <si>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</si>
  <si>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</si>
  <si>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</si>
  <si>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</si>
  <si>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</si>
  <si>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</si>
  <si>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</si>
  <si>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</si>
  <si>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</si>
  <si>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</si>
  <si>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</si>
  <si>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</si>
  <si>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</si>
  <si>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</si>
  <si>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</si>
  <si>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</si>
  <si>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</si>
  <si>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</si>
  <si>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</si>
  <si>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</si>
  <si>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</si>
  <si>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</si>
  <si>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</si>
  <si>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</si>
  <si>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</si>
  <si>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</si>
  <si>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</si>
  <si>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</si>
  <si>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</si>
  <si>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</si>
  <si>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</si>
  <si>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</si>
  <si>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</si>
  <si>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</si>
  <si>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</si>
  <si>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</si>
  <si>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</si>
  <si>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</si>
  <si>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</si>
  <si>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</si>
  <si>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</si>
  <si>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</si>
  <si>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</si>
  <si>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</si>
  <si>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</si>
  <si>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</si>
  <si>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</si>
  <si>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</si>
  <si>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</si>
  <si>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</si>
  <si>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</si>
  <si>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</si>
  <si>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</si>
  <si>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</si>
  <si>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</si>
  <si>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</si>
  <si>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</si>
  <si>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</si>
  <si>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</si>
  <si>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</si>
  <si>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</si>
  <si>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</si>
  <si>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</si>
  <si>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</si>
  <si>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</si>
  <si>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</si>
  <si>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</si>
  <si>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</si>
  <si>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</si>
  <si>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</si>
  <si>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</si>
  <si>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</si>
  <si>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</si>
  <si>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</si>
  <si>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</si>
  <si>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</si>
  <si>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</si>
  <si>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</si>
  <si>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</si>
  <si>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</si>
  <si>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</si>
  <si>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</si>
  <si>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</si>
  <si>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</si>
  <si>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</si>
  <si>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</si>
  <si>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</si>
  <si>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</si>
  <si>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</si>
  <si>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</si>
  <si>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</si>
  <si>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</si>
  <si>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</si>
  <si>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</si>
  <si>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</si>
  <si>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</si>
  <si>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</si>
  <si>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</si>
  <si>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</si>
  <si>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</si>
  <si>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</si>
  <si>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</si>
  <si>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</si>
  <si>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</si>
  <si>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</si>
  <si>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</si>
  <si>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</si>
  <si>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</si>
  <si>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</si>
  <si>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</si>
  <si>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</si>
  <si>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</si>
  <si>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</si>
  <si>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</si>
  <si>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</si>
  <si>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</si>
  <si>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</si>
  <si>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</si>
  <si>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</si>
  <si>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</si>
  <si>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</si>
  <si>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</si>
  <si>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</si>
  <si>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</si>
  <si>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</si>
  <si>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</si>
  <si>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</si>
  <si>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</si>
  <si>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</si>
  <si>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</si>
  <si>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</si>
  <si>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</si>
  <si>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</si>
  <si>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</si>
  <si>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</si>
  <si>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</si>
  <si>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</si>
  <si>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</si>
  <si>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</si>
  <si>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</si>
  <si>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</si>
  <si>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</si>
  <si>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</si>
  <si>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</si>
  <si>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</si>
  <si>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</si>
  <si>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</si>
  <si>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</si>
  <si>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</si>
  <si>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</si>
  <si>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</si>
  <si>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</si>
  <si>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</si>
  <si>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</si>
  <si>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</si>
  <si>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</si>
  <si>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</si>
  <si>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</si>
  <si>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</si>
  <si>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</si>
  <si>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</si>
  <si>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</si>
  <si>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</si>
  <si>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</si>
  <si>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</si>
  <si>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</si>
  <si>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</si>
  <si>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</si>
  <si>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</si>
  <si>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</si>
  <si>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</si>
  <si>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</si>
  <si>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</si>
  <si>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</si>
  <si>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</si>
  <si>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</si>
  <si>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</si>
  <si>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</si>
  <si>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</si>
  <si>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</si>
  <si>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</si>
  <si>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</si>
  <si>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</si>
  <si>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</si>
  <si>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</si>
  <si>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</si>
  <si>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</si>
  <si>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</si>
  <si>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</si>
  <si>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</si>
  <si>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</si>
  <si>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</si>
  <si>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</si>
  <si>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</si>
  <si>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</si>
  <si>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</si>
  <si>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</si>
  <si>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</si>
  <si>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</si>
  <si>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</si>
  <si>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</si>
  <si>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</si>
  <si>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</si>
  <si>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</si>
  <si>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</si>
  <si>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</si>
  <si>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</si>
  <si>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</si>
  <si>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</si>
  <si>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</si>
  <si>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</si>
  <si>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</si>
  <si>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</si>
  <si>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</si>
  <si>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</si>
  <si>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</si>
  <si>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</si>
  <si>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</si>
  <si>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</si>
  <si>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</si>
  <si>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</si>
  <si>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</si>
  <si>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</si>
  <si>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</si>
  <si>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</si>
  <si>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</si>
  <si>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</si>
  <si>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</si>
  <si>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</si>
  <si>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</si>
  <si>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</si>
  <si>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</si>
  <si>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</si>
  <si>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</si>
  <si>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</si>
  <si>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</si>
  <si>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</si>
  <si>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</si>
  <si>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</si>
  <si>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</si>
  <si>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</si>
  <si>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</si>
  <si>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</si>
  <si>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</si>
  <si>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</si>
  <si>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</si>
  <si>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</si>
  <si>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</si>
  <si>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</si>
  <si>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</si>
  <si>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</si>
  <si>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</si>
  <si>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</si>
  <si>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</si>
  <si>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</si>
  <si>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</si>
  <si>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</si>
  <si>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</si>
  <si>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</si>
  <si>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</si>
  <si>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</si>
  <si>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</si>
  <si>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</si>
  <si>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</si>
  <si>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</si>
  <si>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</si>
  <si>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</si>
  <si>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</si>
  <si>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</si>
  <si>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</si>
  <si>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</si>
  <si>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</si>
  <si>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</si>
  <si>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</si>
  <si>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</si>
  <si>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</si>
  <si>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</si>
  <si>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</si>
  <si>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</si>
  <si>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</si>
  <si>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</si>
  <si>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</si>
  <si>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</si>
  <si>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</si>
  <si>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</si>
  <si>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</si>
  <si>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</si>
  <si>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</si>
  <si>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</si>
  <si>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</si>
  <si>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</si>
  <si>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</si>
  <si>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</si>
  <si>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</si>
  <si>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</si>
  <si>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</si>
  <si>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</si>
  <si>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</si>
  <si>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</si>
  <si>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</si>
  <si>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</si>
  <si>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</si>
  <si>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</si>
  <si>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</si>
  <si>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</si>
  <si>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</si>
  <si>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</si>
  <si>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</si>
  <si>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</si>
  <si>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</si>
  <si>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</si>
  <si>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</si>
  <si>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</si>
  <si>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</si>
  <si>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</si>
  <si>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</si>
  <si>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</si>
  <si>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</si>
  <si>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</si>
  <si>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</si>
  <si>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</si>
  <si>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</si>
  <si>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</si>
  <si>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</si>
  <si>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</si>
  <si>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</si>
  <si>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</si>
  <si>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</si>
  <si>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</si>
  <si>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</si>
  <si>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</si>
  <si>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</si>
  <si>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</si>
  <si>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</si>
  <si>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</si>
  <si>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</si>
  <si>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</si>
  <si>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</si>
  <si>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</si>
  <si>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</si>
  <si>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</si>
  <si>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</si>
  <si>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</si>
  <si>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</si>
  <si>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</si>
  <si>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</si>
  <si>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</si>
  <si>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</si>
  <si>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</si>
  <si>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</si>
  <si>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</si>
  <si>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</si>
  <si>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</si>
  <si>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</si>
  <si>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</si>
  <si>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</si>
  <si>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</si>
  <si>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</si>
  <si>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</si>
  <si>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</si>
  <si>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</si>
  <si>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</si>
  <si>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</si>
  <si>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</si>
  <si>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</si>
  <si>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</si>
  <si>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</si>
  <si>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</si>
  <si>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</si>
  <si>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</si>
  <si>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</si>
  <si>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</si>
  <si>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</si>
  <si>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</si>
  <si>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</si>
  <si>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</si>
  <si>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</si>
  <si>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</si>
  <si>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</si>
  <si>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</si>
  <si>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</si>
  <si>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</si>
  <si>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</si>
  <si>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</si>
  <si>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</si>
  <si>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</si>
  <si>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</si>
  <si>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</si>
  <si>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</si>
  <si>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</si>
  <si>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</si>
  <si>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</si>
  <si>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</si>
  <si>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</si>
  <si>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</si>
  <si>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</si>
  <si>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</si>
  <si>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</si>
  <si>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</si>
  <si>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</si>
  <si>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</si>
  <si>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</si>
  <si>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</si>
  <si>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</si>
  <si>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</si>
  <si>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</si>
  <si>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</si>
  <si>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</si>
  <si>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</si>
  <si>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</si>
  <si>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</si>
  <si>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</si>
  <si>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</si>
  <si>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</si>
  <si>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</si>
  <si>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</si>
  <si>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</si>
  <si>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</si>
  <si>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</si>
  <si>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</si>
  <si>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</si>
  <si>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</si>
  <si>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</si>
  <si>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</si>
  <si>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</si>
  <si>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</si>
  <si>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</si>
  <si>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</si>
  <si>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</si>
  <si>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</si>
  <si>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</si>
  <si>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</si>
  <si>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</si>
  <si>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</si>
  <si>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</si>
  <si>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</si>
  <si>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</si>
  <si>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</si>
  <si>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</si>
  <si>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</si>
  <si>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</si>
  <si>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</si>
  <si>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</si>
  <si>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</si>
  <si>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</si>
  <si>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</si>
  <si>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</si>
  <si>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</si>
  <si>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</si>
  <si>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</si>
  <si>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</si>
  <si>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</si>
  <si>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</si>
  <si>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</si>
  <si>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</si>
  <si>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</si>
  <si>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</si>
  <si>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</si>
  <si>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</si>
  <si>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</si>
  <si>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</si>
  <si>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</si>
  <si>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</si>
  <si>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</si>
  <si>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</si>
  <si>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</si>
  <si>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</si>
  <si>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</si>
  <si>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</si>
  <si>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</si>
  <si>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</si>
  <si>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</si>
  <si>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</si>
  <si>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</si>
  <si>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</si>
  <si>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</si>
  <si>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</si>
  <si>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</si>
  <si>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</si>
  <si>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</si>
  <si>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</si>
  <si>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</si>
  <si>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</si>
  <si>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</si>
  <si>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</si>
  <si>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</si>
  <si>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</si>
  <si>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</si>
  <si>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</si>
  <si>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</si>
  <si>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</si>
  <si>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</si>
  <si>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</si>
  <si>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</si>
  <si>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</si>
  <si>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</si>
  <si>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</si>
  <si>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</si>
  <si>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</si>
  <si>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</si>
  <si>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</si>
  <si>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</si>
  <si>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</si>
  <si>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</si>
  <si>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</si>
  <si>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</si>
  <si>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</si>
  <si>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</si>
  <si>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</si>
  <si>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</si>
  <si>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</si>
  <si>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</si>
  <si>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</si>
  <si>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</si>
  <si>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</si>
  <si>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</si>
  <si>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</si>
  <si>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</si>
  <si>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</si>
  <si>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</si>
  <si>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</si>
  <si>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</si>
  <si>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</si>
  <si>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</si>
  <si>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</si>
  <si>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</si>
  <si>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</si>
  <si>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</si>
  <si>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</si>
  <si>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</si>
  <si>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</si>
  <si>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</si>
  <si>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</si>
  <si>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</si>
  <si>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</si>
  <si>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</si>
  <si>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</si>
  <si>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</si>
  <si>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</si>
  <si>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</si>
  <si>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</si>
  <si>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</si>
  <si>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</si>
  <si>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</si>
  <si>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</si>
  <si>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</si>
  <si>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</si>
  <si>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</si>
  <si>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</si>
  <si>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</si>
  <si>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</si>
  <si>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</si>
  <si>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</si>
  <si>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</si>
  <si>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</si>
  <si>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</si>
  <si>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</si>
  <si>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</si>
  <si>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</si>
  <si>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</si>
  <si>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</si>
  <si>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</si>
  <si>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</si>
  <si>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</si>
  <si>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</si>
  <si>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</si>
  <si>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</si>
  <si>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</si>
  <si>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</si>
  <si>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</si>
  <si>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</si>
  <si>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</si>
  <si>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</si>
  <si>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</si>
  <si>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</si>
  <si>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</si>
  <si>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</si>
  <si>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</si>
  <si>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</si>
  <si>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</si>
  <si>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</si>
  <si>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</si>
  <si>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</si>
  <si>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</si>
  <si>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</si>
  <si>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</si>
  <si>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</si>
  <si>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</si>
  <si>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</si>
  <si>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</si>
  <si>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</si>
  <si>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</si>
  <si>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</si>
  <si>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</si>
  <si>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</si>
  <si>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</si>
  <si>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</si>
  <si>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</si>
  <si>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</si>
  <si>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</si>
  <si>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</si>
  <si>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</si>
  <si>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</si>
  <si>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</si>
  <si>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</si>
  <si>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</si>
  <si>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</si>
  <si>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</si>
  <si>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</si>
  <si>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</si>
  <si>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</si>
  <si>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</si>
  <si>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</si>
  <si>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</si>
  <si>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</si>
  <si>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</si>
  <si>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</si>
  <si>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</si>
  <si>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</si>
  <si>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</si>
  <si>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</si>
  <si>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</si>
  <si>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</si>
  <si>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</si>
  <si>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</si>
  <si>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</si>
  <si>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</si>
  <si>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</si>
  <si>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</si>
  <si>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</si>
  <si>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</si>
  <si>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</si>
  <si>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</si>
  <si>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</si>
  <si>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</si>
  <si>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</si>
  <si>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</si>
  <si>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</si>
  <si>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</si>
  <si>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</si>
  <si>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</si>
  <si>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</si>
  <si>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</si>
  <si>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</si>
  <si>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</si>
  <si>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</si>
  <si>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</si>
  <si>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</si>
  <si>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</si>
  <si>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</si>
  <si>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</si>
  <si>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</si>
  <si>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</si>
  <si>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</si>
  <si>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</si>
  <si>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</si>
  <si>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</si>
  <si>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</si>
  <si>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</si>
  <si>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</si>
  <si>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</si>
  <si>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</si>
  <si>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</si>
  <si>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</si>
  <si>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</si>
  <si>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</si>
  <si>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</si>
  <si>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</si>
  <si>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</si>
  <si>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</si>
  <si>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</si>
  <si>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</si>
  <si>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</si>
  <si>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</si>
  <si>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</si>
  <si>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</si>
  <si>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</si>
  <si>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</si>
  <si>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</si>
  <si>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</si>
  <si>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</si>
  <si>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</si>
  <si>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</si>
  <si>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</si>
  <si>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</si>
  <si>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</si>
  <si>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</si>
  <si>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</si>
  <si>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</si>
  <si>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</si>
  <si>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</si>
  <si>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</si>
  <si>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</si>
  <si>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</si>
  <si>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</si>
  <si>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</si>
  <si>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</si>
  <si>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</si>
  <si>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</si>
  <si>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</si>
  <si>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</si>
  <si>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</si>
  <si>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</si>
  <si>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</si>
  <si>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</si>
  <si>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</si>
  <si>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</si>
  <si>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</si>
  <si>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</si>
  <si>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</si>
  <si>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</si>
  <si>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</si>
  <si>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</si>
  <si>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</si>
  <si>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</si>
  <si>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</si>
  <si>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</si>
  <si>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</si>
  <si>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</si>
  <si>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</si>
  <si>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</si>
  <si>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</si>
  <si>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</si>
  <si>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</si>
  <si>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</si>
  <si>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</si>
  <si>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</si>
  <si>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</si>
  <si>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</si>
  <si>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</si>
  <si>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</si>
  <si>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</si>
  <si>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</si>
  <si>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</si>
  <si>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</si>
  <si>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</si>
  <si>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</si>
  <si>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</si>
  <si>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</si>
  <si>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</si>
  <si>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</si>
  <si>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</si>
  <si>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</si>
  <si>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</si>
  <si>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</si>
  <si>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</si>
  <si>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</si>
  <si>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</si>
  <si>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</si>
  <si>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</si>
  <si>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</si>
  <si>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</si>
  <si>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</si>
  <si>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</si>
  <si>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</si>
  <si>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</si>
  <si>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</si>
  <si>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</si>
  <si>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</si>
  <si>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</si>
  <si>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</si>
  <si>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</si>
  <si>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</si>
  <si>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</si>
  <si>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</si>
  <si>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</si>
  <si>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</si>
  <si>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</si>
  <si>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</si>
  <si>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</si>
  <si>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</si>
  <si>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</si>
  <si>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</si>
  <si>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</si>
  <si>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</si>
  <si>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</si>
  <si>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</si>
  <si>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</si>
  <si>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</si>
  <si>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</si>
  <si>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</si>
  <si>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</si>
  <si>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</si>
  <si>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</si>
  <si>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</si>
  <si>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</si>
  <si>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</si>
  <si>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</si>
  <si>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</si>
  <si>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</si>
  <si>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</si>
  <si>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</si>
  <si>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</si>
  <si>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</si>
  <si>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</si>
  <si>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</si>
  <si>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</si>
  <si>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</si>
  <si>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</si>
  <si>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</si>
  <si>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</si>
  <si>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</si>
  <si>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</si>
  <si>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</si>
  <si>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</si>
  <si>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</si>
  <si>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</si>
  <si>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</si>
  <si>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</si>
  <si>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</si>
  <si>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</si>
  <si>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</si>
  <si>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</si>
  <si>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</si>
  <si>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</si>
  <si>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</si>
  <si>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</si>
  <si>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</si>
  <si>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</si>
  <si>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</si>
  <si>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</si>
  <si>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</si>
  <si>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</si>
  <si>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</si>
  <si>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</si>
  <si>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</si>
  <si>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</si>
  <si>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</si>
  <si>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</si>
  <si>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</si>
  <si>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</si>
  <si>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</si>
  <si>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</si>
  <si>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</si>
  <si>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</si>
  <si>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</si>
  <si>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</si>
  <si>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</si>
  <si>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</si>
  <si>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</si>
  <si>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</si>
  <si>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</si>
  <si>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</si>
  <si>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</si>
  <si>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</si>
  <si>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</si>
  <si>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</si>
  <si>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</si>
  <si>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</si>
  <si>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</si>
  <si>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</si>
  <si>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</si>
  <si>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</si>
  <si>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</si>
  <si>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</si>
  <si>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</si>
  <si>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</si>
  <si>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</si>
  <si>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</si>
  <si>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</si>
  <si>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</si>
  <si>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</si>
  <si>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</si>
  <si>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</si>
  <si>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</si>
  <si>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</si>
  <si>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</si>
  <si>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</si>
  <si>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</si>
  <si>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</si>
  <si>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</si>
  <si>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</si>
  <si>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</si>
  <si>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</si>
  <si>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</si>
  <si>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</si>
  <si>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</si>
  <si>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</si>
  <si>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</si>
  <si>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</si>
  <si>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</si>
  <si>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</si>
  <si>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</si>
  <si>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</si>
  <si>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</si>
  <si>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</si>
  <si>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</si>
  <si>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</si>
  <si>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</si>
  <si>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</si>
  <si>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</si>
  <si>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</si>
  <si>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</si>
  <si>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</si>
  <si>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</si>
  <si>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</si>
  <si>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</si>
  <si>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</si>
  <si>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</si>
  <si>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</si>
  <si>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</si>
  <si>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</si>
  <si>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</si>
  <si>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</si>
  <si>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</si>
  <si>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</si>
  <si>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</si>
  <si>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</si>
  <si>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</si>
  <si>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</si>
  <si>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</si>
  <si>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</si>
  <si>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</si>
  <si>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</si>
  <si>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</si>
  <si>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</si>
  <si>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</si>
  <si>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</si>
  <si>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</si>
  <si>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</si>
  <si>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</si>
  <si>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</si>
  <si>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</si>
  <si>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</si>
  <si>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</si>
  <si>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</si>
  <si>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</si>
  <si>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</si>
  <si>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</si>
  <si>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</si>
  <si>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</si>
  <si>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</si>
  <si>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</si>
  <si>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</si>
  <si>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</si>
  <si>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</si>
  <si>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</si>
  <si>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</si>
  <si>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</si>
  <si>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</si>
  <si>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</si>
  <si>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</si>
  <si>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</si>
  <si>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</si>
  <si>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</si>
  <si>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</si>
  <si>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</si>
  <si>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</si>
  <si>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</si>
  <si>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</si>
  <si>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</si>
  <si>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</si>
  <si>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</si>
  <si>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</si>
  <si>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</si>
  <si>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</si>
  <si>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</si>
  <si>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</si>
  <si>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</si>
  <si>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</si>
  <si>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</si>
  <si>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</si>
  <si>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</si>
  <si>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</si>
  <si>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</si>
  <si>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</si>
  <si>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</si>
  <si>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</si>
  <si>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</si>
  <si>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</si>
  <si>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</si>
  <si>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</si>
  <si>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</si>
  <si>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</si>
  <si>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</si>
  <si>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</si>
  <si>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</si>
  <si>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</si>
  <si>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</si>
  <si>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</si>
  <si>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</si>
  <si>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</si>
  <si>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</si>
  <si>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</si>
  <si>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</si>
  <si>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</si>
  <si>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</si>
  <si>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</si>
  <si>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</si>
  <si>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</si>
  <si>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</si>
  <si>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</si>
  <si>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</si>
  <si>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</si>
  <si>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</si>
  <si>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</si>
  <si>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</si>
  <si>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</si>
  <si>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</si>
  <si>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</si>
  <si>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</si>
  <si>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</si>
  <si>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</si>
  <si>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</si>
  <si>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</si>
  <si>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</si>
  <si>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</si>
  <si>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</si>
  <si>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</si>
  <si>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</si>
  <si>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</si>
  <si>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</si>
  <si>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</si>
  <si>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</si>
  <si>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</si>
  <si>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</si>
  <si>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</si>
  <si>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</si>
  <si>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</si>
  <si>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</si>
  <si>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</si>
  <si>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</si>
  <si>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</si>
  <si>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</si>
  <si>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</si>
  <si>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</si>
  <si>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</si>
  <si>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</si>
  <si>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</si>
  <si>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</si>
  <si>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</si>
  <si>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</si>
  <si>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</si>
  <si>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</si>
  <si>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</si>
  <si>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</si>
  <si>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</si>
  <si>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</si>
  <si>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</si>
  <si>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</si>
  <si>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</si>
  <si>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</si>
  <si>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</si>
  <si>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</si>
  <si>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</si>
  <si>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</si>
  <si>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</si>
  <si>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</si>
  <si>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</si>
  <si>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</si>
  <si>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</si>
  <si>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</si>
  <si>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</si>
  <si>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</si>
  <si>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</si>
  <si>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</si>
  <si>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</si>
  <si>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</si>
  <si>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</si>
  <si>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</si>
  <si>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</si>
  <si>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</si>
  <si>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</si>
  <si>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</si>
  <si>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</si>
  <si>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</si>
  <si>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</si>
  <si>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</si>
  <si>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</si>
  <si>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</si>
  <si>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</si>
  <si>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</si>
  <si>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</si>
  <si>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</si>
  <si>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</si>
  <si>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</si>
  <si>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</si>
  <si>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</si>
  <si>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</si>
  <si>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</si>
  <si>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</si>
  <si>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</si>
  <si>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</si>
  <si>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</si>
  <si>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</si>
  <si>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</si>
  <si>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</si>
  <si>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</si>
  <si>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</si>
  <si>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</si>
  <si>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</si>
  <si>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</si>
  <si>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</si>
  <si>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</si>
  <si>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</si>
  <si>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</si>
  <si>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</si>
  <si>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</si>
  <si>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</si>
  <si>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</si>
  <si>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</si>
  <si>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</si>
  <si>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</si>
  <si>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</si>
  <si>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</si>
  <si>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</si>
  <si>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</si>
  <si>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</si>
  <si>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</si>
  <si>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</si>
  <si>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</si>
  <si>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</si>
  <si>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</si>
  <si>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</si>
  <si>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</si>
  <si>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</si>
  <si>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</si>
  <si>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</si>
  <si>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</si>
  <si>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</si>
  <si>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</si>
  <si>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</si>
  <si>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</si>
  <si>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</si>
  <si>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</si>
  <si>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</si>
  <si>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</si>
  <si>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</si>
  <si>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</si>
  <si>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</si>
  <si>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</si>
  <si>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</si>
  <si>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</si>
  <si>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</si>
  <si>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</si>
  <si>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</si>
  <si>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</si>
  <si>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</si>
  <si>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</si>
  <si>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</si>
  <si>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</si>
  <si>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</si>
  <si>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</si>
  <si>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</si>
  <si>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</si>
  <si>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</si>
  <si>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</si>
  <si>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</si>
  <si>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</si>
  <si>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</si>
  <si>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</si>
  <si>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</si>
  <si>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</si>
  <si>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</si>
  <si>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</si>
  <si>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</si>
  <si>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</si>
  <si>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</si>
  <si>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</si>
  <si>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</si>
  <si>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</si>
  <si>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</si>
  <si>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</si>
  <si>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</si>
  <si>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</si>
  <si>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</si>
  <si>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</si>
  <si>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</si>
  <si>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</si>
  <si>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</si>
  <si>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</si>
  <si>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</si>
  <si>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</si>
  <si>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</si>
  <si>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</si>
  <si>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</si>
  <si>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</si>
  <si>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</si>
  <si>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</si>
  <si>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</si>
  <si>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</si>
  <si>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</si>
  <si>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</si>
  <si>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</si>
  <si>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</si>
  <si>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</si>
  <si>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</si>
  <si>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</si>
  <si>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</si>
  <si>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</si>
  <si>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</si>
  <si>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</si>
  <si>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</si>
  <si>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</si>
  <si>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</si>
  <si>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</si>
  <si>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</si>
  <si>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</si>
  <si>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</si>
  <si>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</si>
  <si>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</si>
  <si>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</si>
  <si>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</si>
  <si>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</si>
  <si>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</si>
  <si>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</si>
  <si>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</si>
  <si>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</si>
  <si>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</si>
  <si>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</si>
  <si>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</si>
  <si>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</si>
  <si>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</si>
  <si>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</si>
  <si>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</si>
  <si>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</si>
  <si>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</si>
  <si>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</si>
  <si>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</si>
  <si>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</si>
  <si>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</si>
  <si>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</si>
  <si>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</si>
  <si>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</si>
  <si>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</si>
  <si>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</si>
  <si>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</si>
  <si>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</si>
  <si>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</si>
  <si>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</si>
  <si>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</si>
  <si>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</si>
  <si>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</si>
  <si>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</si>
  <si>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</si>
  <si>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</si>
  <si>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</si>
  <si>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</si>
  <si>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</si>
  <si>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</si>
  <si>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</si>
  <si>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</si>
  <si>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</si>
  <si>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</si>
  <si>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</si>
  <si>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</si>
  <si>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</si>
  <si>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</si>
  <si>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</si>
  <si>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</si>
  <si>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</si>
  <si>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</si>
  <si>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</si>
  <si>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</si>
  <si>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</si>
  <si>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</si>
  <si>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</si>
  <si>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</si>
  <si>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</si>
  <si>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</si>
  <si>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</si>
  <si>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</si>
  <si>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</si>
  <si>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</si>
  <si>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</si>
  <si>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</si>
  <si>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</si>
  <si>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</si>
  <si>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</si>
  <si>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</si>
  <si>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</si>
  <si>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</si>
  <si>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</si>
  <si>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</si>
  <si>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</si>
  <si>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</si>
  <si>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</si>
  <si>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</si>
  <si>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</si>
  <si>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</si>
  <si>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</si>
  <si>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</si>
  <si>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</si>
  <si>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</si>
  <si>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</si>
  <si>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</si>
  <si>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</si>
  <si>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</si>
  <si>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</si>
  <si>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</si>
  <si>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</si>
  <si>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</si>
  <si>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</si>
  <si>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</si>
  <si>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</si>
  <si>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</si>
  <si>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</si>
  <si>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</si>
  <si>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</si>
  <si>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</si>
  <si>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</si>
  <si>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</si>
  <si>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</si>
  <si>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</si>
  <si>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</si>
  <si>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</si>
  <si>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</si>
  <si>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</si>
  <si>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</si>
  <si>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</si>
  <si>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</si>
  <si>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</si>
  <si>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</si>
  <si>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</si>
  <si>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</si>
  <si>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</si>
  <si>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</si>
  <si>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</si>
  <si>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</si>
  <si>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</si>
  <si>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</si>
  <si>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</si>
  <si>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</si>
  <si>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</si>
  <si>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</si>
  <si>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</si>
  <si>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</si>
  <si>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</si>
  <si>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</si>
  <si>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</si>
  <si>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</si>
  <si>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</si>
  <si>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</si>
  <si>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</si>
  <si>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</si>
  <si>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</si>
  <si>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</si>
  <si>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</si>
  <si>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</si>
  <si>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</si>
  <si>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</si>
  <si>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</si>
  <si>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</si>
  <si>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</si>
  <si>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</si>
  <si>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</si>
  <si>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</si>
  <si>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</si>
  <si>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</si>
  <si>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</si>
  <si>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</si>
  <si>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</si>
  <si>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</si>
  <si>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</si>
  <si>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</si>
  <si>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</si>
  <si>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</si>
  <si>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</si>
  <si>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</si>
  <si>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</si>
  <si>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</si>
  <si>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</si>
  <si>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</si>
  <si>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</si>
  <si>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</si>
  <si>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</si>
  <si>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</si>
  <si>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</si>
  <si>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</si>
  <si>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</si>
  <si>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</si>
  <si>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</si>
  <si>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</si>
  <si>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</si>
  <si>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</si>
  <si>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</si>
  <si>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</si>
  <si>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</si>
  <si>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</si>
  <si>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</si>
  <si>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</si>
  <si>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</si>
  <si>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</si>
  <si>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</si>
  <si>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</si>
  <si>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</si>
  <si>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</si>
  <si>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</si>
  <si>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</si>
  <si>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</si>
  <si>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</si>
  <si>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</si>
  <si>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</si>
  <si>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</si>
  <si>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</si>
  <si>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</si>
  <si>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</si>
  <si>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</si>
  <si>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</si>
  <si>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</si>
  <si>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</si>
  <si>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</si>
  <si>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</si>
  <si>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</si>
  <si>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</si>
  <si>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</si>
  <si>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</si>
  <si>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</si>
  <si>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</si>
  <si>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</si>
  <si>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</si>
  <si>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</si>
  <si>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</si>
  <si>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</si>
  <si>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</si>
  <si>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</si>
  <si>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</si>
  <si>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</si>
  <si>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</si>
  <si>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</si>
  <si>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</si>
  <si>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</si>
  <si>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</si>
  <si>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</si>
  <si>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</si>
  <si>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</si>
  <si>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</si>
  <si>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</si>
  <si>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</si>
  <si>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</si>
  <si>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</si>
  <si>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</si>
  <si>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</si>
  <si>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</si>
  <si>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</si>
  <si>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</si>
  <si>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</si>
  <si>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</si>
  <si>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</si>
  <si>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</si>
  <si>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</si>
  <si>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</si>
  <si>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</si>
  <si>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</si>
  <si>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</si>
  <si>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</si>
  <si>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</si>
  <si>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</si>
  <si>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</si>
  <si>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</si>
  <si>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</si>
  <si>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</si>
  <si>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</si>
  <si>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</si>
  <si>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</si>
  <si>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</si>
  <si>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</si>
  <si>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</si>
  <si>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</si>
  <si>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</si>
  <si>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</si>
  <si>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</si>
  <si>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</si>
  <si>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</si>
  <si>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</si>
  <si>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</si>
  <si>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</si>
  <si>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</si>
  <si>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</si>
  <si>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</si>
  <si>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</si>
  <si>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</si>
  <si>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</si>
  <si>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</si>
  <si>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</si>
  <si>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</si>
  <si>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</si>
  <si>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</si>
  <si>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</si>
  <si>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</si>
  <si>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</si>
  <si>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</si>
  <si>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</si>
  <si>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</si>
  <si>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</si>
  <si>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</si>
  <si>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</si>
  <si>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</si>
  <si>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</si>
  <si>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</si>
  <si>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</si>
  <si>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</si>
  <si>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</si>
  <si>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</si>
  <si>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</si>
  <si>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</si>
  <si>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</si>
  <si>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</si>
  <si>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</si>
  <si>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</si>
  <si>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</si>
  <si>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</si>
  <si>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</si>
  <si>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</si>
  <si>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</si>
  <si>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</si>
  <si>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</si>
  <si>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</si>
  <si>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</si>
  <si>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</si>
  <si>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</si>
  <si>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</si>
  <si>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</si>
  <si>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</si>
  <si>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</si>
  <si>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</si>
  <si>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</si>
  <si>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</si>
  <si>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</si>
  <si>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</si>
  <si>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</si>
  <si>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</si>
  <si>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</si>
  <si>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</si>
  <si>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</si>
  <si>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</si>
  <si>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</si>
  <si>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</si>
  <si>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</si>
  <si>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</si>
  <si>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</si>
  <si>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</si>
  <si>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</si>
  <si>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</si>
  <si>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</si>
  <si>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</si>
  <si>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</si>
  <si>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</si>
  <si>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</si>
  <si>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</si>
  <si>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</si>
  <si>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</si>
  <si>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</si>
  <si>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</si>
  <si>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</si>
  <si>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</si>
  <si>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</si>
  <si>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</si>
  <si>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</si>
  <si>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</si>
  <si>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</si>
  <si>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</si>
  <si>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</si>
  <si>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</si>
  <si>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</si>
  <si>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</si>
  <si>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</si>
  <si>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</si>
  <si>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</si>
  <si>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</si>
  <si>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</si>
  <si>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</si>
  <si>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</si>
  <si>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</si>
  <si>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</si>
  <si>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</si>
  <si>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</si>
  <si>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</si>
  <si>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</si>
  <si>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</si>
  <si>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</si>
  <si>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</si>
  <si>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</si>
  <si>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</si>
  <si>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</si>
  <si>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</si>
  <si>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</si>
  <si>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</si>
  <si>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</si>
  <si>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</si>
  <si>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</si>
  <si>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</si>
  <si>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</si>
  <si>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</si>
  <si>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</si>
  <si>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</si>
  <si>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</si>
  <si>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</si>
  <si>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</si>
  <si>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</si>
  <si>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</si>
  <si>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</si>
  <si>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</si>
  <si>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</si>
  <si>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</si>
  <si>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</si>
  <si>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</si>
  <si>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</si>
  <si>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</si>
  <si>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</si>
  <si>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</si>
  <si>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</si>
  <si>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</si>
  <si>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</si>
  <si>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</si>
  <si>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</si>
  <si>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</si>
  <si>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</si>
  <si>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</si>
  <si>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</si>
  <si>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</si>
  <si>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</si>
  <si>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</si>
  <si>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</si>
  <si>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</si>
  <si>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</si>
  <si>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</si>
  <si>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</si>
  <si>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</si>
  <si>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</si>
  <si>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</si>
  <si>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</si>
  <si>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</si>
  <si>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</si>
  <si>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</si>
  <si>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</si>
  <si>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</si>
  <si>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</si>
  <si>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</si>
  <si>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</si>
  <si>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</si>
  <si>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</si>
  <si>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</si>
  <si>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</si>
  <si>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</si>
  <si>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</si>
  <si>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</si>
  <si>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</si>
  <si>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</si>
  <si>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</si>
  <si>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</si>
  <si>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</si>
  <si>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</si>
  <si>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</si>
  <si>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</si>
  <si>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</si>
  <si>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</si>
  <si>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</si>
  <si>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</si>
  <si>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</si>
  <si>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</si>
  <si>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</si>
  <si>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</si>
  <si>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</si>
  <si>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</si>
  <si>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</si>
  <si>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</si>
  <si>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</si>
  <si>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</si>
  <si>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</si>
  <si>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</si>
  <si>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</si>
  <si>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</si>
  <si>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</si>
  <si>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</si>
  <si>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</si>
  <si>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</si>
  <si>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</si>
  <si>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</si>
  <si>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</si>
  <si>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</si>
  <si>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</si>
  <si>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</si>
  <si>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</si>
  <si>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</si>
  <si>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</si>
  <si>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</si>
  <si>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</si>
  <si>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</si>
  <si>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</si>
  <si>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</si>
  <si>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</si>
  <si>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</si>
  <si>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</si>
  <si>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</si>
  <si>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</si>
  <si>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</si>
  <si>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</si>
  <si>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</si>
  <si>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</si>
  <si>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</si>
  <si>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</si>
  <si>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</si>
  <si>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</si>
  <si>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</si>
  <si>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</si>
  <si>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</si>
  <si>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</si>
  <si>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</si>
  <si>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</si>
  <si>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</si>
  <si>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</si>
  <si>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</si>
  <si>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</si>
  <si>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</si>
  <si>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</si>
  <si>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</si>
  <si>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</si>
  <si>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</si>
  <si>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</si>
  <si>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</si>
  <si>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</si>
  <si>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</si>
  <si>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</si>
  <si>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</si>
  <si>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</si>
  <si>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</si>
  <si>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</si>
  <si>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</si>
  <si>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</si>
  <si>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</si>
  <si>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</si>
  <si>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</si>
  <si>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</si>
  <si>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</si>
  <si>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</si>
  <si>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</si>
  <si>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</si>
  <si>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</si>
  <si>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</si>
  <si>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</si>
  <si>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</si>
  <si>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</si>
  <si>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</si>
  <si>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</si>
  <si>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</si>
  <si>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</si>
  <si>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</si>
  <si>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</si>
  <si>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</si>
  <si>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</si>
  <si>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</si>
  <si>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</si>
  <si>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</si>
  <si>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</si>
  <si>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</si>
  <si>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</si>
  <si>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</si>
  <si>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</si>
  <si>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</si>
  <si>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</si>
  <si>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</si>
  <si>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</si>
  <si>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</si>
  <si>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</si>
  <si>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</si>
  <si>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</si>
  <si>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</si>
  <si>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</si>
  <si>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</si>
  <si>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</si>
  <si>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</si>
  <si>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</si>
  <si>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</si>
  <si>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</si>
  <si>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</si>
  <si>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</si>
  <si>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</si>
  <si>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</si>
  <si>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</si>
  <si>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</si>
  <si>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</si>
  <si>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</si>
  <si>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</si>
  <si>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</si>
  <si>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</si>
  <si>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</si>
  <si>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</si>
  <si>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</si>
  <si>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</si>
  <si>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</si>
  <si>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</si>
  <si>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</si>
  <si>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</si>
  <si>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</si>
  <si>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</si>
  <si>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</si>
  <si>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</si>
  <si>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</si>
  <si>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</si>
  <si>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</si>
  <si>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</si>
  <si>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</si>
  <si>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</si>
  <si>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</si>
  <si>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</si>
  <si>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</si>
  <si>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</si>
  <si>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</si>
  <si>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</si>
  <si>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</si>
  <si>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</si>
  <si>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</si>
  <si>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</si>
  <si>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</si>
  <si>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</si>
  <si>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</si>
  <si>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</si>
  <si>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</si>
  <si>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</si>
  <si>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</si>
  <si>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</si>
  <si>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</si>
  <si>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</si>
  <si>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</si>
  <si>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</si>
  <si>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</si>
  <si>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</si>
  <si>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</si>
  <si>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</si>
  <si>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</si>
  <si>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</si>
  <si>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</si>
  <si>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</si>
  <si>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</si>
  <si>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</si>
  <si>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</si>
  <si>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</si>
  <si>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</si>
  <si>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</si>
  <si>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</si>
  <si>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</si>
  <si>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</si>
  <si>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</si>
  <si>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</si>
  <si>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</si>
  <si>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</si>
  <si>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</si>
  <si>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</si>
  <si>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</si>
  <si>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</si>
  <si>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</si>
  <si>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</si>
  <si>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</si>
  <si>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</si>
  <si>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</si>
  <si>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</si>
  <si>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</si>
  <si>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</si>
  <si>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</si>
  <si>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</si>
  <si>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</si>
  <si>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</si>
  <si>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</si>
  <si>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</si>
  <si>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</si>
  <si>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</si>
  <si>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</si>
  <si>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</si>
  <si>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</si>
  <si>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</si>
  <si>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</si>
  <si>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</si>
  <si>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</si>
  <si>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</si>
  <si>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</si>
  <si>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</si>
  <si>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</si>
  <si>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</si>
  <si>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</si>
  <si>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</si>
  <si>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</si>
  <si>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</si>
  <si>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</si>
  <si>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</si>
  <si>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</si>
  <si>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</si>
  <si>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</si>
  <si>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</si>
  <si>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</si>
  <si>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</si>
  <si>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</si>
  <si>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</si>
  <si>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</si>
  <si>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</si>
  <si>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</si>
  <si>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</si>
  <si>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</si>
  <si>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</si>
  <si>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</si>
  <si>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</si>
  <si>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</si>
  <si>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</si>
  <si>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</si>
  <si>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</si>
  <si>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</si>
  <si>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</si>
  <si>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</si>
  <si>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</si>
  <si>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</si>
  <si>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</si>
  <si>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</si>
  <si>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</si>
  <si>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</si>
  <si>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</si>
  <si>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</si>
  <si>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</si>
  <si>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</si>
  <si>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</si>
  <si>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</si>
  <si>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</si>
  <si>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</si>
  <si>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</si>
  <si>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</si>
  <si>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</si>
  <si>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</si>
  <si>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</si>
  <si>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</si>
  <si>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</si>
  <si>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</si>
  <si>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</si>
  <si>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</si>
  <si>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</si>
  <si>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</si>
  <si>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</si>
  <si>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</si>
  <si>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</si>
  <si>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</si>
  <si>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</si>
  <si>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</si>
  <si>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</si>
  <si>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</si>
  <si>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</si>
  <si>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</si>
  <si>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</si>
  <si>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</si>
  <si>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</si>
  <si>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</si>
  <si>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</si>
  <si>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</si>
  <si>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</si>
  <si>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</si>
  <si>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</si>
  <si>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</si>
  <si>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</si>
  <si>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</si>
  <si>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</si>
  <si>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</si>
  <si>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</si>
  <si>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</si>
  <si>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</si>
  <si>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</si>
  <si>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</si>
  <si>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</si>
  <si>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</si>
  <si>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</si>
  <si>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</si>
  <si>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</si>
  <si>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</si>
  <si>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</si>
  <si>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</si>
  <si>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</si>
  <si>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</si>
  <si>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</si>
  <si>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</si>
  <si>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</si>
  <si>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</si>
  <si>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</si>
  <si>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</si>
  <si>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</si>
  <si>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</si>
  <si>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</si>
  <si>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</si>
  <si>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</si>
  <si>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</si>
  <si>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</si>
  <si>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</si>
  <si>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</si>
  <si>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</si>
  <si>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</si>
  <si>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</si>
  <si>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</si>
  <si>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</si>
  <si>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</si>
  <si>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</si>
  <si>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</si>
  <si>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</si>
  <si>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</si>
  <si>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</si>
  <si>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</si>
  <si>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</si>
  <si>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</si>
  <si>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</si>
  <si>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</si>
  <si>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</si>
  <si>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</si>
  <si>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</si>
  <si>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</si>
  <si>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</si>
  <si>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</si>
  <si>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</si>
  <si>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</si>
  <si>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</si>
  <si>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</si>
  <si>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</si>
  <si>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</si>
  <si>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</si>
  <si>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</si>
  <si>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</si>
  <si>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</si>
  <si>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</si>
  <si>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</si>
  <si>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</si>
  <si>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</si>
  <si>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</si>
  <si>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</si>
  <si>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</si>
  <si>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</si>
  <si>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</si>
  <si>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</si>
  <si>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</si>
  <si>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</si>
  <si>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</si>
  <si>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</si>
  <si>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</si>
  <si>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</si>
  <si>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</si>
  <si>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</si>
  <si>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</si>
  <si>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</si>
  <si>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</si>
  <si>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</si>
  <si>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</si>
  <si>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</si>
  <si>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</si>
  <si>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</si>
  <si>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</si>
  <si>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</si>
  <si>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</si>
  <si>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</si>
  <si>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</si>
  <si>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</si>
  <si>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</si>
  <si>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</si>
  <si>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</si>
  <si>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</si>
  <si>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</si>
  <si>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</si>
  <si>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</si>
  <si>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</si>
  <si>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</si>
  <si>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</si>
  <si>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</si>
  <si>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</si>
  <si>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</si>
  <si>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</si>
  <si>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</si>
  <si>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</si>
  <si>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</si>
  <si>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</si>
  <si>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</si>
  <si>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</si>
  <si>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</si>
  <si>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</si>
  <si>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</si>
  <si>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</si>
  <si>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</si>
  <si>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</si>
  <si>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</si>
  <si>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</si>
  <si>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</si>
  <si>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</si>
  <si>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</si>
  <si>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</si>
  <si>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</si>
  <si>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</si>
  <si>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</si>
  <si>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</si>
  <si>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</si>
  <si>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</si>
  <si>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</si>
  <si>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</si>
  <si>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</si>
  <si>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</si>
  <si>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</si>
  <si>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</si>
  <si>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刘梅</t>
  </si>
  <si>
    <t>吴薇</t>
  </si>
  <si>
    <t>江西省检察院</t>
    <phoneticPr fontId="7" type="noConversion"/>
  </si>
  <si>
    <t>核定资产</t>
  </si>
  <si>
    <t>北京市</t>
    <phoneticPr fontId="7" type="noConversion"/>
  </si>
  <si>
    <t>海淀区玉渊潭公园北侧（玉渊府住宅项目）3号住宅楼11层1单元1101号</t>
    <phoneticPr fontId="7" type="noConversion"/>
  </si>
  <si>
    <t>与房产证证载一致</t>
  </si>
  <si>
    <t>总价</t>
  </si>
  <si>
    <t>总投17亿，土地价格2328.2865万元</t>
    <phoneticPr fontId="4" type="noConversion"/>
  </si>
  <si>
    <t>项目总建筑面积</t>
    <phoneticPr fontId="4" type="noConversion"/>
  </si>
  <si>
    <t>项目总建筑面积</t>
    <phoneticPr fontId="208" type="noConversion"/>
  </si>
  <si>
    <t>产权证</t>
    <phoneticPr fontId="208" type="noConversion"/>
  </si>
  <si>
    <t>1号楼</t>
    <phoneticPr fontId="208" type="noConversion"/>
  </si>
  <si>
    <t>2号楼</t>
    <phoneticPr fontId="208" type="noConversion"/>
  </si>
  <si>
    <t>3号楼</t>
    <phoneticPr fontId="208" type="noConversion"/>
  </si>
  <si>
    <t>4号楼</t>
    <phoneticPr fontId="208" type="noConversion"/>
  </si>
  <si>
    <t>8幢</t>
    <phoneticPr fontId="208" type="noConversion"/>
  </si>
  <si>
    <t>规证</t>
    <phoneticPr fontId="208" type="noConversion"/>
  </si>
  <si>
    <t>5、6、7号住宅楼及地下车库、设备用房</t>
    <phoneticPr fontId="208" type="noConversion"/>
  </si>
  <si>
    <t>总计</t>
    <phoneticPr fontId="208" type="noConversion"/>
  </si>
  <si>
    <t>售价</t>
  </si>
  <si>
    <t>钓鱼台七号院</t>
    <phoneticPr fontId="4" type="noConversion"/>
  </si>
  <si>
    <t>正常</t>
    <phoneticPr fontId="33" type="noConversion"/>
  </si>
  <si>
    <t>住宅</t>
    <phoneticPr fontId="33" type="noConversion"/>
  </si>
  <si>
    <t>60-70（含）</t>
  </si>
  <si>
    <t>估价对象周边居住用地比例大、居住小区规模和社区发展完善程度好，综合评价居住社区成熟度好</t>
    <phoneticPr fontId="61" type="noConversion"/>
  </si>
  <si>
    <t>估价对象周边道路密集、公共交通通达情况好、停车便捷程度好，综合评价交通便捷度好</t>
    <phoneticPr fontId="61" type="noConversion"/>
  </si>
  <si>
    <t>估价对象所在区域公共配套设施齐备</t>
    <phoneticPr fontId="61" type="noConversion"/>
  </si>
  <si>
    <t>估价对象所在区域基础设施水平达到七通</t>
    <phoneticPr fontId="33" type="noConversion"/>
  </si>
  <si>
    <t>区域自然环境：玉渊潭公园、中塔公园；人文环境：北京工商大学、首都师范大学；综合评价环境状况好</t>
    <phoneticPr fontId="61" type="noConversion"/>
  </si>
  <si>
    <t>城市支路</t>
    <phoneticPr fontId="33" type="noConversion"/>
  </si>
  <si>
    <t>好</t>
    <phoneticPr fontId="33" type="noConversion"/>
  </si>
  <si>
    <t>双面临街</t>
  </si>
  <si>
    <t>七通</t>
  </si>
  <si>
    <t>支路</t>
    <phoneticPr fontId="33" type="noConversion"/>
  </si>
  <si>
    <t>3</t>
    <phoneticPr fontId="33" type="noConversion"/>
  </si>
  <si>
    <t>6</t>
    <phoneticPr fontId="33" type="noConversion"/>
  </si>
  <si>
    <t>南北</t>
    <phoneticPr fontId="33" type="noConversion"/>
  </si>
  <si>
    <t>钢混</t>
    <phoneticPr fontId="33" type="noConversion"/>
  </si>
  <si>
    <t>平层</t>
    <phoneticPr fontId="33" type="noConversion"/>
  </si>
  <si>
    <t>板楼</t>
    <phoneticPr fontId="33" type="noConversion"/>
  </si>
  <si>
    <t>好</t>
    <phoneticPr fontId="33" type="noConversion"/>
  </si>
  <si>
    <t>好</t>
    <phoneticPr fontId="33" type="noConversion"/>
  </si>
  <si>
    <t>精装</t>
    <phoneticPr fontId="33" type="noConversion"/>
  </si>
  <si>
    <t>精装</t>
    <phoneticPr fontId="33" type="noConversion"/>
  </si>
  <si>
    <t>专业</t>
    <phoneticPr fontId="33" type="noConversion"/>
  </si>
  <si>
    <t>七通</t>
    <phoneticPr fontId="33" type="noConversion"/>
  </si>
  <si>
    <t>平层</t>
    <phoneticPr fontId="33" type="noConversion"/>
  </si>
  <si>
    <t>时间</t>
  </si>
  <si>
    <t>成交套数(套)</t>
  </si>
  <si>
    <t>成交面积(㎡)</t>
  </si>
  <si>
    <t>成交价格(元)</t>
  </si>
  <si>
    <t>成交金额(万元)</t>
  </si>
  <si>
    <t>2010-04</t>
  </si>
  <si>
    <t>2010-03</t>
  </si>
  <si>
    <t>2010-02</t>
  </si>
  <si>
    <t>2010-01</t>
  </si>
  <si>
    <t>2009-12</t>
  </si>
  <si>
    <t>2009-11</t>
  </si>
  <si>
    <t>2009-10</t>
  </si>
  <si>
    <t>2009-09</t>
  </si>
  <si>
    <t>2009-08</t>
  </si>
  <si>
    <t>2009-07</t>
  </si>
  <si>
    <t>2009-06</t>
  </si>
  <si>
    <t>宗地名称</t>
  </si>
  <si>
    <t>宗地位置</t>
  </si>
  <si>
    <t>竞价起始时间</t>
  </si>
  <si>
    <t>土地面积(平方米)</t>
  </si>
  <si>
    <t>规划建筑面积(平方米)</t>
  </si>
  <si>
    <t>交易方式</t>
  </si>
  <si>
    <t>规划用途</t>
  </si>
  <si>
    <t>成交日期</t>
  </si>
  <si>
    <t>受让单位</t>
  </si>
  <si>
    <t>开发程度</t>
  </si>
  <si>
    <t>现场竞价次数</t>
  </si>
  <si>
    <t>建设用地面积</t>
  </si>
  <si>
    <t>代征地面积</t>
  </si>
  <si>
    <t>挂牌</t>
  </si>
  <si>
    <t>七通一平</t>
  </si>
  <si>
    <t>大兴区黄村镇</t>
  </si>
  <si>
    <t>2009 年2 月26日</t>
  </si>
  <si>
    <t xml:space="preserve">西城区德外居住项目（原德外危改F1地块） </t>
  </si>
  <si>
    <t>西城区德外关厢</t>
  </si>
  <si>
    <t>居住、配套</t>
  </si>
  <si>
    <t xml:space="preserve">昌平区回龙观（F03地块）配套商业用房项目 </t>
  </si>
  <si>
    <t>昌平区回龙观文化居住区</t>
  </si>
  <si>
    <t>居住公共服务设施</t>
  </si>
  <si>
    <t>2009 年3 月5日</t>
  </si>
  <si>
    <t>挂牌出让公告</t>
  </si>
  <si>
    <t>北京市密云县云水名苑居住项目用地</t>
  </si>
  <si>
    <t>密云县密云镇宾阳新村村南</t>
  </si>
  <si>
    <t>居住及居住公共服务设施</t>
  </si>
  <si>
    <t>北京市通州区通胡大街70号居住、商业项目国有建设用地使用权出让</t>
  </si>
  <si>
    <t>北京市通州区通胡大街70号</t>
  </si>
  <si>
    <t>居住及公共服务设施用地、商业金融用地</t>
  </si>
  <si>
    <t>北京市朝阳区广渠门外10号居住用地</t>
  </si>
  <si>
    <t>北京市朝阳区广渠门外10号</t>
  </si>
  <si>
    <t>居住及公共服务设施</t>
  </si>
  <si>
    <t>北京市密云县密云镇新中街西侧居住项目用地</t>
  </si>
  <si>
    <t>密云县密云镇新中街西侧</t>
  </si>
  <si>
    <t>居住、居住公共服务设施</t>
  </si>
  <si>
    <t>密云县檀西路西侧居住项目用地</t>
  </si>
  <si>
    <t>密云县檀西路以西、规划路北侧</t>
  </si>
  <si>
    <t>北京市昌平区昌平新城东沙河西岸居住项目</t>
  </si>
  <si>
    <t>昌平新城东沙河西岸</t>
  </si>
  <si>
    <t>居住、商业金融</t>
  </si>
  <si>
    <t>大兴区康庄</t>
  </si>
  <si>
    <t>北京市通州区永顺镇杨庄路（非常1+1）住宅项目挂牌出让公告</t>
  </si>
  <si>
    <t>通州区永顺镇</t>
  </si>
  <si>
    <t>居住及公共服务设施用地</t>
  </si>
  <si>
    <t>朝阳区奥运村乡（水源九厂东侧）住宅及居住公共服务设施用地</t>
  </si>
  <si>
    <t>朝阳区奥运村乡（原洼里乡）水源九厂东墙外</t>
  </si>
  <si>
    <t>昌平区回龙观（A08、C07-1、C07-2、D01地块）配套商业用房项目</t>
  </si>
  <si>
    <t>昌平区回龙观镇</t>
  </si>
  <si>
    <t>朝阳区广渠路15号</t>
  </si>
  <si>
    <t>大兴区康庄（四期）项目</t>
  </si>
  <si>
    <t>居住用地</t>
  </si>
  <si>
    <t>北京市大兴区黄村（新城北区10号地）居住项目用地国有建设用地使用权出让</t>
  </si>
  <si>
    <t>怀柔区杨宋镇居住及商业金融（影人酒店及住宅）项目</t>
  </si>
  <si>
    <t>怀柔区杨宋镇杨雁路东侧</t>
  </si>
  <si>
    <t>居住及居住公共配套设施、公建、绿地</t>
  </si>
  <si>
    <t>昌平区北七家镇东二旗村居住项目用地</t>
  </si>
  <si>
    <t>昌平北七家东二旗村</t>
  </si>
  <si>
    <t>居住、市政公用设施用地</t>
  </si>
  <si>
    <t>朝阳区王四营乡住宅及公共服务配套设施、医疗卫生用地国有建设用地使用权挂牌出让公告</t>
  </si>
  <si>
    <t>朝阳区王四营乡</t>
  </si>
  <si>
    <t>居住、医疗卫生</t>
  </si>
  <si>
    <t>北京市昌平区城南街道山峡村居住项目用地</t>
  </si>
  <si>
    <t>昌平区城南街道山峡村</t>
  </si>
  <si>
    <t>北京市朝阳区管庄居住及配套服务设施用地</t>
  </si>
  <si>
    <t>朝阳区管庄乡</t>
  </si>
  <si>
    <t>丰台区六里桥住宅项目用地</t>
  </si>
  <si>
    <t>丰台区卢沟桥乡六里桥村</t>
  </si>
  <si>
    <t>居住</t>
  </si>
  <si>
    <t>朝阳区奥运村乡安立路西侧居住用地</t>
  </si>
  <si>
    <t>六通一平</t>
  </si>
  <si>
    <t>三通一平</t>
  </si>
  <si>
    <t>亦庄新城III-1街区F地块居住及配套项目用地</t>
  </si>
  <si>
    <t>北京市大兴区亦庄镇</t>
  </si>
  <si>
    <t>居住及配套等</t>
  </si>
  <si>
    <t>北京远东新地置业有限公司</t>
  </si>
  <si>
    <t>地铁大兴线枣园路站居住及多功能（一期、三期）项目用地</t>
  </si>
  <si>
    <t>居住、住宅混合公建、其它类多功能、广场、社会停车场库用地</t>
  </si>
  <si>
    <t>中国中建地产有限公司与中建国际建设有限公司联合体</t>
  </si>
  <si>
    <t>地铁大兴线枣园路站居住及多功能（二期）项目用地</t>
  </si>
  <si>
    <t>居住、居住区配套教育用地</t>
  </si>
  <si>
    <t>北京新城时代房地产开发有限公司</t>
  </si>
  <si>
    <t>平谷区平谷镇(平谷1号地)居住项目</t>
  </si>
  <si>
    <t>平谷区平谷镇</t>
  </si>
  <si>
    <t>北京建机天润房地产开发有限公司</t>
  </si>
  <si>
    <t>海淀区西三旗居住、商业金融项目</t>
  </si>
  <si>
    <t>海淀区西三旗建材城东</t>
  </si>
  <si>
    <t>北京西三旗高新建材城经营开发有限公司</t>
  </si>
  <si>
    <t>房山区窦店镇居住、商业项目用地（田家园小区二期）</t>
  </si>
  <si>
    <t>房山区窦店镇</t>
  </si>
  <si>
    <t>居住、商业</t>
  </si>
  <si>
    <t>北京田家园房地产开发有限公司</t>
  </si>
  <si>
    <t>门头沟区新城城子地区21-218居住项目</t>
  </si>
  <si>
    <t>门头沟区龙泉镇城子村</t>
  </si>
  <si>
    <t>居住及配套</t>
  </si>
  <si>
    <t>北京天台山房地产开发有限公司</t>
  </si>
  <si>
    <t>起始价(万元)</t>
    <phoneticPr fontId="260" type="noConversion"/>
  </si>
  <si>
    <t>成交价(万元)</t>
    <phoneticPr fontId="260" type="noConversion"/>
  </si>
  <si>
    <t>地上楼面单价</t>
    <phoneticPr fontId="260" type="noConversion"/>
  </si>
  <si>
    <t>地上容积率</t>
    <phoneticPr fontId="260" type="noConversion"/>
  </si>
  <si>
    <t>地面单价</t>
    <phoneticPr fontId="260" type="noConversion"/>
  </si>
  <si>
    <t>每亩价格</t>
    <phoneticPr fontId="260" type="noConversion"/>
  </si>
  <si>
    <t>北京华融基础设施投资有限责任公司</t>
    <phoneticPr fontId="260" type="noConversion"/>
  </si>
  <si>
    <t>七通一平</t>
    <phoneticPr fontId="260" type="noConversion"/>
  </si>
  <si>
    <t>北京城建三房地产开发有限公司</t>
    <phoneticPr fontId="260" type="noConversion"/>
  </si>
  <si>
    <t>六通一平</t>
    <phoneticPr fontId="260" type="noConversion"/>
  </si>
  <si>
    <t>保利（北京）房地产开发有限公司</t>
    <phoneticPr fontId="260" type="noConversion"/>
  </si>
  <si>
    <t>三通一平</t>
    <phoneticPr fontId="260" type="noConversion"/>
  </si>
  <si>
    <t>北京麦金利地产开发有限公司</t>
    <phoneticPr fontId="260" type="noConversion"/>
  </si>
  <si>
    <t>北京富力城房地产开发有限公司</t>
    <phoneticPr fontId="260" type="noConversion"/>
  </si>
  <si>
    <t>北京信远福缘房地产开发集团有限公司</t>
    <phoneticPr fontId="260" type="noConversion"/>
  </si>
  <si>
    <t>北京都城置业有限公司</t>
    <phoneticPr fontId="260" type="noConversion"/>
  </si>
  <si>
    <t>北京金隅嘉业房地产开发有限公司</t>
    <phoneticPr fontId="260" type="noConversion"/>
  </si>
  <si>
    <t>北京祈连房地产开发有限公司</t>
    <phoneticPr fontId="260" type="noConversion"/>
  </si>
  <si>
    <t>成都中泽置业有限公司</t>
    <phoneticPr fontId="260" type="noConversion"/>
  </si>
  <si>
    <t>智地创展（北京）投资有限公司与北京创智天地房地产开发有限公司联合体</t>
    <phoneticPr fontId="260" type="noConversion"/>
  </si>
  <si>
    <t>中化方兴投资管理（北京）有限公司</t>
    <phoneticPr fontId="260" type="noConversion"/>
  </si>
  <si>
    <t>三通现状</t>
    <phoneticPr fontId="260" type="noConversion"/>
  </si>
  <si>
    <t>北京东亚信义国际会展中心有限公司</t>
    <phoneticPr fontId="260" type="noConversion"/>
  </si>
  <si>
    <t>旭辉集团股份有限公司</t>
    <phoneticPr fontId="260" type="noConversion"/>
  </si>
  <si>
    <t>北京亿来置业有限公司</t>
    <phoneticPr fontId="260" type="noConversion"/>
  </si>
  <si>
    <t>北京京基房地产开发有限公司</t>
    <phoneticPr fontId="260" type="noConversion"/>
  </si>
  <si>
    <t>北京建工集团有限责任公司</t>
    <phoneticPr fontId="260" type="noConversion"/>
  </si>
  <si>
    <t>北京正宏房地产开发有限公司</t>
    <phoneticPr fontId="260" type="noConversion"/>
  </si>
  <si>
    <t>北京中联置地房地产开发有限公司</t>
    <phoneticPr fontId="260" type="noConversion"/>
  </si>
  <si>
    <t>北京景旭房地产开发有限公司</t>
    <phoneticPr fontId="260" type="noConversion"/>
  </si>
  <si>
    <t>北京金力投资有限公司</t>
    <phoneticPr fontId="260" type="noConversion"/>
  </si>
  <si>
    <t xml:space="preserve">西城区德外居住项目（原德外危改F1地块） </t>
    <phoneticPr fontId="259" type="noConversion"/>
  </si>
  <si>
    <t>序号</t>
    <phoneticPr fontId="4" type="noConversion"/>
  </si>
  <si>
    <t>归档编号</t>
  </si>
  <si>
    <t>土储编号</t>
  </si>
  <si>
    <t>项目名称（案名）</t>
  </si>
  <si>
    <t>项目位置</t>
  </si>
  <si>
    <t>出让形式</t>
  </si>
  <si>
    <t>宗地数（链接至‘土地信息-2’）</t>
  </si>
  <si>
    <t>土地用途</t>
  </si>
  <si>
    <t>用地规模</t>
  </si>
  <si>
    <t>出让建筑规模</t>
  </si>
  <si>
    <t>地上容积率</t>
  </si>
  <si>
    <t>基础设施情况</t>
  </si>
  <si>
    <t>挂牌时间</t>
  </si>
  <si>
    <t>招拍挂底价</t>
  </si>
  <si>
    <t>政府土地收益</t>
  </si>
  <si>
    <t>政府土地收益（补缴）</t>
  </si>
  <si>
    <t>土地开发补偿费</t>
  </si>
  <si>
    <t>摘牌</t>
  </si>
  <si>
    <t>基准地价(级别及上限)</t>
  </si>
  <si>
    <t>数据录入</t>
  </si>
  <si>
    <t>位置</t>
  </si>
  <si>
    <t>区县</t>
  </si>
  <si>
    <t>商圈（街道名或开发园区）</t>
  </si>
  <si>
    <t>环线位置</t>
  </si>
  <si>
    <t>四至</t>
  </si>
  <si>
    <t>位置图（扫描后，做链接）</t>
  </si>
  <si>
    <t>用地性质</t>
  </si>
  <si>
    <t>出让用途及建筑面积</t>
  </si>
  <si>
    <t>占地面积</t>
  </si>
  <si>
    <t>建设用地</t>
  </si>
  <si>
    <t>地上建筑规模</t>
  </si>
  <si>
    <t>配建情况</t>
  </si>
  <si>
    <t>总额</t>
  </si>
  <si>
    <t>政府土地收益内涵</t>
  </si>
  <si>
    <t>价格内涵（用途）</t>
  </si>
  <si>
    <t>实际收益</t>
  </si>
  <si>
    <t>实际收益比率（实际收益/开发补偿费）</t>
    <phoneticPr fontId="4" type="noConversion"/>
  </si>
  <si>
    <t>未超出让（含综合、商业）</t>
    <phoneticPr fontId="4" type="noConversion"/>
  </si>
  <si>
    <t>超出让—地上</t>
  </si>
  <si>
    <t>超出让—地下</t>
  </si>
  <si>
    <t>补偿费类型</t>
  </si>
  <si>
    <t>占比（底价）</t>
  </si>
  <si>
    <t>占比（成交）</t>
  </si>
  <si>
    <t>实物补偿</t>
  </si>
  <si>
    <t>摘牌价格</t>
  </si>
  <si>
    <t>增值系数＝摘牌/挂牌</t>
  </si>
  <si>
    <t>摘牌企业</t>
  </si>
  <si>
    <t>摘牌时间</t>
  </si>
  <si>
    <t>报价/竞价次数(轮数)</t>
  </si>
  <si>
    <t>东</t>
  </si>
  <si>
    <t>南</t>
  </si>
  <si>
    <t>西</t>
  </si>
  <si>
    <t>北</t>
  </si>
  <si>
    <t>综合</t>
  </si>
  <si>
    <t>面积</t>
  </si>
  <si>
    <t>占比</t>
  </si>
  <si>
    <t>大于等于</t>
  </si>
  <si>
    <t>小于等于</t>
  </si>
  <si>
    <t>配建类型</t>
  </si>
  <si>
    <t>配建面积确定方式</t>
  </si>
  <si>
    <t>配建面积</t>
  </si>
  <si>
    <t>配建占比</t>
    <phoneticPr fontId="4" type="noConversion"/>
  </si>
  <si>
    <t>销售价格</t>
  </si>
  <si>
    <t>宗地开发程度</t>
  </si>
  <si>
    <t>具体情况</t>
  </si>
  <si>
    <t>管线情况</t>
  </si>
  <si>
    <t>地面单价</t>
  </si>
  <si>
    <t>综合、商业</t>
  </si>
  <si>
    <t>其他经营部分</t>
  </si>
  <si>
    <t>政府土地收益楼面单价</t>
  </si>
  <si>
    <t>所属集团</t>
  </si>
  <si>
    <t>企业名称</t>
  </si>
  <si>
    <t>录入人</t>
  </si>
  <si>
    <t>京土整储挂（海）[2010]019号</t>
  </si>
  <si>
    <r>
      <t>2</t>
    </r>
    <r>
      <rPr>
        <sz val="10"/>
        <rFont val="宋体"/>
        <family val="3"/>
        <charset val="134"/>
      </rPr>
      <t>009-7</t>
    </r>
  </si>
  <si>
    <r>
      <t>京土整储挂（西）[2009]00</t>
    </r>
    <r>
      <rPr>
        <sz val="10"/>
        <rFont val="宋体"/>
        <family val="3"/>
        <charset val="134"/>
      </rPr>
      <t>1</t>
    </r>
    <r>
      <rPr>
        <sz val="10"/>
        <rFont val="宋体"/>
        <family val="3"/>
        <charset val="134"/>
      </rPr>
      <t>号</t>
    </r>
  </si>
  <si>
    <t>西城区德外关厢。具体四至范围是：东至德外1号路，西至德胜里西路，南至教场口路（北京市安定医院），北至中直机关宿舍。</t>
  </si>
  <si>
    <t>西城区</t>
  </si>
  <si>
    <t>德外</t>
  </si>
  <si>
    <t>北二环至北三环</t>
  </si>
  <si>
    <t>德外1号路</t>
  </si>
  <si>
    <t>教场口路（北京市安定医院）</t>
  </si>
  <si>
    <t>德胜里西路</t>
  </si>
  <si>
    <t>中直机关宿舍</t>
  </si>
  <si>
    <t>位置图\2009-7</t>
  </si>
  <si>
    <t>√</t>
  </si>
  <si>
    <t>廉租房</t>
  </si>
  <si>
    <t>“七通”指通上水、通雨污水、通电、通路、通信、通燃气、通热力；“一平”除除树木伐移外的场地自然平整</t>
  </si>
  <si>
    <t>开发程度具体标准\2009-7</t>
  </si>
  <si>
    <t>含土地出让金和城市基础设施建设费</t>
  </si>
  <si>
    <t>900</t>
  </si>
  <si>
    <t>成交单价</t>
  </si>
  <si>
    <r>
      <t>成交单价+</t>
    </r>
    <r>
      <rPr>
        <sz val="10"/>
        <rFont val="宋体"/>
        <family val="3"/>
        <charset val="134"/>
      </rPr>
      <t>90</t>
    </r>
    <r>
      <rPr>
        <sz val="10"/>
        <rFont val="宋体"/>
        <family val="3"/>
        <charset val="134"/>
      </rPr>
      <t>0</t>
    </r>
  </si>
  <si>
    <t>政府土地收益单价×1/3</t>
  </si>
  <si>
    <t>成交单价×1/3</t>
  </si>
  <si>
    <t>土地开发建设补偿费</t>
  </si>
  <si>
    <t xml:space="preserve">北京华融基础设施投资有限责任公司
</t>
  </si>
  <si>
    <t>综合三级：4940</t>
  </si>
  <si>
    <r>
      <t>商业四级：5</t>
    </r>
    <r>
      <rPr>
        <sz val="10"/>
        <rFont val="宋体"/>
        <family val="3"/>
        <charset val="134"/>
      </rPr>
      <t>090</t>
    </r>
  </si>
  <si>
    <t>徐浚峰</t>
  </si>
  <si>
    <t>朝阳区奥运村乡（景藏公园北侧）</t>
    <phoneticPr fontId="259" type="noConversion"/>
  </si>
  <si>
    <t>朝阳区广渠路15号居住及公共服务设施项目用地</t>
    <phoneticPr fontId="259" type="noConversion"/>
  </si>
  <si>
    <t>三通</t>
  </si>
  <si>
    <t>土地成交楼面单价×1/3</t>
  </si>
  <si>
    <t>居住五级2790</t>
  </si>
  <si>
    <t>舒宜</t>
  </si>
  <si>
    <t>起始价</t>
  </si>
  <si>
    <t>成交价</t>
  </si>
  <si>
    <t>地上楼面单价</t>
    <phoneticPr fontId="4" type="noConversion"/>
  </si>
  <si>
    <t>地上容积率</t>
    <phoneticPr fontId="4" type="noConversion"/>
  </si>
  <si>
    <t>地面单价</t>
    <phoneticPr fontId="4" type="noConversion"/>
  </si>
  <si>
    <t>每亩价格</t>
    <phoneticPr fontId="4" type="noConversion"/>
  </si>
  <si>
    <t>(万元)</t>
  </si>
  <si>
    <t xml:space="preserve">海淀区高梁桥商业金融项目 </t>
  </si>
  <si>
    <t>海淀区东升乡高梁桥路慈献寺14号</t>
  </si>
  <si>
    <t>旅馆饭店</t>
  </si>
  <si>
    <t>2008 年1 月18日</t>
  </si>
  <si>
    <t>北京钰苑房地产开发有限公司</t>
  </si>
  <si>
    <t xml:space="preserve">东城区安定门外大街7号地综合楼项目 </t>
  </si>
  <si>
    <t>东城区安定门外大街7号</t>
  </si>
  <si>
    <t>办公、商业</t>
  </si>
  <si>
    <t>中国黄金集团公司</t>
  </si>
  <si>
    <t>五通一平</t>
  </si>
  <si>
    <t xml:space="preserve">北京市海淀区六道口（文成杰座）居住项目 </t>
  </si>
  <si>
    <t>海淀区六道口林业大学东侧</t>
  </si>
  <si>
    <t>住宅及居住公建服务设施</t>
  </si>
  <si>
    <t>2008 年1 月30日</t>
  </si>
  <si>
    <t>中铁置业集团有限公司</t>
  </si>
  <si>
    <t xml:space="preserve">朝阳区望京（B15）文化娱乐项目 </t>
  </si>
  <si>
    <t>朝阳区望京地区</t>
  </si>
  <si>
    <t>文化娱乐</t>
  </si>
  <si>
    <t>北京城市开发集团有限责任公司</t>
  </si>
  <si>
    <t xml:space="preserve">朝阳区芍药居东区住宅及配套、公建项目用地1组团 </t>
  </si>
  <si>
    <t>朝阳区太阳宫乡北四环东路南侧</t>
  </si>
  <si>
    <t>278000(招标底价)</t>
  </si>
  <si>
    <t>招标</t>
  </si>
  <si>
    <t>2008 年2 月1日</t>
  </si>
  <si>
    <t>北京东方时代房地产开发有限责任公司和东方康泰房地产开发经营有限责任公司投标联合体</t>
  </si>
  <si>
    <t xml:space="preserve">朝阳区芍药居东区住宅及配套、公建项目用地2组团 </t>
  </si>
  <si>
    <t>294100(招标底价)</t>
  </si>
  <si>
    <t>居住及居住公共服务设施、教育、混合用地</t>
  </si>
  <si>
    <t>北京懋源置业有限公司和北京懋源房屋开发有限公司投标联合体</t>
  </si>
  <si>
    <t xml:space="preserve">朝阳区南沙滩东路3号住宅及居住公共服务设施项目用地 </t>
  </si>
  <si>
    <t>朝阳区南沙滩东路3号</t>
  </si>
  <si>
    <t>33240(招标底价)</t>
  </si>
  <si>
    <t>住宅及居住公共服务设施</t>
  </si>
  <si>
    <t>2008 年2 月3日</t>
  </si>
  <si>
    <t>绿城房地产集团有限公司</t>
  </si>
  <si>
    <t xml:space="preserve">朝阳区来广营乡清河营村住宅及配套、商业金融（1号地）项目用地 </t>
  </si>
  <si>
    <t>朝阳区来广营乡清河营村</t>
  </si>
  <si>
    <t>194270(招标底价)</t>
  </si>
  <si>
    <t>住宅及居住公共服务设施、商业金融业</t>
  </si>
  <si>
    <t>北京中联亚房地产有限公司</t>
  </si>
  <si>
    <t xml:space="preserve">朝阳东坝朝阳新城非配套公建项目 </t>
  </si>
  <si>
    <t>朝阳东坝</t>
  </si>
  <si>
    <t>商业服务业可兼容医院门诊所、娱乐设施</t>
  </si>
  <si>
    <t>2008 年3 月27日</t>
  </si>
  <si>
    <t>北京金隅嘉业房地产开发有限公司</t>
  </si>
  <si>
    <t xml:space="preserve">海淀区温泉镇工业用地（北地块） </t>
  </si>
  <si>
    <t>海淀区温泉镇辛庄村</t>
  </si>
  <si>
    <t>2008 年5 月26日</t>
  </si>
  <si>
    <t>北京福泉投资有限公司</t>
  </si>
  <si>
    <t xml:space="preserve">朝阳区华严北里46号办公（兼住宅）项目用地 </t>
  </si>
  <si>
    <t>华严北里46号</t>
  </si>
  <si>
    <t>办公、居住及居住公共服务设施</t>
  </si>
  <si>
    <t>2008 年5 月27日</t>
  </si>
  <si>
    <t>北京祥业房地产有限公司</t>
  </si>
  <si>
    <t xml:space="preserve">朝阳区平房乡黄渠村公共设施（商业金融、文化娱乐）项目用地 </t>
  </si>
  <si>
    <t>朝阳区平房乡黄渠村</t>
  </si>
  <si>
    <t>商业金融、文化娱乐</t>
  </si>
  <si>
    <t>2008 年6 月23日</t>
  </si>
  <si>
    <t>北京亚宝世纪置业有限公司</t>
  </si>
  <si>
    <t xml:space="preserve">海淀区西二旗东路商业金融项目用地 </t>
  </si>
  <si>
    <t>海淀区西三旗路东路</t>
  </si>
  <si>
    <t>商业金融及附属设施</t>
  </si>
  <si>
    <t>2008 年7 月15日</t>
  </si>
  <si>
    <t>北京中邮恒润投资有限公司</t>
  </si>
  <si>
    <t xml:space="preserve">朝阳区管庄乡小寺村住宅及居住公共服务设施用地 </t>
  </si>
  <si>
    <t>157610(招标底价)</t>
  </si>
  <si>
    <t>居住用地、公共绿地</t>
  </si>
  <si>
    <t>2008 年11 月19日</t>
  </si>
  <si>
    <t>北京中联置地房地产开发有限公司</t>
  </si>
  <si>
    <t xml:space="preserve">朝阳区西大望路21号（新天嘉园南区）商业金融、医院项目用地 </t>
  </si>
  <si>
    <t>朝阳区西大望路21号</t>
  </si>
  <si>
    <t>商业金融、医院</t>
  </si>
  <si>
    <t>2008 年12 月1日</t>
  </si>
  <si>
    <t>北京合生愉景房地产开发有限公司</t>
  </si>
  <si>
    <t xml:space="preserve">朝阳区大羊坊居住、商业金融、文化娱乐、教育科研等项目用地 </t>
  </si>
  <si>
    <t>朝阳区大羊坊6号院</t>
  </si>
  <si>
    <t>居住、居住公共服务设施、商业金融、文化娱乐、教育科研等</t>
  </si>
  <si>
    <t>2008 年12 月2日</t>
  </si>
  <si>
    <t>中国水电建设集团房地产有限公司</t>
  </si>
  <si>
    <t xml:space="preserve">北京市海淀区西北旺新村三期（南）居住项目 </t>
  </si>
  <si>
    <t>海淀区西北旺新村东南部</t>
  </si>
  <si>
    <t>居住用地等</t>
  </si>
  <si>
    <t>2008 年12 月9日</t>
  </si>
  <si>
    <t>北京首钢融创置地有限公司</t>
  </si>
  <si>
    <t>2009-68</t>
  </si>
  <si>
    <t xml:space="preserve">京土整储挂（丰）[2009]083号 </t>
  </si>
  <si>
    <t>位于丰台区卢沟桥乡六里桥村。具体四至范围是：东至六里桥新村项目，南至规划六里桥村产业用地 ，西至万寿路南延及武警水电指挥部住宅楼边界，北至马关营南路。</t>
  </si>
  <si>
    <t>丰台区</t>
  </si>
  <si>
    <t>六里桥</t>
  </si>
  <si>
    <t>西三环至西四环</t>
  </si>
  <si>
    <t>六里桥新村项目</t>
  </si>
  <si>
    <t>规划六里桥村产业用地</t>
  </si>
  <si>
    <t>万寿路南延及武警水电指挥部住宅楼边界</t>
  </si>
  <si>
    <t>马关营南路</t>
  </si>
  <si>
    <t>位置图\2009-68</t>
  </si>
  <si>
    <t>“六通”指通上水、通雨污水、通电力、通讯、通燃气、通路，“一平”指除树木、线杆伐移和代征地内围墙外的场地自然平整</t>
  </si>
  <si>
    <t>开发程度具体标准\2009-68</t>
  </si>
  <si>
    <r>
      <t>6</t>
    </r>
    <r>
      <rPr>
        <sz val="10"/>
        <rFont val="宋体"/>
        <family val="3"/>
        <charset val="134"/>
      </rPr>
      <t>00</t>
    </r>
  </si>
  <si>
    <t>土地成交楼面单价+600</t>
  </si>
  <si>
    <t>北京景旭房地产开发有限公司</t>
  </si>
  <si>
    <t>21</t>
  </si>
  <si>
    <t xml:space="preserve">商业五级4000 </t>
  </si>
  <si>
    <t>正常</t>
    <phoneticPr fontId="44" type="noConversion"/>
  </si>
  <si>
    <t>70</t>
    <phoneticPr fontId="44" type="noConversion"/>
  </si>
  <si>
    <t>北京师范大学、人定湖公园</t>
    <phoneticPr fontId="44" type="noConversion"/>
  </si>
  <si>
    <t>莲花池公园、万丰公园</t>
    <phoneticPr fontId="44" type="noConversion"/>
  </si>
  <si>
    <t>圆明园、清华大学、北京农业大学</t>
    <phoneticPr fontId="44" type="noConversion"/>
  </si>
  <si>
    <t>单面临街</t>
  </si>
  <si>
    <t>城市支路</t>
    <phoneticPr fontId="44" type="noConversion"/>
  </si>
  <si>
    <t>快速路</t>
    <phoneticPr fontId="44" type="noConversion"/>
  </si>
  <si>
    <t>主干道</t>
  </si>
  <si>
    <t>主干道</t>
    <phoneticPr fontId="44" type="noConversion"/>
  </si>
  <si>
    <t>次干道</t>
    <phoneticPr fontId="44" type="noConversion"/>
  </si>
  <si>
    <t>支路</t>
  </si>
  <si>
    <t>支路</t>
    <phoneticPr fontId="44" type="noConversion"/>
  </si>
  <si>
    <t>学清路</t>
    <phoneticPr fontId="44" type="noConversion"/>
  </si>
  <si>
    <t>德胜里西路</t>
    <phoneticPr fontId="44" type="noConversion"/>
  </si>
  <si>
    <t>马官营南路</t>
    <phoneticPr fontId="44" type="noConversion"/>
  </si>
  <si>
    <t>规则</t>
    <phoneticPr fontId="44" type="noConversion"/>
  </si>
  <si>
    <t>较规则</t>
  </si>
  <si>
    <t>较规则</t>
    <phoneticPr fontId="44" type="noConversion"/>
  </si>
  <si>
    <t>不规则</t>
    <phoneticPr fontId="44" type="noConversion"/>
  </si>
  <si>
    <t>适宜</t>
    <phoneticPr fontId="44" type="noConversion"/>
  </si>
  <si>
    <t>较适宜</t>
  </si>
  <si>
    <t>较适宜</t>
    <phoneticPr fontId="44" type="noConversion"/>
  </si>
  <si>
    <t>不适宜</t>
    <phoneticPr fontId="44" type="noConversion"/>
  </si>
  <si>
    <t>七通</t>
    <phoneticPr fontId="44" type="noConversion"/>
  </si>
  <si>
    <t>六通</t>
    <phoneticPr fontId="44" type="noConversion"/>
  </si>
  <si>
    <t>五通</t>
    <phoneticPr fontId="44" type="noConversion"/>
  </si>
  <si>
    <t>四通</t>
    <phoneticPr fontId="44" type="noConversion"/>
  </si>
  <si>
    <t>三通</t>
    <phoneticPr fontId="44" type="noConversion"/>
  </si>
  <si>
    <t>比较法-住宅</t>
  </si>
  <si>
    <t>成本法</t>
  </si>
  <si>
    <t>二级</t>
    <phoneticPr fontId="44" type="noConversion"/>
  </si>
  <si>
    <t>四级</t>
    <phoneticPr fontId="44" type="noConversion"/>
  </si>
  <si>
    <t>一级</t>
    <phoneticPr fontId="44" type="noConversion"/>
  </si>
  <si>
    <t>三级</t>
    <phoneticPr fontId="44" type="noConversion"/>
  </si>
  <si>
    <t>五级</t>
    <phoneticPr fontId="44" type="noConversion"/>
  </si>
  <si>
    <t>居住</t>
    <phoneticPr fontId="44" type="noConversion"/>
  </si>
  <si>
    <t>居住</t>
    <phoneticPr fontId="44" type="noConversion"/>
  </si>
  <si>
    <t>居住、配套</t>
    <phoneticPr fontId="44" type="noConversion"/>
  </si>
  <si>
    <t>住宅及居住公建服务设施</t>
    <phoneticPr fontId="44" type="noConversion"/>
  </si>
  <si>
    <t>已包含在土地取得成本中</t>
  </si>
  <si>
    <t>已包含在土地购买价格中</t>
  </si>
  <si>
    <t>总投</t>
    <phoneticPr fontId="4" type="noConversion"/>
  </si>
  <si>
    <t>土地价格</t>
    <phoneticPr fontId="4" type="noConversion"/>
  </si>
  <si>
    <t>契税及印花税</t>
    <phoneticPr fontId="4" type="noConversion"/>
  </si>
  <si>
    <t>公共配套</t>
    <phoneticPr fontId="4" type="noConversion"/>
  </si>
  <si>
    <t>红线内市政</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</si>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</sst>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name val="Arial"/>
      <family val="2"/>
    </font>
    <font>
      <b/>
      <sz val="10"/>
      <color indexed="8"/>
      <name val="宋体"/>
      <family val="3"/>
      <charset val="134"/>
    </font>
    <font>
      <sz val="9"/>
      <name val="宋体"/>
      <family val="3"/>
      <charset val="134"/>
      <scheme val="minor"/>
    </font>
    <font>
      <sz val="9"/>
      <name val="宋体"/>
      <family val="3"/>
      <charset val="134"/>
    </font>
    <font>
      <b/>
      <sz val="9"/>
      <color indexed="8"/>
      <name val="宋体"/>
      <family val="3"/>
      <charset val="134"/>
    </font>
    <font>
      <sz val="10"/>
      <name val="宋体"/>
      <family val="3"/>
      <charset val="134"/>
    </font>
    <font>
      <sz val="10"/>
      <color indexed="8"/>
      <name val="宋体"/>
      <family val="3"/>
      <charset val="134"/>
    </font>
    <font>
      <u/>
      <sz val="12"/>
      <color indexed="12"/>
      <name val="宋体"/>
      <family val="3"/>
      <charset val="134"/>
    </font>
    <font>
      <u/>
      <sz val="10"/>
      <color indexed="12"/>
      <name val="宋体"/>
      <family val="3"/>
      <charset val="134"/>
    </font>
    <font>
      <sz val="9"/>
      <color indexed="8"/>
      <name val="宋体"/>
      <family val="3"/>
      <charset val="134"/>
    </font>
    <font>
      <sz val="10"/>
      <color rgb="FFFF0000"/>
      <name val="宋体"/>
      <family val="3"/>
      <charset val="134"/>
    </font>
    <font>
      <u/>
      <sz val="10"/>
      <color rgb="FFFF0000"/>
      <name val="宋体"/>
      <family val="3"/>
      <charset val="134"/>
    </font>
    <font>
      <sz val="9"/>
      <color rgb="FFFF0000"/>
      <name val="宋体"/>
      <family val="3"/>
      <charset val="134"/>
    </font>
    <font>
      <b/>
      <i/>
      <sz val="10"/>
      <name val="宋体"/>
      <family val="3"/>
      <charset val="134"/>
    </font>
    <font>
      <b/>
      <sz val="11"/>
      <color indexed="2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6">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257" fillId="0" borderId="0"/>
    <xf numFmtId="0" fontId="264" fillId="0" borderId="0" applyNumberFormat="0" applyFill="0" applyBorder="0" applyAlignment="0" applyProtection="0">
      <alignment vertical="top"/>
      <protection locked="0"/>
    </xf>
  </cellStyleXfs>
  <cellXfs count="364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257" fillId="0" borderId="0" xfId="14"/>
    <xf numFmtId="10" fontId="0" fillId="0" borderId="0" xfId="0" applyNumberFormat="1">
      <alignment vertical="center"/>
    </xf>
    <xf numFmtId="0" fontId="135" fillId="14" borderId="35"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protection locked="0"/>
    </xf>
    <xf numFmtId="0" fontId="28" fillId="5" borderId="21" xfId="0" applyNumberFormat="1" applyFont="1" applyFill="1" applyBorder="1" applyAlignment="1" applyProtection="1">
      <alignment vertical="center" wrapText="1"/>
      <protection locked="0"/>
    </xf>
    <xf numFmtId="190" fontId="65" fillId="5" borderId="28" xfId="0" applyNumberFormat="1" applyFont="1" applyFill="1" applyBorder="1" applyAlignment="1" applyProtection="1">
      <alignment horizontal="center" vertical="center" wrapText="1"/>
      <protection locked="0"/>
    </xf>
    <xf numFmtId="190" fontId="65" fillId="5" borderId="11" xfId="0" applyNumberFormat="1" applyFont="1" applyFill="1" applyBorder="1" applyAlignment="1" applyProtection="1">
      <alignment horizontal="center" vertical="center" wrapText="1"/>
      <protection locked="0"/>
    </xf>
    <xf numFmtId="190" fontId="135" fillId="14" borderId="11" xfId="0" applyNumberFormat="1" applyFont="1" applyFill="1" applyBorder="1" applyAlignment="1" applyProtection="1">
      <alignment horizontal="center" vertical="center" wrapText="1"/>
      <protection locked="0"/>
    </xf>
    <xf numFmtId="0" fontId="262" fillId="0" borderId="1" xfId="0" applyFont="1" applyBorder="1">
      <alignment vertical="center"/>
    </xf>
    <xf numFmtId="0" fontId="258" fillId="16" borderId="1" xfId="0" applyFont="1" applyFill="1" applyBorder="1" applyAlignment="1">
      <alignment horizontal="center" vertical="center" wrapText="1"/>
    </xf>
    <xf numFmtId="0" fontId="263" fillId="3" borderId="1" xfId="0" applyFont="1" applyFill="1" applyBorder="1" applyAlignment="1">
      <alignment horizontal="center" vertical="center" wrapText="1"/>
    </xf>
    <xf numFmtId="0" fontId="265" fillId="3" borderId="1" xfId="15" applyFont="1" applyFill="1" applyBorder="1" applyAlignment="1" applyProtection="1">
      <alignment horizontal="center" vertical="center" wrapText="1"/>
    </xf>
    <xf numFmtId="31" fontId="263" fillId="3" borderId="1" xfId="0" applyNumberFormat="1" applyFont="1" applyFill="1" applyBorder="1" applyAlignment="1">
      <alignment horizontal="center" vertical="center" wrapText="1"/>
    </xf>
    <xf numFmtId="14" fontId="263" fillId="3" borderId="1" xfId="0" applyNumberFormat="1" applyFont="1" applyFill="1" applyBorder="1" applyAlignment="1">
      <alignment horizontal="center" vertical="center" wrapText="1"/>
    </xf>
    <xf numFmtId="0" fontId="266" fillId="3" borderId="1" xfId="0" applyFont="1" applyFill="1" applyBorder="1" applyAlignment="1">
      <alignment horizontal="center" vertical="center" wrapText="1"/>
    </xf>
    <xf numFmtId="177" fontId="262" fillId="3" borderId="1" xfId="0" applyNumberFormat="1" applyFont="1" applyFill="1" applyBorder="1" applyAlignment="1">
      <alignment horizontal="center" vertical="center"/>
    </xf>
    <xf numFmtId="179" fontId="262" fillId="3" borderId="1" xfId="0" applyNumberFormat="1" applyFont="1" applyFill="1" applyBorder="1">
      <alignment vertical="center"/>
    </xf>
    <xf numFmtId="177" fontId="262" fillId="0" borderId="1" xfId="0" applyNumberFormat="1" applyFont="1" applyBorder="1">
      <alignment vertical="center"/>
    </xf>
    <xf numFmtId="0" fontId="267" fillId="3" borderId="1" xfId="0" applyFont="1" applyFill="1" applyBorder="1" applyAlignment="1">
      <alignment horizontal="center" vertical="center" wrapText="1"/>
    </xf>
    <xf numFmtId="0" fontId="268" fillId="3" borderId="1" xfId="15" applyFont="1" applyFill="1" applyBorder="1" applyAlignment="1" applyProtection="1">
      <alignment horizontal="center" vertical="center" wrapText="1"/>
    </xf>
    <xf numFmtId="31" fontId="267" fillId="3" borderId="1" xfId="0" applyNumberFormat="1" applyFont="1" applyFill="1" applyBorder="1" applyAlignment="1">
      <alignment horizontal="center" vertical="center" wrapText="1"/>
    </xf>
    <xf numFmtId="14" fontId="267" fillId="3" borderId="1" xfId="0" applyNumberFormat="1" applyFont="1" applyFill="1" applyBorder="1" applyAlignment="1">
      <alignment horizontal="center" vertical="center" wrapText="1"/>
    </xf>
    <xf numFmtId="0" fontId="269" fillId="3" borderId="1" xfId="0" applyFont="1" applyFill="1" applyBorder="1" applyAlignment="1">
      <alignment horizontal="center" vertical="center" wrapText="1"/>
    </xf>
    <xf numFmtId="177" fontId="267" fillId="3" borderId="1" xfId="0" applyNumberFormat="1" applyFont="1" applyFill="1" applyBorder="1" applyAlignment="1">
      <alignment horizontal="center" vertical="center"/>
    </xf>
    <xf numFmtId="179" fontId="267" fillId="3" borderId="1" xfId="0" applyNumberFormat="1" applyFont="1" applyFill="1" applyBorder="1">
      <alignment vertical="center"/>
    </xf>
    <xf numFmtId="177" fontId="267" fillId="0" borderId="1" xfId="0" applyNumberFormat="1" applyFont="1" applyBorder="1">
      <alignment vertical="center"/>
    </xf>
    <xf numFmtId="0" fontId="267" fillId="0" borderId="1" xfId="0" applyFont="1" applyBorder="1">
      <alignment vertical="center"/>
    </xf>
    <xf numFmtId="0" fontId="262" fillId="0" borderId="0" xfId="0" applyFont="1">
      <alignment vertical="center"/>
    </xf>
    <xf numFmtId="14" fontId="262" fillId="0" borderId="0" xfId="0" applyNumberFormat="1" applyFont="1">
      <alignment vertical="center"/>
    </xf>
    <xf numFmtId="0" fontId="196" fillId="17" borderId="0" xfId="0" applyFont="1" applyFill="1" applyBorder="1" applyAlignment="1">
      <alignment horizontal="center" vertical="center" wrapText="1"/>
    </xf>
    <xf numFmtId="0" fontId="271" fillId="17" borderId="0" xfId="0" applyFont="1" applyFill="1" applyBorder="1" applyAlignment="1">
      <alignment vertical="center" wrapText="1"/>
    </xf>
    <xf numFmtId="0" fontId="270" fillId="17" borderId="1" xfId="0" applyNumberFormat="1"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0" fontId="196" fillId="17" borderId="1" xfId="0" applyNumberFormat="1" applyFont="1" applyFill="1" applyBorder="1" applyAlignment="1">
      <alignment vertical="center" wrapText="1"/>
    </xf>
    <xf numFmtId="49" fontId="196" fillId="17" borderId="1"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 fillId="18" borderId="1" xfId="0" applyFont="1" applyFill="1" applyBorder="1" applyAlignment="1">
      <alignment horizontal="center" vertical="center" wrapText="1"/>
    </xf>
    <xf numFmtId="49" fontId="19" fillId="18" borderId="1" xfId="0" applyNumberFormat="1" applyFont="1" applyFill="1" applyBorder="1" applyAlignment="1">
      <alignment horizontal="center" vertical="center" wrapText="1"/>
    </xf>
    <xf numFmtId="0" fontId="19" fillId="18" borderId="1" xfId="0" applyNumberFormat="1" applyFont="1" applyFill="1" applyBorder="1" applyAlignment="1">
      <alignment horizontal="center" vertical="center" wrapText="1"/>
    </xf>
    <xf numFmtId="0" fontId="264" fillId="18" borderId="1" xfId="15" applyNumberFormat="1" applyFill="1" applyBorder="1" applyAlignment="1" applyProtection="1">
      <alignment horizontal="center" vertical="center" wrapText="1"/>
    </xf>
    <xf numFmtId="9" fontId="19" fillId="18" borderId="1" xfId="0" applyNumberFormat="1" applyFont="1" applyFill="1" applyBorder="1" applyAlignment="1">
      <alignment horizontal="center" vertical="center" wrapText="1"/>
    </xf>
    <xf numFmtId="176" fontId="19" fillId="18" borderId="1" xfId="0" applyNumberFormat="1" applyFont="1" applyFill="1" applyBorder="1" applyAlignment="1">
      <alignment horizontal="center" vertical="center" wrapText="1"/>
    </xf>
    <xf numFmtId="9" fontId="19" fillId="19" borderId="1" xfId="0" applyNumberFormat="1" applyFont="1" applyFill="1" applyBorder="1" applyAlignment="1">
      <alignment horizontal="center" vertical="center" wrapText="1"/>
    </xf>
    <xf numFmtId="176" fontId="19" fillId="19" borderId="1" xfId="0" applyNumberFormat="1" applyFont="1" applyFill="1" applyBorder="1" applyAlignment="1">
      <alignment horizontal="center" vertical="center" wrapText="1"/>
    </xf>
    <xf numFmtId="14" fontId="19" fillId="18" borderId="1" xfId="0" applyNumberFormat="1" applyFont="1" applyFill="1" applyBorder="1" applyAlignment="1">
      <alignment horizontal="center" vertical="center" wrapText="1"/>
    </xf>
    <xf numFmtId="177" fontId="19" fillId="18" borderId="1" xfId="0" applyNumberFormat="1" applyFont="1" applyFill="1" applyBorder="1" applyAlignment="1">
      <alignment horizontal="center" vertical="center" wrapText="1"/>
    </xf>
    <xf numFmtId="49" fontId="19" fillId="18" borderId="18" xfId="0" applyNumberFormat="1" applyFont="1" applyFill="1" applyBorder="1" applyAlignment="1">
      <alignment horizontal="center" vertical="center" wrapText="1"/>
    </xf>
    <xf numFmtId="0" fontId="0" fillId="18" borderId="1" xfId="0" applyFill="1" applyBorder="1" applyAlignment="1">
      <alignment vertical="center" wrapText="1"/>
    </xf>
    <xf numFmtId="9" fontId="103" fillId="18" borderId="1" xfId="10" applyNumberFormat="1" applyFont="1" applyFill="1" applyBorder="1" applyAlignment="1">
      <alignment horizontal="center" vertical="center" wrapText="1"/>
    </xf>
    <xf numFmtId="186" fontId="19" fillId="18" borderId="1" xfId="0" applyNumberFormat="1" applyFont="1" applyFill="1" applyBorder="1" applyAlignment="1">
      <alignment horizontal="center" vertical="center" wrapText="1"/>
    </xf>
    <xf numFmtId="178" fontId="19" fillId="18" borderId="1" xfId="0" applyNumberFormat="1" applyFont="1" applyFill="1" applyBorder="1" applyAlignment="1">
      <alignment horizontal="center" vertical="center" wrapText="1"/>
    </xf>
    <xf numFmtId="0" fontId="19" fillId="18" borderId="2" xfId="0" applyNumberFormat="1" applyFont="1" applyFill="1" applyBorder="1" applyAlignment="1">
      <alignment horizontal="center" vertical="center" wrapText="1"/>
    </xf>
    <xf numFmtId="0" fontId="19" fillId="18" borderId="3" xfId="0" applyNumberFormat="1" applyFont="1" applyFill="1" applyBorder="1" applyAlignment="1">
      <alignment horizontal="center" vertical="center" wrapText="1"/>
    </xf>
    <xf numFmtId="0" fontId="263" fillId="6" borderId="1" xfId="0" applyFont="1" applyFill="1" applyBorder="1" applyAlignment="1">
      <alignment horizontal="center" vertical="center" wrapText="1"/>
    </xf>
    <xf numFmtId="0" fontId="265" fillId="6" borderId="1" xfId="15" applyFont="1" applyFill="1" applyBorder="1" applyAlignment="1" applyProtection="1">
      <alignment horizontal="center" vertical="center" wrapText="1"/>
    </xf>
    <xf numFmtId="31" fontId="263" fillId="6" borderId="1" xfId="0" applyNumberFormat="1" applyFont="1" applyFill="1" applyBorder="1" applyAlignment="1">
      <alignment horizontal="center" vertical="center" wrapText="1"/>
    </xf>
    <xf numFmtId="14" fontId="263" fillId="6" borderId="1" xfId="0" applyNumberFormat="1" applyFont="1" applyFill="1" applyBorder="1" applyAlignment="1">
      <alignment horizontal="center" vertical="center" wrapText="1"/>
    </xf>
    <xf numFmtId="0" fontId="266" fillId="6" borderId="1" xfId="0" applyFont="1" applyFill="1" applyBorder="1" applyAlignment="1">
      <alignment horizontal="center" vertical="center" wrapText="1"/>
    </xf>
    <xf numFmtId="177" fontId="262" fillId="6" borderId="1" xfId="0" applyNumberFormat="1" applyFont="1" applyFill="1" applyBorder="1" applyAlignment="1">
      <alignment horizontal="center" vertical="center"/>
    </xf>
    <xf numFmtId="179" fontId="262" fillId="6" borderId="1" xfId="0" applyNumberFormat="1" applyFont="1" applyFill="1" applyBorder="1">
      <alignment vertical="center"/>
    </xf>
    <xf numFmtId="177" fontId="262" fillId="6" borderId="1" xfId="0" applyNumberFormat="1" applyFont="1" applyFill="1" applyBorder="1">
      <alignment vertical="center"/>
    </xf>
    <xf numFmtId="0" fontId="262" fillId="6" borderId="1" xfId="0" applyFont="1" applyFill="1" applyBorder="1">
      <alignment vertical="center"/>
    </xf>
    <xf numFmtId="0" fontId="205" fillId="3" borderId="1" xfId="0" applyFont="1" applyFill="1" applyBorder="1" applyAlignment="1">
      <alignment horizontal="center" vertical="center" wrapText="1"/>
    </xf>
    <xf numFmtId="0" fontId="125" fillId="16" borderId="1" xfId="0" applyFont="1" applyFill="1" applyBorder="1" applyAlignment="1">
      <alignment horizontal="center" vertical="center" wrapText="1"/>
    </xf>
    <xf numFmtId="0" fontId="19" fillId="0" borderId="0" xfId="0" applyFont="1">
      <alignment vertical="center"/>
    </xf>
    <xf numFmtId="0" fontId="103" fillId="3" borderId="1" xfId="0" applyFont="1" applyFill="1" applyBorder="1" applyAlignment="1">
      <alignment horizontal="center" vertical="center" wrapText="1"/>
    </xf>
    <xf numFmtId="0" fontId="265" fillId="3" borderId="1" xfId="15" applyFont="1" applyFill="1" applyBorder="1" applyAlignment="1" applyProtection="1">
      <alignment horizontal="left" vertical="center" wrapText="1"/>
    </xf>
    <xf numFmtId="31" fontId="103" fillId="3" borderId="1" xfId="0"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9" fillId="3" borderId="1" xfId="0" applyFont="1" applyFill="1" applyBorder="1" applyAlignment="1">
      <alignment horizontal="center" vertical="center"/>
    </xf>
    <xf numFmtId="179" fontId="19" fillId="3" borderId="1" xfId="0" applyNumberFormat="1" applyFont="1" applyFill="1" applyBorder="1">
      <alignment vertical="center"/>
    </xf>
    <xf numFmtId="0" fontId="19" fillId="0" borderId="1" xfId="0" applyFont="1" applyBorder="1">
      <alignment vertical="center"/>
    </xf>
    <xf numFmtId="0" fontId="103" fillId="6" borderId="1" xfId="0" applyFont="1" applyFill="1" applyBorder="1" applyAlignment="1">
      <alignment horizontal="center" vertical="center" wrapText="1"/>
    </xf>
    <xf numFmtId="0" fontId="265" fillId="6" borderId="1" xfId="15" applyFont="1" applyFill="1" applyBorder="1" applyAlignment="1" applyProtection="1">
      <alignment horizontal="left" vertical="center" wrapText="1"/>
    </xf>
    <xf numFmtId="31" fontId="103" fillId="6" borderId="1" xfId="0" applyNumberFormat="1" applyFont="1" applyFill="1" applyBorder="1" applyAlignment="1">
      <alignment horizontal="center" vertical="center" wrapText="1"/>
    </xf>
    <xf numFmtId="0" fontId="103" fillId="6" borderId="1" xfId="0" applyFont="1" applyFill="1" applyBorder="1" applyAlignment="1">
      <alignment vertical="center" wrapText="1"/>
    </xf>
    <xf numFmtId="0" fontId="19" fillId="6" borderId="1" xfId="0" applyFont="1" applyFill="1" applyBorder="1" applyAlignment="1">
      <alignment horizontal="center" vertical="center"/>
    </xf>
    <xf numFmtId="179" fontId="19" fillId="6" borderId="1" xfId="0" applyNumberFormat="1" applyFont="1" applyFill="1" applyBorder="1">
      <alignment vertical="center"/>
    </xf>
    <xf numFmtId="0" fontId="19" fillId="6" borderId="1" xfId="0" applyFont="1" applyFill="1" applyBorder="1">
      <alignment vertical="center"/>
    </xf>
    <xf numFmtId="0" fontId="19" fillId="6" borderId="0" xfId="0" applyFont="1" applyFill="1">
      <alignment vertical="center"/>
    </xf>
    <xf numFmtId="0" fontId="263" fillId="0" borderId="1" xfId="0" applyFont="1" applyFill="1" applyBorder="1" applyAlignment="1">
      <alignment horizontal="center" vertical="center" wrapText="1"/>
    </xf>
    <xf numFmtId="0" fontId="265" fillId="0" borderId="1" xfId="15" applyFont="1" applyFill="1" applyBorder="1" applyAlignment="1" applyProtection="1">
      <alignment horizontal="center" vertical="center" wrapText="1"/>
    </xf>
    <xf numFmtId="31" fontId="263" fillId="0" borderId="1" xfId="0" applyNumberFormat="1" applyFont="1" applyFill="1" applyBorder="1" applyAlignment="1">
      <alignment horizontal="center" vertical="center" wrapText="1"/>
    </xf>
    <xf numFmtId="14" fontId="263" fillId="0" borderId="1" xfId="0" applyNumberFormat="1" applyFont="1" applyFill="1" applyBorder="1" applyAlignment="1">
      <alignment horizontal="center" vertical="center" wrapText="1"/>
    </xf>
    <xf numFmtId="0" fontId="266" fillId="0" borderId="1" xfId="0" applyFont="1" applyFill="1" applyBorder="1" applyAlignment="1">
      <alignment horizontal="center" vertical="center" wrapText="1"/>
    </xf>
    <xf numFmtId="177" fontId="262" fillId="0" borderId="1" xfId="0" applyNumberFormat="1" applyFont="1" applyFill="1" applyBorder="1" applyAlignment="1">
      <alignment horizontal="center" vertical="center"/>
    </xf>
    <xf numFmtId="179" fontId="262" fillId="0" borderId="1" xfId="0" applyNumberFormat="1" applyFont="1" applyFill="1" applyBorder="1">
      <alignment vertical="center"/>
    </xf>
    <xf numFmtId="177" fontId="262" fillId="0" borderId="1" xfId="0" applyNumberFormat="1" applyFont="1" applyFill="1" applyBorder="1">
      <alignment vertical="center"/>
    </xf>
    <xf numFmtId="0" fontId="262" fillId="0" borderId="1" xfId="0" applyFont="1" applyFill="1" applyBorder="1">
      <alignment vertical="center"/>
    </xf>
    <xf numFmtId="9" fontId="65" fillId="0" borderId="70"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49" fontId="127" fillId="0" borderId="26" xfId="0" applyNumberFormat="1" applyFont="1" applyFill="1" applyBorder="1" applyAlignment="1" applyProtection="1">
      <alignment horizontal="center" vertical="center" wrapText="1"/>
      <protection locked="0"/>
    </xf>
    <xf numFmtId="177" fontId="68" fillId="20" borderId="31" xfId="1" applyNumberFormat="1" applyFont="1" applyFill="1" applyBorder="1" applyAlignment="1" applyProtection="1">
      <alignment horizontal="center" vertical="center"/>
      <protection locked="0"/>
    </xf>
    <xf numFmtId="9" fontId="24" fillId="5" borderId="0" xfId="0" applyNumberFormat="1" applyFont="1" applyFill="1" applyAlignment="1" applyProtection="1">
      <alignment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258" fillId="16" borderId="18" xfId="0" applyFont="1" applyFill="1" applyBorder="1" applyAlignment="1">
      <alignment horizontal="center" vertical="center" wrapText="1"/>
    </xf>
    <xf numFmtId="0" fontId="258" fillId="16" borderId="17" xfId="0" applyFont="1" applyFill="1" applyBorder="1" applyAlignment="1">
      <alignment horizontal="center" vertical="center" wrapText="1"/>
    </xf>
    <xf numFmtId="0" fontId="258" fillId="16" borderId="1" xfId="0" applyFont="1" applyFill="1" applyBorder="1" applyAlignment="1">
      <alignment horizontal="center" vertical="center" wrapText="1"/>
    </xf>
    <xf numFmtId="14" fontId="258" fillId="16" borderId="1" xfId="0" applyNumberFormat="1" applyFont="1" applyFill="1" applyBorder="1" applyAlignment="1">
      <alignment horizontal="center" vertical="center" wrapText="1"/>
    </xf>
    <xf numFmtId="0" fontId="261" fillId="16" borderId="1" xfId="0"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0" fontId="270" fillId="17" borderId="1" xfId="0" applyNumberFormat="1" applyFont="1" applyFill="1" applyBorder="1" applyAlignment="1">
      <alignment horizontal="center" vertical="center" wrapText="1"/>
    </xf>
    <xf numFmtId="0" fontId="125" fillId="16" borderId="1" xfId="0" applyFont="1" applyFill="1" applyBorder="1" applyAlignment="1">
      <alignment horizontal="center" vertical="center" wrapText="1"/>
    </xf>
    <xf numFmtId="0" fontId="125" fillId="16" borderId="1" xfId="0" applyFont="1" applyFill="1" applyBorder="1" applyAlignment="1">
      <alignment horizontal="left" vertical="center" wrapText="1"/>
    </xf>
    <xf numFmtId="186" fontId="196" fillId="17" borderId="18" xfId="0" applyNumberFormat="1" applyFont="1" applyFill="1" applyBorder="1" applyAlignment="1">
      <alignment horizontal="center" vertical="center" wrapText="1"/>
    </xf>
    <xf numFmtId="186" fontId="196" fillId="17" borderId="49" xfId="0" applyNumberFormat="1" applyFont="1" applyFill="1" applyBorder="1" applyAlignment="1">
      <alignment horizontal="center" vertical="center" wrapText="1"/>
    </xf>
    <xf numFmtId="186" fontId="196" fillId="17" borderId="17" xfId="0" applyNumberFormat="1" applyFont="1" applyFill="1" applyBorder="1" applyAlignment="1">
      <alignment horizontal="center" vertical="center" wrapText="1"/>
    </xf>
    <xf numFmtId="176" fontId="196" fillId="17" borderId="1"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0" fontId="196" fillId="17" borderId="1" xfId="0" applyFont="1" applyFill="1" applyBorder="1" applyAlignment="1">
      <alignment horizontal="center" vertical="center" wrapText="1"/>
    </xf>
    <xf numFmtId="0" fontId="196" fillId="4" borderId="1" xfId="0" applyNumberFormat="1" applyFont="1" applyFill="1" applyBorder="1" applyAlignment="1">
      <alignment horizontal="center" vertical="center" wrapText="1"/>
    </xf>
    <xf numFmtId="0" fontId="196" fillId="16" borderId="1" xfId="0" applyFont="1" applyFill="1" applyBorder="1" applyAlignment="1">
      <alignment horizontal="center" vertical="center" wrapText="1"/>
    </xf>
    <xf numFmtId="49" fontId="196" fillId="17" borderId="1" xfId="0" applyNumberFormat="1" applyFont="1" applyFill="1" applyBorder="1" applyAlignment="1">
      <alignment horizontal="center" vertical="center" wrapText="1"/>
    </xf>
    <xf numFmtId="176" fontId="270"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272" fillId="17" borderId="18" xfId="0" applyNumberFormat="1" applyFont="1" applyFill="1" applyBorder="1" applyAlignment="1">
      <alignment horizontal="center" vertical="center" wrapText="1"/>
    </xf>
    <xf numFmtId="0" fontId="272" fillId="17" borderId="17" xfId="0" applyNumberFormat="1" applyFont="1" applyFill="1" applyBorder="1" applyAlignment="1">
      <alignment horizontal="center" vertical="center" wrapText="1"/>
    </xf>
    <xf numFmtId="14" fontId="196" fillId="4" borderId="1" xfId="0" applyNumberFormat="1" applyFont="1" applyFill="1" applyBorder="1" applyAlignment="1">
      <alignment horizontal="center" vertical="center" wrapText="1"/>
    </xf>
    <xf numFmtId="0" fontId="196" fillId="0" borderId="1" xfId="0" applyNumberFormat="1" applyFont="1" applyFill="1" applyBorder="1" applyAlignment="1">
      <alignment horizontal="center" vertical="center" wrapText="1"/>
    </xf>
  </cellXfs>
  <cellStyles count="16">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5"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3" Type="http://schemas.openxmlformats.org/officeDocument/2006/relationships/hyperlink" Target="http://www.bjtd.com/tabid/3029/Default.aspx?projectid=832" TargetMode="External"/><Relationship Id="rId18" Type="http://schemas.openxmlformats.org/officeDocument/2006/relationships/hyperlink" Target="http://www.bjtd.com/tabid/3029/Default.aspx?projectid=886" TargetMode="External"/><Relationship Id="rId26" Type="http://schemas.openxmlformats.org/officeDocument/2006/relationships/hyperlink" Target="http://www.bjtd.com/tabid/3029/Default.aspx?projectid=1053" TargetMode="External"/><Relationship Id="rId39" Type="http://schemas.openxmlformats.org/officeDocument/2006/relationships/hyperlink" Target="http://www.bjtd.com/Center/gp_view.asp?prj_id=549&amp;prj_code=&#20140;&#22303;&#25972;&#20648;&#25346;&#65288;&#26397;&#65289;%5b2008%5d007&#21495;" TargetMode="External"/><Relationship Id="rId3" Type="http://schemas.openxmlformats.org/officeDocument/2006/relationships/hyperlink" Target="http://www.bjtd.com/tabid/3029/Default.aspx?projectid=763" TargetMode="External"/><Relationship Id="rId21" Type="http://schemas.openxmlformats.org/officeDocument/2006/relationships/hyperlink" Target="http://www.bjtd.com/tabid/3029/Default.aspx?projectid=895" TargetMode="External"/><Relationship Id="rId34" Type="http://schemas.openxmlformats.org/officeDocument/2006/relationships/hyperlink" Target="http://www.bjtd.com/Center/gp_view.asp?prj_id=527&amp;prj_code=&#20140;&#22303;&#25972;&#20648;&#25346;&#65288;&#26397;&#65289;%5b2007%5d097&#21495;" TargetMode="External"/><Relationship Id="rId42" Type="http://schemas.openxmlformats.org/officeDocument/2006/relationships/hyperlink" Target="http://www.bjtd.com/Center/gp_view.asp?prj_id=569&amp;prj_code=&#20140;&#22303;&#25972;&#20648;&#25346;&#65288;&#26397;&#65289;%5b2008%5d15&#21495;" TargetMode="External"/><Relationship Id="rId47" Type="http://schemas.openxmlformats.org/officeDocument/2006/relationships/hyperlink" Target="http://www.bjtd.com/Center/gp_view.asp?prj_id=566&amp;prj_code=&#20140;&#22303;&#25972;&#20648;&#25346;&#65288;&#28023;&#65289;%5b2008%5d016&#21495;" TargetMode="External"/><Relationship Id="rId50" Type="http://schemas.openxmlformats.org/officeDocument/2006/relationships/printerSettings" Target="../printerSettings/printerSettings33.bin"/><Relationship Id="rId7" Type="http://schemas.openxmlformats.org/officeDocument/2006/relationships/hyperlink" Target="http://www.bjtd.com/tabid/3029/Default.aspx?projectid=809" TargetMode="External"/><Relationship Id="rId12" Type="http://schemas.openxmlformats.org/officeDocument/2006/relationships/hyperlink" Target="http://www.bjtd.com/tabid/3029/Default.aspx?projectid=833" TargetMode="External"/><Relationship Id="rId17" Type="http://schemas.openxmlformats.org/officeDocument/2006/relationships/hyperlink" Target="http://www.bjtd.com/tabid/3029/Default.aspx?projectid=866" TargetMode="External"/><Relationship Id="rId25" Type="http://schemas.openxmlformats.org/officeDocument/2006/relationships/hyperlink" Target="http://www.bjtd.com/tabid/3029/Default.aspx?projectid=1067" TargetMode="External"/><Relationship Id="rId33" Type="http://schemas.openxmlformats.org/officeDocument/2006/relationships/hyperlink" Target="http://www.bjtd.com/Center/gp_view.asp?prj_id=528&amp;prj_code=&#20140;&#22303;&#25972;&#20648;&#25346;&#65288;&#28023;&#65289;%5b%5b2007%5d098&#21495;" TargetMode="External"/><Relationship Id="rId38" Type="http://schemas.openxmlformats.org/officeDocument/2006/relationships/hyperlink" Target="http://www.bjtd.com/Center/ot_view.asp?prj_id=486" TargetMode="External"/><Relationship Id="rId46" Type="http://schemas.openxmlformats.org/officeDocument/2006/relationships/hyperlink" Target="http://www.bjtd.com/Center/gp_view.asp?prj_id=654&amp;prj_code=&#20140;&#22303;&#25972;&#20648;&#25346;&#65288;&#26397;&#65289;%5b2008%5d049&#21495;" TargetMode="External"/><Relationship Id="rId2" Type="http://schemas.openxmlformats.org/officeDocument/2006/relationships/hyperlink" Target="http://www.bjtd.com/Center/gp_view.asp?prj_id=712&amp;prj_code=&#20140;&#22303;&#25972;&#20648;&#25346;&#65288;&#26124;&#65289;%5b2008%5d053&#21495;" TargetMode="External"/><Relationship Id="rId16" Type="http://schemas.openxmlformats.org/officeDocument/2006/relationships/hyperlink" Target="http://www.bjtd.com/tabid/3029/Default.aspx?projectid=864" TargetMode="External"/><Relationship Id="rId20" Type="http://schemas.openxmlformats.org/officeDocument/2006/relationships/hyperlink" Target="http://www.bjtd.com/tabid/3029/Default.aspx?projectid=891" TargetMode="External"/><Relationship Id="rId29" Type="http://schemas.openxmlformats.org/officeDocument/2006/relationships/hyperlink" Target="Application%20Data/Microsoft/Excel/&#20301;&#32622;&#22270;/2009-7" TargetMode="External"/><Relationship Id="rId41" Type="http://schemas.openxmlformats.org/officeDocument/2006/relationships/hyperlink" Target="http://www.bjtd.com/Center/gp_view.asp?prj_id=565&amp;prj_code=&#20140;&#22303;&#25972;&#20648;&#25346;&#65288;&#26397;&#65289;%5b2008%5d013&#21495;" TargetMode="External"/><Relationship Id="rId1" Type="http://schemas.openxmlformats.org/officeDocument/2006/relationships/hyperlink" Target="http://www.bjtd.com/Center/gp_view.asp?prj_id=719&amp;prj_code=&#20140;&#22303;&#25972;&#20648;&#25346;&#65288;&#35199;&#65289;%5b2009%5d001&#21495;" TargetMode="External"/><Relationship Id="rId6" Type="http://schemas.openxmlformats.org/officeDocument/2006/relationships/hyperlink" Target="http://www.bjtd.com/tabid/3029/Default.aspx?projectid=777" TargetMode="External"/><Relationship Id="rId11" Type="http://schemas.openxmlformats.org/officeDocument/2006/relationships/hyperlink" Target="http://www.bjtd.com/tabid/3029/Default.aspx?projectid=793" TargetMode="External"/><Relationship Id="rId24" Type="http://schemas.openxmlformats.org/officeDocument/2006/relationships/hyperlink" Target="http://www.bjtd.com/tabid/3029/Default.aspx?projectid=1048" TargetMode="External"/><Relationship Id="rId32" Type="http://schemas.openxmlformats.org/officeDocument/2006/relationships/hyperlink" Target="http://www.bjtd.com/Center/gp_view.asp?prj_id=510&amp;prj_code=&#20140;&#22303;&#25972;&#20648;&#25346;&#65288;&#19996;&#65289;%5b2007%5d087&#21495;" TargetMode="External"/><Relationship Id="rId37" Type="http://schemas.openxmlformats.org/officeDocument/2006/relationships/hyperlink" Target="http://www.bjtd.com/Center/ot_view.asp?prj_id=516" TargetMode="External"/><Relationship Id="rId40" Type="http://schemas.openxmlformats.org/officeDocument/2006/relationships/hyperlink" Target="http://www.bjtd.com/Center/gp_view.asp?prj_id=562&amp;prj_code=&#20140;&#22303;&#25972;&#20648;&#25346;&#65288;&#28023;&#65289;&#24037;&#19994;(2008)001&#21495;" TargetMode="External"/><Relationship Id="rId45" Type="http://schemas.openxmlformats.org/officeDocument/2006/relationships/hyperlink" Target="http://www.bjtd.com/Center/gp_view.asp?prj_id=646&amp;prj_code=&#20140;&#22303;&#25972;&#20648;&#25346;&#65288;&#26397;&#65289;%5b2008%5d045&#21495;" TargetMode="External"/><Relationship Id="rId5" Type="http://schemas.openxmlformats.org/officeDocument/2006/relationships/hyperlink" Target="http://www.bjtd.com/tabid/3029/Default.aspx?projectid=768" TargetMode="External"/><Relationship Id="rId15" Type="http://schemas.openxmlformats.org/officeDocument/2006/relationships/hyperlink" Target="http://www.bjtd.com/tabid/3029/Default.aspx?projectid=831" TargetMode="External"/><Relationship Id="rId23" Type="http://schemas.openxmlformats.org/officeDocument/2006/relationships/hyperlink" Target="http://www.bjtd.com/tabid/3029/Default.aspx?projectid=1047" TargetMode="External"/><Relationship Id="rId28" Type="http://schemas.openxmlformats.org/officeDocument/2006/relationships/hyperlink" Target="http://www.bjtd.com/tabid/3029/Default.aspx?projectid=1069" TargetMode="External"/><Relationship Id="rId36" Type="http://schemas.openxmlformats.org/officeDocument/2006/relationships/hyperlink" Target="http://www.bjtd.com/Center/ot_view.asp?prj_id=535" TargetMode="External"/><Relationship Id="rId49" Type="http://schemas.openxmlformats.org/officeDocument/2006/relationships/hyperlink" Target="Application%20Data/Microsoft/Excel/&#24320;&#21457;&#31243;&#24230;&#20855;&#20307;&#26631;&#20934;/2009-68" TargetMode="External"/><Relationship Id="rId10" Type="http://schemas.openxmlformats.org/officeDocument/2006/relationships/hyperlink" Target="http://www.bjtd.com/tabid/3029/Default.aspx?projectid=823" TargetMode="External"/><Relationship Id="rId19" Type="http://schemas.openxmlformats.org/officeDocument/2006/relationships/hyperlink" Target="http://www.bjtd.com/tabid/3029/Default.aspx?projectid=888" TargetMode="External"/><Relationship Id="rId31" Type="http://schemas.openxmlformats.org/officeDocument/2006/relationships/hyperlink" Target="http://www.bjtd.com/Center/gp_view.asp?prj_id=509&amp;prj_code=&#20140;&#22303;&#25972;&#20648;&#25346;&#65288;&#28023;&#65289;%5b2007%5d086&#21495;" TargetMode="External"/><Relationship Id="rId44" Type="http://schemas.openxmlformats.org/officeDocument/2006/relationships/hyperlink" Target="http://www.bjtd.com/Center/ot_view.asp?prj_id=640" TargetMode="External"/><Relationship Id="rId52" Type="http://schemas.openxmlformats.org/officeDocument/2006/relationships/comments" Target="../comments18.xml"/><Relationship Id="rId4" Type="http://schemas.openxmlformats.org/officeDocument/2006/relationships/hyperlink" Target="http://www.bjtd.com/tabid/3029/Default.aspx?projectid=766" TargetMode="External"/><Relationship Id="rId9" Type="http://schemas.openxmlformats.org/officeDocument/2006/relationships/hyperlink" Target="http://www.bjtd.com/tabid/3029/Default.aspx?projectid=821" TargetMode="External"/><Relationship Id="rId14" Type="http://schemas.openxmlformats.org/officeDocument/2006/relationships/hyperlink" Target="http://www.bjtd.com/tabid/3029/Default.aspx?projectid=836" TargetMode="External"/><Relationship Id="rId22" Type="http://schemas.openxmlformats.org/officeDocument/2006/relationships/hyperlink" Target="http://www.bjtd.com/tabid/3029/Default.aspx?projectid=1033" TargetMode="External"/><Relationship Id="rId27" Type="http://schemas.openxmlformats.org/officeDocument/2006/relationships/hyperlink" Target="http://www.bjtd.com/tabid/3029/Default.aspx?projectid=1064" TargetMode="External"/><Relationship Id="rId30" Type="http://schemas.openxmlformats.org/officeDocument/2006/relationships/hyperlink" Target="Application%20Data/Microsoft/Excel/&#24320;&#21457;&#31243;&#24230;&#20855;&#20307;&#26631;&#20934;/2009-7" TargetMode="External"/><Relationship Id="rId35" Type="http://schemas.openxmlformats.org/officeDocument/2006/relationships/hyperlink" Target="http://www.bjtd.com/Center/ot_view.asp?prj_id=534" TargetMode="External"/><Relationship Id="rId43" Type="http://schemas.openxmlformats.org/officeDocument/2006/relationships/hyperlink" Target="http://www.bjtd.com/Center/gp_view.asp?prj_id=595&amp;prj_code=&#20140;&#22303;&#25972;&#20648;&#25346;&#65288;&#28023;&#65289;%5b2008%5d%20019&#21495;" TargetMode="External"/><Relationship Id="rId48" Type="http://schemas.openxmlformats.org/officeDocument/2006/relationships/hyperlink" Target="Application%20Data/Microsoft/Excel/&#20301;&#32622;&#22270;/2009-68" TargetMode="External"/><Relationship Id="rId8" Type="http://schemas.openxmlformats.org/officeDocument/2006/relationships/hyperlink" Target="http://www.bjtd.com/tabid/3029/Default.aspx?projectid=820" TargetMode="External"/><Relationship Id="rId5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2659</v>
      </c>
      <c r="B1" s="2847" t="s">
        <v>2730</v>
      </c>
    </row>
    <row r="2" spans="1:2" s="2850" customFormat="1" ht="15.75" thickTop="1">
      <c r="A2" s="2849" t="s">
        <v>2660</v>
      </c>
      <c r="B2" s="2835" t="str">
        <f>'预评函-封皮'!B9</f>
        <v>北京市预评估</v>
      </c>
    </row>
    <row r="3" spans="1:2" s="2850" customFormat="1">
      <c r="A3" s="2851" t="s">
        <v>2661</v>
      </c>
      <c r="B3" s="2836" t="str">
        <f>'预评函-封皮'!B12</f>
        <v>江西省检察院</v>
      </c>
    </row>
    <row r="4" spans="1:2" s="2850" customFormat="1">
      <c r="A4" s="2851" t="s">
        <v>2662</v>
      </c>
      <c r="B4" s="2836" t="str">
        <f ca="1">'预评函-封皮'!B18</f>
        <v>刘梅（注册号:1120140022）、吴薇（注册号:1419970001)</v>
      </c>
    </row>
    <row r="5" spans="1:2" s="2848" customFormat="1" ht="15.75" thickBot="1">
      <c r="A5" s="2852" t="s">
        <v>2663</v>
      </c>
      <c r="B5" s="2837" t="str">
        <f>'预评函-封皮'!B21</f>
        <v>康正预评字号</v>
      </c>
    </row>
    <row r="6" spans="1:2" s="2850" customFormat="1" ht="15.75" thickTop="1">
      <c r="A6" s="2851" t="s">
        <v>2664</v>
      </c>
      <c r="B6" s="2835" t="str">
        <f>'预评函-1'!A4</f>
        <v>受您的委托，我公司对北京市房地产进行了预评估。</v>
      </c>
    </row>
    <row r="7" spans="1:2">
      <c r="A7" s="2851" t="s">
        <v>2665</v>
      </c>
      <c r="B7" s="2838" t="str">
        <f>'预评函-1'!A6</f>
        <v>估价对象为北京市房地产，为所有。根据《不动产权证书》[]，估价对象建筑面积为349.11平方米，（分摊）出让国有建设用地使用权面积为平方米。估价对象用途为。</v>
      </c>
    </row>
    <row r="8" spans="1:2">
      <c r="A8" s="2851" t="s">
        <v>2666</v>
      </c>
      <c r="B8" s="2838" t="str">
        <f>'预评函-1'!A8</f>
        <v>为估价委托人了解估价对象房地产市场价值提供参考依据。</v>
      </c>
    </row>
    <row r="9" spans="1:2">
      <c r="A9" s="2851" t="s">
        <v>2667</v>
      </c>
      <c r="B9" s="2838" t="str">
        <f>'预评函-1'!A10</f>
        <v>2009年7月2日</v>
      </c>
    </row>
    <row r="10" spans="1:2">
      <c r="A10" s="2851" t="s">
        <v>2668</v>
      </c>
      <c r="B10" s="2838" t="str">
        <f>'预评函-1'!A13</f>
        <v>本次估价的“房地产价值”是指在正常市场情况下，在价值时点2009年7月2日，估价对象规划用途为，假定未设立法定优先受偿款下的房地产市场价值。</v>
      </c>
    </row>
    <row r="11" spans="1:2">
      <c r="A11" s="2851" t="s">
        <v>2669</v>
      </c>
      <c r="B11" s="2838"/>
    </row>
    <row r="12" spans="1:2">
      <c r="A12" s="2851" t="s">
        <v>2670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2671</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2673</v>
      </c>
      <c r="B15" s="2839" t="str">
        <f>'预评函-1'!A18</f>
        <v>本次评估采用的主估价方法为比较法和成本法。</v>
      </c>
    </row>
    <row r="16" spans="1:2" ht="15.75" thickTop="1">
      <c r="A16" s="2849" t="s">
        <v>2674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2675</v>
      </c>
      <c r="B17" s="2838" t="str">
        <f>'预评函-2（1）'!B6</f>
        <v>北京市房地产</v>
      </c>
    </row>
    <row r="18" spans="1:2">
      <c r="A18" s="2851" t="s">
        <v>2676</v>
      </c>
      <c r="B18" s="2838">
        <f>'预评函-2（1）'!C6</f>
        <v>349.11</v>
      </c>
    </row>
    <row r="19" spans="1:2">
      <c r="A19" s="2851" t="s">
        <v>2677</v>
      </c>
      <c r="B19" s="2838">
        <f ca="1">'预评函-2（1）'!D7</f>
        <v>17718031</v>
      </c>
    </row>
    <row r="20" spans="1:2">
      <c r="A20" s="2851" t="s">
        <v>2723</v>
      </c>
      <c r="B20" s="2838" t="str">
        <f>'预评函-2（1）'!C7</f>
        <v>总价（元）</v>
      </c>
    </row>
    <row r="21" spans="1:2">
      <c r="A21" s="2851" t="s">
        <v>2678</v>
      </c>
      <c r="B21" s="2838">
        <f ca="1">'预评函-2（1）'!D9</f>
        <v>50752</v>
      </c>
    </row>
    <row r="22" spans="1:2">
      <c r="A22" s="2851" t="s">
        <v>2679</v>
      </c>
      <c r="B22" s="2838" t="str">
        <f ca="1">'预评函-2（1）'!D8</f>
        <v>壹仟柒佰柒拾壹万捌仟零叁拾壹元整</v>
      </c>
    </row>
    <row r="23" spans="1:2">
      <c r="A23" s="2851" t="s">
        <v>2724</v>
      </c>
      <c r="B23" s="2838">
        <f>'预评函-2（1）'!D10</f>
        <v>0</v>
      </c>
    </row>
    <row r="24" spans="1:2">
      <c r="A24" s="2851" t="s">
        <v>2725</v>
      </c>
      <c r="B24" s="2838" t="str">
        <f>'预评函-2（1）'!C10</f>
        <v>总额（元）</v>
      </c>
    </row>
    <row r="25" spans="1:2">
      <c r="A25" s="2851" t="s">
        <v>2680</v>
      </c>
      <c r="B25" s="2838" t="str">
        <f>'预评函-2（1）'!D11</f>
        <v>零元整</v>
      </c>
    </row>
    <row r="26" spans="1:2">
      <c r="A26" s="2851" t="s">
        <v>2681</v>
      </c>
      <c r="B26" s="2838">
        <f>'预评函-2（1）'!D12</f>
        <v>0</v>
      </c>
    </row>
    <row r="27" spans="1:2">
      <c r="A27" s="2851" t="s">
        <v>2682</v>
      </c>
      <c r="B27" s="2838">
        <f>'预评函-2（1）'!D13</f>
        <v>0</v>
      </c>
    </row>
    <row r="28" spans="1:2">
      <c r="A28" s="2851" t="s">
        <v>2683</v>
      </c>
      <c r="B28" s="2838">
        <f>'预评函-2（1）'!D14</f>
        <v>0</v>
      </c>
    </row>
    <row r="29" spans="1:2">
      <c r="A29" s="2851" t="s">
        <v>2684</v>
      </c>
      <c r="B29" s="2838">
        <f ca="1">'预评函-2（1）'!D15</f>
        <v>17718031</v>
      </c>
    </row>
    <row r="30" spans="1:2">
      <c r="A30" s="2851" t="s">
        <v>2685</v>
      </c>
      <c r="B30" s="2838" t="str">
        <f ca="1">'预评函-2（1）'!D16</f>
        <v>壹仟柒佰柒拾壹万捌仟零叁拾壹元整</v>
      </c>
    </row>
    <row r="31" spans="1:2">
      <c r="A31" s="2851" t="s">
        <v>2686</v>
      </c>
      <c r="B31" s="2838" t="str">
        <f>'预评函-2（1）'!D18</f>
        <v>——</v>
      </c>
    </row>
    <row r="32" spans="1:2">
      <c r="A32" s="2851" t="s">
        <v>2687</v>
      </c>
      <c r="B32" s="2838" t="e">
        <f>'预评函-2（1）'!D19</f>
        <v>#VALUE!</v>
      </c>
    </row>
    <row r="33" spans="1:2">
      <c r="A33" s="2851" t="s">
        <v>2688</v>
      </c>
      <c r="B33" s="2838" t="str">
        <f>'预评函-2（1）'!D21</f>
        <v>——</v>
      </c>
    </row>
    <row r="34" spans="1:2">
      <c r="A34" s="2851" t="s">
        <v>2689</v>
      </c>
      <c r="B34" s="2838" t="str">
        <f ca="1">'预评函-2（1）'!D23</f>
        <v>——</v>
      </c>
    </row>
    <row r="35" spans="1:2">
      <c r="A35" s="2851" t="s">
        <v>2690</v>
      </c>
      <c r="B35" s="2838" t="e">
        <f>'预评函-2（1）'!D22</f>
        <v>#VALUE!</v>
      </c>
    </row>
    <row r="36" spans="1:2">
      <c r="A36" s="2851" t="s">
        <v>2691</v>
      </c>
      <c r="B36" s="2838">
        <f>'预评函-2（2）'!C4</f>
        <v>0</v>
      </c>
    </row>
    <row r="37" spans="1:2">
      <c r="A37" s="2851" t="s">
        <v>2692</v>
      </c>
      <c r="B37" s="2838">
        <f ca="1">'预评函-2（2）'!D4</f>
        <v>17718031</v>
      </c>
    </row>
    <row r="38" spans="1:2">
      <c r="A38" s="2851" t="s">
        <v>2693</v>
      </c>
      <c r="B38" s="2838">
        <f ca="1">'预评函-2（2）'!E4</f>
        <v>50752</v>
      </c>
    </row>
    <row r="39" spans="1:2">
      <c r="A39" s="2851" t="s">
        <v>2694</v>
      </c>
      <c r="B39" s="2838" t="str">
        <f ca="1">'预评函-2（2）'!D5</f>
        <v>壹仟柒佰柒拾壹万捌仟零叁拾壹元整</v>
      </c>
    </row>
    <row r="40" spans="1:2">
      <c r="A40" s="2851" t="s">
        <v>2695</v>
      </c>
      <c r="B40" s="2838">
        <f ca="1">'预评函-2（2）'!F4</f>
        <v>0</v>
      </c>
    </row>
    <row r="41" spans="1:2">
      <c r="A41" s="2851" t="s">
        <v>2696</v>
      </c>
      <c r="B41" s="2838">
        <f ca="1">'预评函-2（2）'!G4</f>
        <v>0</v>
      </c>
    </row>
    <row r="42" spans="1:2" s="2848" customFormat="1" ht="15.75" thickBot="1">
      <c r="A42" s="2852" t="s">
        <v>2697</v>
      </c>
      <c r="B42" s="2840" t="str">
        <f ca="1">'预评函-2（2）'!F5</f>
        <v>零元整</v>
      </c>
    </row>
    <row r="43" spans="1:2" ht="15.75" thickTop="1">
      <c r="A43" s="2849" t="s">
        <v>2698</v>
      </c>
      <c r="B43" s="2841" t="str">
        <f>'预评函-3'!A13</f>
        <v>2.本次评估设定估价对象房地产权属无争议，未被查封或者以其他形式限制其房地产权利，未设定抵押权等他项权利，不涉及第三方权利义务。</v>
      </c>
    </row>
    <row r="44" spans="1:2">
      <c r="A44" s="2851" t="s">
        <v>2699</v>
      </c>
      <c r="B44" s="2838" t="str">
        <f>'预评函-3'!A14</f>
        <v>——</v>
      </c>
    </row>
    <row r="45" spans="1:2">
      <c r="A45" s="2851" t="s">
        <v>2700</v>
      </c>
      <c r="B45" s="2838" t="str">
        <f>'预评函-3'!A15</f>
        <v>——</v>
      </c>
    </row>
    <row r="46" spans="1:2">
      <c r="A46" s="2851" t="s">
        <v>2701</v>
      </c>
      <c r="B46" s="2838" t="str">
        <f>'预评函-3'!A16</f>
        <v>——</v>
      </c>
    </row>
    <row r="47" spans="1:2">
      <c r="A47" s="2851" t="s">
        <v>2702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2721</v>
      </c>
      <c r="B48" s="2838" t="str">
        <f>'预评函-3'!A18</f>
        <v>——</v>
      </c>
    </row>
    <row r="49" spans="1:2">
      <c r="A49" s="2851" t="s">
        <v>2703</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2704</v>
      </c>
      <c r="B50" s="2838" t="str">
        <f>'预评函-3'!A20</f>
        <v>6.其他需特殊说明事项：无（注意修改序号）</v>
      </c>
    </row>
    <row r="51" spans="1:2" s="2848" customFormat="1" thickBot="1">
      <c r="A51" s="2852" t="s">
        <v>2705</v>
      </c>
      <c r="B51" s="2845">
        <f>'预评函-3'!D29</f>
        <v>42551</v>
      </c>
    </row>
    <row r="52" spans="1:2" ht="15.75" thickTop="1">
      <c r="A52" s="2849" t="s">
        <v>2706</v>
      </c>
      <c r="B52" s="2844" t="str">
        <f>'预评函-3'!A4</f>
        <v>刘梅</v>
      </c>
    </row>
    <row r="53" spans="1:2">
      <c r="A53" s="2851" t="s">
        <v>2707</v>
      </c>
      <c r="B53" s="2838">
        <f ca="1">'预评函-3'!B4</f>
        <v>1120140022</v>
      </c>
    </row>
    <row r="54" spans="1:2">
      <c r="A54" s="2851" t="s">
        <v>2708</v>
      </c>
      <c r="B54" s="2842" t="str">
        <f>'预评函-3'!A5</f>
        <v>吴薇</v>
      </c>
    </row>
    <row r="55" spans="1:2" s="2848" customFormat="1" ht="15.75" thickBot="1">
      <c r="A55" s="2852" t="s">
        <v>2709</v>
      </c>
      <c r="B55" s="2840">
        <f ca="1">'预评函-3'!B5</f>
        <v>1419970001</v>
      </c>
    </row>
    <row r="56" spans="1:2" ht="15.75" thickTop="1">
      <c r="A56" s="2854" t="s">
        <v>2726</v>
      </c>
      <c r="B56" s="2838" t="str">
        <f>'预评函-2（1）'!B15</f>
        <v>3.房地产抵押价值</v>
      </c>
    </row>
    <row r="57" spans="1:2">
      <c r="A57" s="2854" t="s">
        <v>2727</v>
      </c>
      <c r="B57" s="2838" t="str">
        <f>'预评函-2（1）'!B18</f>
        <v>——</v>
      </c>
    </row>
    <row r="58" spans="1:2" s="2848" customFormat="1" ht="15.75" thickBot="1">
      <c r="A58" s="2855" t="s">
        <v>2728</v>
      </c>
      <c r="B58" s="2839" t="str">
        <f>'预评函-2（1）'!B21</f>
        <v>——</v>
      </c>
    </row>
    <row r="59" spans="1:2" ht="15.75" thickTop="1">
      <c r="A59" s="2856" t="s">
        <v>2731</v>
      </c>
      <c r="B59" s="2836" t="str">
        <f>'预评函-2（1）'!B45</f>
        <v>单位：元、元/平方米（单位：人民币）</v>
      </c>
    </row>
    <row r="60" spans="1:2">
      <c r="A60" s="2854" t="s">
        <v>2732</v>
      </c>
      <c r="B60" s="2838" t="str">
        <f>'预评函-2（2）'!D2</f>
        <v>出让国有建设用地使用权价值</v>
      </c>
    </row>
    <row r="61" spans="1:2" s="2850" customFormat="1">
      <c r="A61" s="2854" t="s">
        <v>2733</v>
      </c>
      <c r="B61" s="2838" t="str">
        <f>'预评函-2（2）'!A14</f>
        <v>单位：平方米、元、元/平方米（币种：人民币）</v>
      </c>
    </row>
    <row r="62" spans="1:2" ht="28.5">
      <c r="A62" s="2854" t="s">
        <v>2899</v>
      </c>
      <c r="B62" s="2838">
        <f ca="1">'预评函-2（1）'!D38</f>
        <v>50752</v>
      </c>
    </row>
    <row r="63" spans="1:2" s="2850" customFormat="1" ht="28.5">
      <c r="A63" s="2854" t="s">
        <v>2900</v>
      </c>
      <c r="B63" s="2838" t="str">
        <f>'预评函-2（1）'!D41</f>
        <v>——</v>
      </c>
    </row>
    <row r="64" spans="1:2">
      <c r="A64" s="2854" t="s">
        <v>2755</v>
      </c>
      <c r="B64" s="2838" t="str">
        <f>'预评函-2（2）'!A6</f>
        <v>估价师所知悉的法定优先受偿款</v>
      </c>
    </row>
    <row r="65" spans="1:2">
      <c r="A65" s="2854" t="s">
        <v>2756</v>
      </c>
      <c r="B65" s="2838" t="str">
        <f>'预评函-2（2）'!A8</f>
        <v>房地产抵押价值</v>
      </c>
    </row>
    <row r="66" spans="1:2">
      <c r="A66" s="2854" t="s">
        <v>2757</v>
      </c>
      <c r="B66" s="2838" t="str">
        <f>'预评函-2（2）'!A10</f>
        <v/>
      </c>
    </row>
    <row r="67" spans="1:2" s="2848" customFormat="1" ht="15.75" thickBot="1">
      <c r="A67" s="2855" t="s">
        <v>2758</v>
      </c>
      <c r="B67" s="2839" t="str">
        <f>'预评函-2（2）'!A12</f>
        <v/>
      </c>
    </row>
    <row r="68" spans="1:2" ht="15.75" thickTop="1">
      <c r="A68" s="2857" t="s">
        <v>2762</v>
      </c>
      <c r="B68" s="2843" t="str">
        <f>'预评函-3'!A9</f>
        <v>XX</v>
      </c>
    </row>
    <row r="69" spans="1:2">
      <c r="A69" s="2851" t="s">
        <v>2898</v>
      </c>
    </row>
    <row r="70" spans="1:2">
      <c r="A70" s="2851" t="s">
        <v>2897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7" zoomScaleNormal="100" zoomScaleSheetLayoutView="110" workbookViewId="0">
      <selection activeCell="C13" sqref="C1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1858</v>
      </c>
      <c r="B1" s="1823" t="str">
        <f>IF(B6="北京市","北京市",C6)&amp;IF(E12="房屋所有权证",B28,E28)&amp;D5&amp;"预评估"</f>
        <v>北京市预评估</v>
      </c>
      <c r="C1" s="1824"/>
      <c r="D1" s="1825"/>
      <c r="E1" s="1826"/>
      <c r="F1" s="2819" t="s">
        <v>1906</v>
      </c>
      <c r="G1" s="2820"/>
      <c r="I1" s="1026" t="str">
        <f>IF(B6="北京市","北京市",C6)&amp;IF(E12="房屋所有权证",B28,E28)&amp;"房地产"</f>
        <v>北京市房地产</v>
      </c>
    </row>
    <row r="2" spans="1:15" ht="13.5" thickTop="1">
      <c r="A2" s="2821" t="s">
        <v>1978</v>
      </c>
      <c r="B2" s="1875"/>
      <c r="C2" s="1827" t="s">
        <v>1979</v>
      </c>
      <c r="D2" s="1875">
        <v>39996</v>
      </c>
      <c r="E2" s="1828"/>
      <c r="F2" s="1828"/>
      <c r="G2" s="2822"/>
      <c r="H2" s="1721"/>
    </row>
    <row r="3" spans="1:15" ht="13.5" thickBot="1">
      <c r="A3" s="2823" t="s">
        <v>1991</v>
      </c>
      <c r="B3" s="1830" t="s">
        <v>2912</v>
      </c>
      <c r="C3" s="1831">
        <f ca="1">SUMIF(注册房地产估价师,B3,估价师及机构信息!B3:B24)</f>
        <v>1120140022</v>
      </c>
      <c r="D3" s="1830" t="s">
        <v>2913</v>
      </c>
      <c r="E3" s="1832">
        <f ca="1">SUMIF(注册房地产估价师,D3,估价师及机构信息!B3:B24)</f>
        <v>1419970001</v>
      </c>
      <c r="F3" s="1833"/>
      <c r="G3" s="2824"/>
      <c r="H3" s="1721"/>
    </row>
    <row r="4" spans="1:15" ht="13.5" customHeight="1" thickTop="1">
      <c r="A4" s="2825" t="s">
        <v>1888</v>
      </c>
      <c r="B4" s="1834" t="s">
        <v>2914</v>
      </c>
      <c r="C4" s="1835" t="s">
        <v>1890</v>
      </c>
      <c r="D4" s="1836" t="s">
        <v>2915</v>
      </c>
      <c r="E4" s="1828"/>
      <c r="F4" s="1828"/>
      <c r="G4" s="2822"/>
    </row>
    <row r="5" spans="1:15">
      <c r="A5" s="2826" t="s">
        <v>1889</v>
      </c>
      <c r="B5" s="1715"/>
      <c r="C5" s="1658" t="s">
        <v>1891</v>
      </c>
      <c r="D5" s="1845"/>
      <c r="E5" s="1858" t="s">
        <v>2002</v>
      </c>
      <c r="F5" s="1702"/>
      <c r="G5" s="1814"/>
      <c r="I5" s="1026" t="str">
        <f>IF(C16="否","截至估价时点，估价对象抵押权未见登记。","截至价值时点，估价对象已设定抵押。")</f>
        <v>截至价值时点，估价对象已设定抵押。</v>
      </c>
    </row>
    <row r="6" spans="1:15">
      <c r="A6" s="2827" t="s">
        <v>1821</v>
      </c>
      <c r="B6" s="1091" t="s">
        <v>2916</v>
      </c>
      <c r="C6" s="1666"/>
      <c r="D6" s="1667" t="s">
        <v>1893</v>
      </c>
      <c r="E6" s="1723"/>
      <c r="F6" s="1722"/>
      <c r="G6" s="1853"/>
      <c r="I6" s="1867" t="str">
        <f>IF(COUNTIF(B5,"*上海银行*"),"上海银行","")</f>
        <v/>
      </c>
    </row>
    <row r="7" spans="1:15" ht="13.5" thickBot="1">
      <c r="A7" s="2823" t="s">
        <v>1822</v>
      </c>
      <c r="B7" s="1837"/>
      <c r="C7" s="1838" t="str">
        <f>IF(B7="自然人","姓名","名称")</f>
        <v>名称</v>
      </c>
      <c r="D7" s="1839"/>
      <c r="E7" s="1840"/>
      <c r="F7" s="1833"/>
      <c r="G7" s="2824"/>
    </row>
    <row r="8" spans="1:15" ht="37.5" customHeight="1" thickTop="1">
      <c r="A8" s="3268" t="s">
        <v>1894</v>
      </c>
      <c r="B8" s="1794" t="s">
        <v>1895</v>
      </c>
      <c r="C8" s="3281" t="s">
        <v>2917</v>
      </c>
      <c r="D8" s="3282"/>
      <c r="E8" s="1700" t="s">
        <v>1899</v>
      </c>
      <c r="F8" s="1694" t="s">
        <v>1892</v>
      </c>
      <c r="G8" s="978">
        <f>C6</f>
        <v>0</v>
      </c>
    </row>
    <row r="9" spans="1:15" ht="24">
      <c r="A9" s="3268"/>
      <c r="B9" s="1642" t="s">
        <v>1904</v>
      </c>
      <c r="C9" s="1715"/>
      <c r="D9" s="1717" t="s">
        <v>2918</v>
      </c>
      <c r="E9" s="1695" t="s">
        <v>1793</v>
      </c>
      <c r="F9" s="1669"/>
      <c r="G9" s="1696"/>
    </row>
    <row r="10" spans="1:15" ht="13.5" thickBot="1">
      <c r="A10" s="3268"/>
      <c r="B10" s="1642" t="s">
        <v>1819</v>
      </c>
      <c r="C10" s="3283"/>
      <c r="D10" s="3284"/>
      <c r="E10" s="1697" t="s">
        <v>1794</v>
      </c>
      <c r="F10" s="1698"/>
      <c r="G10" s="1699"/>
    </row>
    <row r="11" spans="1:15" ht="13.5" thickBot="1">
      <c r="A11" s="3268"/>
      <c r="B11" s="1813" t="s">
        <v>1820</v>
      </c>
      <c r="C11" s="3285"/>
      <c r="D11" s="3286"/>
      <c r="E11" s="1723"/>
      <c r="F11" s="1722"/>
      <c r="G11" s="1853"/>
    </row>
    <row r="12" spans="1:15" ht="24.75" thickBot="1">
      <c r="A12" s="3272" t="s">
        <v>2288</v>
      </c>
      <c r="B12" s="1692" t="s">
        <v>2293</v>
      </c>
      <c r="C12" s="1703">
        <v>349.11</v>
      </c>
      <c r="D12" s="1692" t="s">
        <v>1887</v>
      </c>
      <c r="E12" s="1718" t="s">
        <v>2891</v>
      </c>
      <c r="F12" s="2659" t="s">
        <v>2892</v>
      </c>
      <c r="G12" s="1853"/>
    </row>
    <row r="13" spans="1:15" ht="21" customHeight="1" thickBot="1">
      <c r="A13" s="3273"/>
      <c r="B13" s="1693" t="s">
        <v>2294</v>
      </c>
      <c r="C13" s="1704"/>
      <c r="D13" s="1693" t="s">
        <v>1887</v>
      </c>
      <c r="E13" s="1705" t="s">
        <v>2891</v>
      </c>
      <c r="F13" s="1722"/>
      <c r="G13" s="1853"/>
      <c r="I13" s="3291" t="s">
        <v>1999</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1905</v>
      </c>
      <c r="C14" s="2658"/>
      <c r="D14" s="1719"/>
      <c r="E14" s="1719"/>
      <c r="F14" s="1722"/>
      <c r="G14" s="1853"/>
      <c r="I14" s="3291"/>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1885</v>
      </c>
      <c r="C15" s="1843"/>
      <c r="D15" s="1844"/>
      <c r="E15" s="1844"/>
      <c r="F15" s="1833"/>
      <c r="G15" s="2824"/>
      <c r="I15" s="3291"/>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1973</v>
      </c>
      <c r="B16" s="1818" t="s">
        <v>1996</v>
      </c>
      <c r="C16" s="1819"/>
      <c r="D16" s="1820" t="s">
        <v>1998</v>
      </c>
      <c r="E16" s="1821"/>
      <c r="F16" s="1847" t="str">
        <f>IF(AND(C16="是",E16="否"),"是否提供他项权证或相关说明","")</f>
        <v/>
      </c>
      <c r="G16" s="1821"/>
      <c r="J16" s="1026"/>
      <c r="K16" s="1866"/>
      <c r="L16" s="1866"/>
      <c r="M16" s="1866"/>
      <c r="O16" s="1867"/>
    </row>
    <row r="17" spans="1:15" ht="13.5" customHeight="1">
      <c r="A17" s="1812" t="s">
        <v>1974</v>
      </c>
      <c r="B17" s="3287" t="s">
        <v>1993</v>
      </c>
      <c r="C17" s="3288"/>
      <c r="D17" s="3289" t="s">
        <v>1994</v>
      </c>
      <c r="E17" s="3290"/>
      <c r="F17" s="3096" t="s">
        <v>1995</v>
      </c>
      <c r="G17" s="3098"/>
      <c r="J17" s="1026"/>
    </row>
    <row r="18" spans="1:15" ht="24">
      <c r="A18" s="1812"/>
      <c r="B18" s="1876" t="s">
        <v>2894</v>
      </c>
      <c r="C18" s="1814" t="s">
        <v>1992</v>
      </c>
      <c r="D18" s="1816" t="s">
        <v>2000</v>
      </c>
      <c r="E18" s="1817" t="s">
        <v>1969</v>
      </c>
      <c r="F18" s="3097"/>
      <c r="G18" s="3099"/>
      <c r="H18" s="1721"/>
      <c r="J18" s="1026"/>
    </row>
    <row r="19" spans="1:15" ht="21.75" customHeight="1" thickBot="1">
      <c r="A19" s="1812"/>
      <c r="B19" s="1877"/>
      <c r="C19" s="1705"/>
      <c r="D19" s="1852"/>
      <c r="E19" s="1719"/>
      <c r="F19" s="1719"/>
      <c r="G19" s="3099"/>
    </row>
    <row r="20" spans="1:15">
      <c r="A20" s="3093" t="s">
        <v>1997</v>
      </c>
      <c r="B20" s="3092" t="s">
        <v>1965</v>
      </c>
      <c r="C20" s="1846"/>
      <c r="D20" s="1811" t="s">
        <v>1965</v>
      </c>
      <c r="E20" s="1846"/>
      <c r="F20" s="1719"/>
      <c r="G20" s="3099"/>
    </row>
    <row r="21" spans="1:15">
      <c r="A21" s="3094"/>
      <c r="B21" s="1785" t="s">
        <v>1966</v>
      </c>
      <c r="C21" s="3067"/>
      <c r="D21" s="1812" t="s">
        <v>1966</v>
      </c>
      <c r="E21" s="3089"/>
      <c r="F21" s="1722"/>
      <c r="G21" s="3100"/>
    </row>
    <row r="22" spans="1:15">
      <c r="A22" s="3094"/>
      <c r="B22" s="3081" t="s">
        <v>1967</v>
      </c>
      <c r="C22" s="3088"/>
      <c r="D22" s="3081" t="s">
        <v>1967</v>
      </c>
      <c r="E22" s="3089"/>
      <c r="F22" s="1722"/>
      <c r="G22" s="3100"/>
    </row>
    <row r="23" spans="1:15" s="3085" customFormat="1" ht="21" thickBot="1">
      <c r="A23" s="3095"/>
      <c r="B23" s="3087" t="s">
        <v>1968</v>
      </c>
      <c r="C23" s="3090"/>
      <c r="D23" s="3087" t="s">
        <v>1968</v>
      </c>
      <c r="E23" s="3091"/>
      <c r="F23" s="1722"/>
      <c r="G23" s="3100"/>
      <c r="H23" s="3082"/>
      <c r="I23" s="3068"/>
      <c r="J23" s="3083"/>
      <c r="K23" s="3084"/>
      <c r="L23" s="3084"/>
      <c r="M23" s="3084"/>
      <c r="O23" s="3086"/>
    </row>
    <row r="24" spans="1:15" ht="13.5" thickBot="1">
      <c r="A24" s="1850" t="s">
        <v>1864</v>
      </c>
      <c r="B24" s="1722"/>
      <c r="C24" s="1722"/>
      <c r="D24" s="1722"/>
      <c r="E24" s="1722"/>
      <c r="F24" s="1722"/>
      <c r="G24" s="3101"/>
      <c r="I24" s="1029"/>
      <c r="K24" s="1849"/>
    </row>
    <row r="25" spans="1:15" s="1868" customFormat="1" ht="13.5" thickBot="1">
      <c r="A25" s="1668"/>
      <c r="B25" s="1786" t="s">
        <v>1970</v>
      </c>
      <c r="C25" s="1668"/>
      <c r="D25" s="1701"/>
      <c r="E25" s="1708" t="s">
        <v>1896</v>
      </c>
      <c r="F25" s="1668"/>
      <c r="G25" s="1787" t="s">
        <v>1971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1865</v>
      </c>
      <c r="B27" s="1680"/>
      <c r="C27" s="3275" t="s">
        <v>1897</v>
      </c>
      <c r="D27" s="3276"/>
      <c r="E27" s="1680"/>
      <c r="F27" s="1691" t="s">
        <v>1865</v>
      </c>
      <c r="G27" s="1680"/>
      <c r="I27" s="1029"/>
      <c r="K27" s="1849"/>
    </row>
    <row r="28" spans="1:15">
      <c r="A28" s="1685" t="s">
        <v>1824</v>
      </c>
      <c r="B28" s="1720"/>
      <c r="C28" s="3277" t="s">
        <v>1812</v>
      </c>
      <c r="D28" s="3278"/>
      <c r="E28" s="1720"/>
      <c r="F28" s="2817" t="s">
        <v>1825</v>
      </c>
      <c r="G28" s="1633"/>
      <c r="I28" s="1029"/>
      <c r="K28" s="1849"/>
    </row>
    <row r="29" spans="1:15">
      <c r="A29" s="1685" t="s">
        <v>1823</v>
      </c>
      <c r="B29" s="1633"/>
      <c r="C29" s="3277" t="s">
        <v>1810</v>
      </c>
      <c r="D29" s="3278"/>
      <c r="E29" s="1633"/>
      <c r="F29" s="2817" t="s">
        <v>1826</v>
      </c>
      <c r="G29" s="1633"/>
      <c r="I29" s="1029"/>
      <c r="K29" s="1849"/>
    </row>
    <row r="30" spans="1:15">
      <c r="A30" s="1684" t="s">
        <v>1838</v>
      </c>
      <c r="B30" s="1633"/>
      <c r="C30" s="3297" t="s">
        <v>1813</v>
      </c>
      <c r="D30" s="1714"/>
      <c r="E30" s="1724" t="str">
        <f>E31&amp;" "&amp;E32&amp;" "&amp;E33&amp;" "&amp;E34</f>
        <v xml:space="preserve">   </v>
      </c>
      <c r="F30" s="2817" t="s">
        <v>1828</v>
      </c>
      <c r="G30" s="1633"/>
    </row>
    <row r="31" spans="1:15">
      <c r="A31" s="1685" t="s">
        <v>1827</v>
      </c>
      <c r="B31" s="1633"/>
      <c r="C31" s="3298"/>
      <c r="D31" s="1690" t="s">
        <v>1839</v>
      </c>
      <c r="E31" s="1633"/>
      <c r="F31" s="2817" t="s">
        <v>1830</v>
      </c>
      <c r="G31" s="1633"/>
    </row>
    <row r="32" spans="1:15" ht="24.75" thickBot="1">
      <c r="A32" s="1686" t="s">
        <v>1829</v>
      </c>
      <c r="B32" s="1681"/>
      <c r="C32" s="3298"/>
      <c r="D32" s="1690" t="s">
        <v>1840</v>
      </c>
      <c r="E32" s="1633"/>
      <c r="F32" s="2817" t="s">
        <v>1831</v>
      </c>
      <c r="G32" s="1633"/>
    </row>
    <row r="33" spans="1:7">
      <c r="A33" s="1707" t="s">
        <v>1837</v>
      </c>
      <c r="B33" s="1680"/>
      <c r="C33" s="3298"/>
      <c r="D33" s="1690" t="s">
        <v>1841</v>
      </c>
      <c r="E33" s="1633"/>
      <c r="F33" s="2817" t="s">
        <v>1833</v>
      </c>
      <c r="G33" s="1633"/>
    </row>
    <row r="34" spans="1:7" ht="13.5" thickBot="1">
      <c r="A34" s="1685" t="s">
        <v>1866</v>
      </c>
      <c r="B34" s="1720"/>
      <c r="C34" s="3299"/>
      <c r="D34" s="1690" t="s">
        <v>1842</v>
      </c>
      <c r="E34" s="1633"/>
      <c r="F34" s="2818" t="s">
        <v>1835</v>
      </c>
      <c r="G34" s="1682"/>
    </row>
    <row r="35" spans="1:7">
      <c r="A35" s="1685" t="s">
        <v>1834</v>
      </c>
      <c r="B35" s="1633"/>
      <c r="C35" s="3277" t="s">
        <v>1814</v>
      </c>
      <c r="D35" s="3278"/>
      <c r="E35" s="1633"/>
      <c r="F35" s="1709" t="s">
        <v>1867</v>
      </c>
      <c r="G35" s="1680"/>
    </row>
    <row r="36" spans="1:7" ht="24.75" thickBot="1">
      <c r="A36" s="1685" t="s">
        <v>1868</v>
      </c>
      <c r="B36" s="1633"/>
      <c r="C36" s="3279" t="s">
        <v>1815</v>
      </c>
      <c r="D36" s="3280"/>
      <c r="E36" s="1681"/>
      <c r="F36" s="2816" t="s">
        <v>1869</v>
      </c>
      <c r="G36" s="1633"/>
    </row>
    <row r="37" spans="1:7" ht="13.5" thickBot="1">
      <c r="A37" s="1685" t="s">
        <v>1870</v>
      </c>
      <c r="B37" s="1633"/>
      <c r="C37" s="3269" t="s">
        <v>1816</v>
      </c>
      <c r="D37" s="2815" t="s">
        <v>1848</v>
      </c>
      <c r="E37" s="1680"/>
      <c r="F37" s="2818" t="s">
        <v>1871</v>
      </c>
      <c r="G37" s="1681"/>
    </row>
    <row r="38" spans="1:7">
      <c r="A38" s="1685" t="s">
        <v>1832</v>
      </c>
      <c r="B38" s="1633"/>
      <c r="C38" s="3270"/>
      <c r="D38" s="1690" t="s">
        <v>1849</v>
      </c>
      <c r="E38" s="1633"/>
      <c r="F38" s="1691" t="s">
        <v>1876</v>
      </c>
      <c r="G38" s="1680"/>
    </row>
    <row r="39" spans="1:7">
      <c r="A39" s="1685" t="s">
        <v>1873</v>
      </c>
      <c r="B39" s="1633"/>
      <c r="C39" s="3270" t="s">
        <v>1898</v>
      </c>
      <c r="D39" s="1690" t="s">
        <v>1846</v>
      </c>
      <c r="E39" s="1633"/>
      <c r="F39" s="2817" t="s">
        <v>1879</v>
      </c>
      <c r="G39" s="1633"/>
    </row>
    <row r="40" spans="1:7" ht="24.75" customHeight="1" thickBot="1">
      <c r="A40" s="1686" t="s">
        <v>1875</v>
      </c>
      <c r="B40" s="1681"/>
      <c r="C40" s="3271"/>
      <c r="D40" s="2814" t="s">
        <v>1847</v>
      </c>
      <c r="E40" s="1681"/>
      <c r="F40" s="2818" t="s">
        <v>1881</v>
      </c>
      <c r="G40" s="1681"/>
    </row>
    <row r="41" spans="1:7">
      <c r="A41" s="1689" t="s">
        <v>1878</v>
      </c>
      <c r="B41" s="1788"/>
      <c r="C41" s="3292" t="s">
        <v>1818</v>
      </c>
      <c r="D41" s="3293"/>
      <c r="E41" s="1788"/>
      <c r="F41" s="1691" t="s">
        <v>1872</v>
      </c>
      <c r="G41" s="1788"/>
    </row>
    <row r="42" spans="1:7">
      <c r="A42" s="1782" t="s">
        <v>1972</v>
      </c>
      <c r="B42" s="1789"/>
      <c r="C42" s="1776"/>
      <c r="D42" s="1780"/>
      <c r="E42" s="1789"/>
      <c r="F42" s="1781"/>
      <c r="G42" s="1789"/>
    </row>
    <row r="43" spans="1:7">
      <c r="A43" s="1783" t="s">
        <v>1965</v>
      </c>
      <c r="B43" s="1779"/>
      <c r="C43" s="1776"/>
      <c r="D43" s="1784" t="s">
        <v>1965</v>
      </c>
      <c r="E43" s="1779"/>
      <c r="F43" s="1783" t="s">
        <v>1965</v>
      </c>
      <c r="G43" s="1779"/>
    </row>
    <row r="44" spans="1:7">
      <c r="A44" s="1783" t="s">
        <v>1966</v>
      </c>
      <c r="B44" s="1779"/>
      <c r="C44" s="1776"/>
      <c r="D44" s="1785" t="s">
        <v>1966</v>
      </c>
      <c r="E44" s="1779"/>
      <c r="F44" s="1783" t="s">
        <v>1966</v>
      </c>
      <c r="G44" s="1779"/>
    </row>
    <row r="45" spans="1:7">
      <c r="A45" s="1783" t="s">
        <v>1967</v>
      </c>
      <c r="B45" s="1779"/>
      <c r="C45" s="1776"/>
      <c r="D45" s="1785" t="s">
        <v>1967</v>
      </c>
      <c r="E45" s="1779"/>
      <c r="F45" s="1783" t="s">
        <v>1967</v>
      </c>
      <c r="G45" s="1779"/>
    </row>
    <row r="46" spans="1:7">
      <c r="A46" s="1783" t="s">
        <v>1968</v>
      </c>
      <c r="B46" s="1779"/>
      <c r="C46" s="1776"/>
      <c r="D46" s="1785" t="s">
        <v>1968</v>
      </c>
      <c r="E46" s="1779"/>
      <c r="F46" s="1783" t="s">
        <v>1968</v>
      </c>
      <c r="G46" s="1779"/>
    </row>
    <row r="47" spans="1:7">
      <c r="A47" s="1778"/>
      <c r="B47" s="1779"/>
      <c r="C47" s="1776"/>
      <c r="D47" s="1780"/>
      <c r="E47" s="1779"/>
      <c r="F47" s="1781"/>
      <c r="G47" s="1779"/>
    </row>
    <row r="48" spans="1:7" ht="13.5" thickBot="1">
      <c r="A48" s="1686" t="s">
        <v>1880</v>
      </c>
      <c r="B48" s="1706"/>
      <c r="C48" s="3294" t="s">
        <v>1811</v>
      </c>
      <c r="D48" s="3295"/>
      <c r="E48" s="1775"/>
      <c r="F48" s="2818" t="s">
        <v>1874</v>
      </c>
      <c r="G48" s="1681"/>
    </row>
    <row r="49" spans="1:15">
      <c r="A49" s="1685" t="s">
        <v>1877</v>
      </c>
      <c r="B49" s="1774"/>
      <c r="C49" s="3269" t="s">
        <v>1843</v>
      </c>
      <c r="D49" s="3296"/>
      <c r="E49" s="1777"/>
      <c r="F49" s="1871"/>
      <c r="G49" s="1872"/>
    </row>
    <row r="50" spans="1:15" ht="13.5" thickBot="1">
      <c r="A50" s="1687" t="s">
        <v>1836</v>
      </c>
      <c r="B50" s="1774"/>
      <c r="C50" s="3271" t="s">
        <v>1817</v>
      </c>
      <c r="D50" s="3274"/>
      <c r="E50" s="1681"/>
      <c r="F50" s="1722"/>
      <c r="G50" s="1853"/>
    </row>
    <row r="51" spans="1:15">
      <c r="A51" s="1687" t="s">
        <v>1845</v>
      </c>
      <c r="B51" s="1633"/>
      <c r="C51" s="1722"/>
      <c r="D51" s="1722"/>
      <c r="E51" s="1722"/>
      <c r="F51" s="1722"/>
      <c r="G51" s="1853"/>
    </row>
    <row r="52" spans="1:15" ht="24.75" thickBot="1">
      <c r="A52" s="1688" t="s">
        <v>1844</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40" t="s">
        <v>2</v>
      </c>
      <c r="B1" s="3240" t="s">
        <v>22</v>
      </c>
      <c r="C1" s="3240" t="s">
        <v>23</v>
      </c>
      <c r="D1" s="3300" t="s">
        <v>207</v>
      </c>
      <c r="E1" s="3300" t="s">
        <v>208</v>
      </c>
      <c r="F1" s="3300"/>
      <c r="G1" s="3300"/>
      <c r="H1" s="3300"/>
      <c r="I1" s="3300"/>
      <c r="J1" s="3300"/>
      <c r="K1" s="3300"/>
      <c r="L1" s="3300"/>
      <c r="M1" s="3300"/>
    </row>
    <row r="2" spans="1:13" ht="27" customHeight="1">
      <c r="A2" s="3240"/>
      <c r="B2" s="3240"/>
      <c r="C2" s="3240"/>
      <c r="D2" s="3300"/>
      <c r="E2" s="3300" t="s">
        <v>191</v>
      </c>
      <c r="F2" s="3300" t="s">
        <v>192</v>
      </c>
      <c r="G2" s="3300"/>
      <c r="H2" s="3300"/>
      <c r="I2" s="3300"/>
      <c r="J2" s="3300" t="s">
        <v>193</v>
      </c>
      <c r="K2" s="3300"/>
      <c r="L2" s="3300"/>
      <c r="M2" s="3300"/>
    </row>
    <row r="3" spans="1:13" ht="28.5">
      <c r="A3" s="3240"/>
      <c r="B3" s="3240"/>
      <c r="C3" s="3240"/>
      <c r="D3" s="3300"/>
      <c r="E3" s="330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00" t="s">
        <v>209</v>
      </c>
      <c r="B9" s="3300"/>
      <c r="C9" s="330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39996</v>
      </c>
      <c r="C2" s="2078"/>
      <c r="D2" s="3301" t="s">
        <v>2281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2199</v>
      </c>
      <c r="B3" s="2016" t="s">
        <v>3367</v>
      </c>
      <c r="C3" s="2078"/>
      <c r="D3" s="3302"/>
      <c r="E3" s="2041" t="s">
        <v>2893</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2200</v>
      </c>
      <c r="B4" s="2016" t="s">
        <v>6</v>
      </c>
      <c r="C4" s="2078"/>
      <c r="D4" s="3302"/>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2285</v>
      </c>
      <c r="B5" s="2318">
        <f>项目基本情况!C12</f>
        <v>349.11</v>
      </c>
      <c r="C5" s="2078"/>
      <c r="D5" s="2042" t="s">
        <v>2282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2284</v>
      </c>
      <c r="B6" s="2319">
        <f>项目基本情况!C13</f>
        <v>0</v>
      </c>
      <c r="C6" s="2078"/>
      <c r="D6" s="2042" t="s">
        <v>2283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v>65048</v>
      </c>
      <c r="C12" s="2078"/>
      <c r="D12" s="27" t="s">
        <v>626</v>
      </c>
      <c r="E12" s="220"/>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68.63</v>
      </c>
      <c r="C13" s="2087"/>
      <c r="D13" s="176" t="s">
        <v>627</v>
      </c>
      <c r="E13" s="222"/>
      <c r="F13" s="3042" t="s">
        <v>2864</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0.997</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4.4999999999999998E-2</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8.5000000000000006E-2</v>
      </c>
      <c r="C17" s="2078"/>
      <c r="D17" s="1643" t="s">
        <v>611</v>
      </c>
      <c r="E17" s="3213">
        <f>ROUND((I18-I19-I20-I22)/(1+(E22+E21+E24))/K17*10000,0)</f>
        <v>12787</v>
      </c>
      <c r="F17" s="2153"/>
      <c r="G17" s="2078" t="s">
        <v>2920</v>
      </c>
      <c r="H17" s="2078"/>
      <c r="I17" s="2078"/>
      <c r="J17" s="2078" t="s">
        <v>2921</v>
      </c>
      <c r="K17" s="2078">
        <f>Sheet1!B12</f>
        <v>118010.32</v>
      </c>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4464070</v>
      </c>
      <c r="F18" s="2320">
        <f>ROUND(E5*E17*IF(B25=0,1,E20),0)</f>
        <v>0</v>
      </c>
      <c r="G18" s="2078"/>
      <c r="H18" s="2078" t="s">
        <v>3362</v>
      </c>
      <c r="I18" s="2078">
        <v>170000</v>
      </c>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t="s">
        <v>3363</v>
      </c>
      <c r="I19" s="2078">
        <v>2328.2865000000002</v>
      </c>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6">
        <v>1</v>
      </c>
      <c r="F20" s="2153"/>
      <c r="G20" s="2078"/>
      <c r="H20" s="2078" t="s">
        <v>3364</v>
      </c>
      <c r="I20" s="2078">
        <f>ROUND(I19*0.0305,0)</f>
        <v>71</v>
      </c>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2865</v>
      </c>
      <c r="G21" s="2078"/>
      <c r="H21" s="2078" t="s">
        <v>3365</v>
      </c>
      <c r="I21" s="3214">
        <f>E22</f>
        <v>0.05</v>
      </c>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2515</v>
      </c>
      <c r="B22" s="2526">
        <v>2</v>
      </c>
      <c r="C22" s="2078"/>
      <c r="D22" s="27" t="s">
        <v>632</v>
      </c>
      <c r="E22" s="223">
        <v>0.05</v>
      </c>
      <c r="F22" s="3045" t="s">
        <v>2866</v>
      </c>
      <c r="G22" s="2078"/>
      <c r="H22" s="2078" t="s">
        <v>3366</v>
      </c>
      <c r="I22" s="2078">
        <f>ROUND(E23*K17/10000,0)</f>
        <v>2360</v>
      </c>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2867</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2513</v>
      </c>
      <c r="B24" s="2922">
        <f>B20+B22</f>
        <v>2</v>
      </c>
      <c r="C24" s="2078"/>
      <c r="D24" s="29" t="s">
        <v>634</v>
      </c>
      <c r="E24" s="3000">
        <v>1.4999999999999999E-2</v>
      </c>
      <c r="F24" s="3045" t="s">
        <v>2868</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2514</v>
      </c>
      <c r="B25" s="2523">
        <f>B21-B22</f>
        <v>0</v>
      </c>
      <c r="C25" s="2074"/>
      <c r="D25" s="26" t="s">
        <v>635</v>
      </c>
      <c r="E25" s="1000">
        <v>0.02</v>
      </c>
      <c r="F25" s="3045" t="s">
        <v>2869</v>
      </c>
      <c r="I25" s="2075"/>
      <c r="AE25" s="2074"/>
      <c r="AF25" s="2074"/>
      <c r="AG25" s="2074"/>
      <c r="AH25" s="2074"/>
      <c r="AI25" s="2074"/>
      <c r="AJ25" s="2074"/>
      <c r="AK25" s="2074"/>
      <c r="AL25" s="2074"/>
      <c r="AM25" s="2074"/>
      <c r="AN25" s="2074"/>
      <c r="AO25" s="2074"/>
    </row>
    <row r="26" spans="1:41" ht="15" thickBot="1">
      <c r="A26" s="1903" t="s">
        <v>2011</v>
      </c>
      <c r="B26" s="1902"/>
      <c r="C26" s="2078"/>
      <c r="D26" s="27" t="s">
        <v>636</v>
      </c>
      <c r="E26" s="223">
        <v>0.02</v>
      </c>
      <c r="F26" s="3045" t="s">
        <v>2869</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5.4000000000000006E-2</v>
      </c>
      <c r="F27" s="3045" t="s">
        <v>2870</v>
      </c>
      <c r="G27" s="2080"/>
      <c r="H27" s="2080"/>
      <c r="K27" s="2078"/>
      <c r="N27" s="2078"/>
      <c r="AE27" s="2074"/>
      <c r="AF27" s="2074"/>
      <c r="AG27" s="2074"/>
      <c r="AH27" s="2074"/>
      <c r="AI27" s="2074"/>
      <c r="AJ27" s="2074"/>
      <c r="AK27" s="2074"/>
      <c r="AL27" s="2074"/>
      <c r="AM27" s="2074"/>
      <c r="AN27" s="2074"/>
      <c r="AO27" s="2074"/>
    </row>
    <row r="28" spans="1:41" ht="14.25" thickBot="1">
      <c r="A28" s="9" t="s">
        <v>1882</v>
      </c>
      <c r="B28" s="3007"/>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2441</v>
      </c>
      <c r="B30" s="2487">
        <f ca="1">存贷款利率!I1</f>
        <v>2.2499999999999999E-2</v>
      </c>
      <c r="C30" s="2074"/>
      <c r="D30" s="1028" t="s">
        <v>639</v>
      </c>
      <c r="E30" s="224">
        <v>0.05</v>
      </c>
      <c r="F30" s="3062">
        <f>IF(B2&lt;DATE(2016,5,1),0,E30)</f>
        <v>0</v>
      </c>
      <c r="G30" s="2080"/>
      <c r="H30" s="2080"/>
      <c r="K30" s="2078"/>
      <c r="N30" s="2078"/>
      <c r="AE30" s="2074"/>
      <c r="AF30" s="2074"/>
      <c r="AG30" s="2074"/>
      <c r="AH30" s="2074"/>
      <c r="AI30" s="2074"/>
      <c r="AJ30" s="2074"/>
      <c r="AK30" s="2074"/>
      <c r="AL30" s="2074"/>
      <c r="AM30" s="2074"/>
      <c r="AN30" s="2074"/>
      <c r="AO30" s="2074"/>
    </row>
    <row r="31" spans="1:41" ht="14.25">
      <c r="A31" s="1653" t="s">
        <v>613</v>
      </c>
      <c r="B31" s="213"/>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c r="C32" s="2074"/>
      <c r="D32" s="28" t="s">
        <v>641</v>
      </c>
      <c r="E32" s="226">
        <v>7.0000000000000007E-2</v>
      </c>
      <c r="F32" s="3040" t="s">
        <v>2871</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-2009</v>
      </c>
      <c r="C33" s="2074"/>
      <c r="D33" s="28" t="s">
        <v>642</v>
      </c>
      <c r="E33" s="224">
        <v>0.03</v>
      </c>
      <c r="F33" s="3039" t="s">
        <v>2872</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2873</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c r="F35" s="3047" t="s">
        <v>2874</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2876</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2877</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1809</v>
      </c>
      <c r="B41" s="1673"/>
      <c r="C41" s="2074"/>
      <c r="D41" s="27" t="s">
        <v>650</v>
      </c>
      <c r="E41" s="12"/>
      <c r="F41" s="3041" t="s">
        <v>2875</v>
      </c>
      <c r="G41" s="2090" t="s">
        <v>2863</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2222</v>
      </c>
      <c r="B42" s="1659"/>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c r="C44" s="2153" t="s">
        <v>2378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c r="C45" s="2153" t="s">
        <v>2379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c r="C46" s="2153" t="s">
        <v>2380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2859</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2860</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2861</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2862</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303" t="s">
        <v>665</v>
      </c>
      <c r="B1" s="3304"/>
      <c r="C1" s="3304"/>
      <c r="D1" s="3304"/>
      <c r="E1" s="3304"/>
      <c r="F1" s="3304"/>
      <c r="G1" s="330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54">
      <c r="A3" s="879" t="s">
        <v>668</v>
      </c>
      <c r="B3" s="18" t="s">
        <v>37</v>
      </c>
      <c r="C3" s="3049" t="s">
        <v>2937</v>
      </c>
      <c r="D3" s="2104"/>
      <c r="E3" s="888" t="s">
        <v>668</v>
      </c>
      <c r="F3" s="1035" t="s">
        <v>94</v>
      </c>
      <c r="G3" s="3053" t="s">
        <v>2879</v>
      </c>
      <c r="H3" s="2102"/>
      <c r="I3" s="2102"/>
      <c r="J3" s="2102"/>
      <c r="K3" s="2102"/>
      <c r="L3" s="2102"/>
      <c r="M3" s="2102"/>
      <c r="N3" s="2102"/>
      <c r="O3" s="2102"/>
      <c r="P3" s="2102"/>
      <c r="Q3" s="2102"/>
      <c r="R3" s="2102"/>
    </row>
    <row r="4" spans="1:29" ht="40.5">
      <c r="A4" s="888"/>
      <c r="B4" s="2066" t="s">
        <v>669</v>
      </c>
      <c r="C4" s="3050"/>
      <c r="D4" s="2104"/>
      <c r="E4" s="1036"/>
      <c r="F4" s="2071" t="s">
        <v>670</v>
      </c>
      <c r="G4" s="3051" t="s">
        <v>671</v>
      </c>
      <c r="H4" s="2102"/>
      <c r="I4" s="2102"/>
      <c r="J4" s="2102"/>
      <c r="K4" s="2102"/>
      <c r="L4" s="2102"/>
      <c r="M4" s="2102"/>
      <c r="N4" s="2102"/>
      <c r="O4" s="2102"/>
      <c r="P4" s="2102"/>
      <c r="Q4" s="2102"/>
      <c r="R4" s="2102"/>
    </row>
    <row r="5" spans="1:29" ht="27">
      <c r="A5" s="888"/>
      <c r="B5" s="2066" t="s">
        <v>672</v>
      </c>
      <c r="C5" s="3050"/>
      <c r="D5" s="2104"/>
      <c r="E5" s="1036"/>
      <c r="F5" s="2544" t="s">
        <v>2530</v>
      </c>
      <c r="G5" s="3051" t="s">
        <v>2532</v>
      </c>
      <c r="H5" s="2102"/>
      <c r="I5" s="2102"/>
      <c r="J5" s="2102"/>
      <c r="K5" s="2102"/>
      <c r="L5" s="2102"/>
      <c r="M5" s="2102"/>
      <c r="N5" s="2102"/>
      <c r="O5" s="2102"/>
      <c r="P5" s="2102"/>
      <c r="Q5" s="2102"/>
      <c r="R5" s="2102"/>
    </row>
    <row r="6" spans="1:29" ht="54">
      <c r="A6" s="888"/>
      <c r="B6" s="2066" t="s">
        <v>67</v>
      </c>
      <c r="C6" s="3051" t="s">
        <v>2938</v>
      </c>
      <c r="D6" s="2104"/>
      <c r="E6" s="1036"/>
      <c r="F6" s="2544" t="s">
        <v>2531</v>
      </c>
      <c r="G6" s="3051" t="s">
        <v>2533</v>
      </c>
      <c r="H6" s="2102"/>
      <c r="I6" s="2102"/>
      <c r="J6" s="2102"/>
      <c r="K6" s="2102"/>
      <c r="L6" s="2102"/>
      <c r="M6" s="2102"/>
      <c r="N6" s="2102"/>
      <c r="O6" s="2102"/>
      <c r="P6" s="2102"/>
      <c r="Q6" s="2102"/>
      <c r="R6" s="2102"/>
    </row>
    <row r="7" spans="1:29" ht="41.25" thickBot="1">
      <c r="A7" s="888"/>
      <c r="B7" s="2066" t="s">
        <v>2530</v>
      </c>
      <c r="C7" s="3051" t="s">
        <v>2939</v>
      </c>
      <c r="D7" s="2105"/>
      <c r="E7" s="1037"/>
      <c r="F7" s="1038" t="s">
        <v>651</v>
      </c>
      <c r="G7" s="3054" t="s">
        <v>2878</v>
      </c>
      <c r="H7" s="2102"/>
      <c r="I7" s="2102"/>
      <c r="J7" s="2102"/>
      <c r="K7" s="2102"/>
      <c r="L7" s="2102"/>
      <c r="M7" s="2102"/>
      <c r="N7" s="2102"/>
      <c r="O7" s="2102"/>
      <c r="P7" s="2102"/>
      <c r="Q7" s="2102"/>
      <c r="R7" s="2102"/>
    </row>
    <row r="8" spans="1:29" ht="27">
      <c r="A8" s="888"/>
      <c r="B8" s="2544" t="s">
        <v>2531</v>
      </c>
      <c r="C8" s="3051" t="s">
        <v>2940</v>
      </c>
      <c r="D8" s="2105"/>
      <c r="E8" s="2105"/>
      <c r="F8" s="2106"/>
      <c r="G8" s="2106"/>
      <c r="H8" s="2102"/>
      <c r="I8" s="2102"/>
      <c r="J8" s="2102"/>
      <c r="K8" s="2102"/>
      <c r="L8" s="2102"/>
      <c r="M8" s="2102"/>
      <c r="N8" s="2102"/>
      <c r="O8" s="2102"/>
      <c r="P8" s="2102"/>
      <c r="Q8" s="2102"/>
      <c r="R8" s="2102"/>
    </row>
    <row r="9" spans="1:29" ht="67.5">
      <c r="A9" s="888"/>
      <c r="B9" s="2066" t="s">
        <v>68</v>
      </c>
      <c r="C9" s="3050" t="s">
        <v>2941</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2942</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54">
      <c r="A15" s="17" t="s">
        <v>656</v>
      </c>
      <c r="B15" s="6" t="s">
        <v>37</v>
      </c>
      <c r="C15" s="1044" t="str">
        <f>C3</f>
        <v>估价对象周边居住用地比例大、居住小区规模和社区发展完善程度好，综合评价居住社区成熟度好</v>
      </c>
      <c r="D15" s="2104"/>
      <c r="E15" s="2552" t="s">
        <v>657</v>
      </c>
      <c r="F15" s="6" t="s">
        <v>658</v>
      </c>
      <c r="G15" s="881" t="str">
        <f>G3</f>
        <v>估价对象位于XX开发区，园区建设成熟度XX，产业集聚程度XX</v>
      </c>
    </row>
    <row r="16" spans="1:29" ht="40.5">
      <c r="A16" s="2555"/>
      <c r="B16" s="1045" t="s">
        <v>659</v>
      </c>
      <c r="C16" s="1046">
        <f>C4</f>
        <v>0</v>
      </c>
      <c r="D16" s="2104"/>
      <c r="E16" s="2553"/>
      <c r="F16" s="2065" t="s">
        <v>660</v>
      </c>
      <c r="G16" s="883" t="str">
        <f>G4</f>
        <v>估价对象周边道路状况、公共交通通达情况、停车便捷程度，综合评价交通便捷度较好</v>
      </c>
    </row>
    <row r="17" spans="1:18">
      <c r="A17" s="2555"/>
      <c r="B17" s="1045" t="s">
        <v>661</v>
      </c>
      <c r="C17" s="1046">
        <f>C5</f>
        <v>0</v>
      </c>
      <c r="D17" s="2105"/>
      <c r="E17" s="2553"/>
      <c r="F17" s="2065" t="s">
        <v>662</v>
      </c>
      <c r="G17" s="3055"/>
    </row>
    <row r="18" spans="1:18" ht="54">
      <c r="A18" s="2555"/>
      <c r="B18" s="2065" t="s">
        <v>67</v>
      </c>
      <c r="C18" s="883" t="str">
        <f>C6</f>
        <v>估价对象周边道路密集、公共交通通达情况好、停车便捷程度好，综合评价交通便捷度好</v>
      </c>
      <c r="D18" s="2105"/>
      <c r="E18" s="2553"/>
      <c r="F18" s="2065" t="s">
        <v>651</v>
      </c>
      <c r="G18" s="883" t="str">
        <f>G7</f>
        <v>该园区内是否有污染型企业，绿化情况，卫生条件，整体环境状况判断</v>
      </c>
    </row>
    <row r="19" spans="1:18" ht="27">
      <c r="A19" s="2555"/>
      <c r="B19" s="2065" t="s">
        <v>86</v>
      </c>
      <c r="C19" s="3055" t="s">
        <v>2943</v>
      </c>
      <c r="D19" s="2104"/>
      <c r="E19" s="2553"/>
      <c r="F19" s="2544" t="s">
        <v>2530</v>
      </c>
      <c r="G19" s="883" t="str">
        <f>G5</f>
        <v>估价对象所在区域公共配套设施齐备情况</v>
      </c>
    </row>
    <row r="20" spans="1:18" ht="67.5">
      <c r="A20" s="2555"/>
      <c r="B20" s="2065" t="s">
        <v>85</v>
      </c>
      <c r="C20" s="1046" t="str">
        <f>C9</f>
        <v>区域自然环境：玉渊潭公园、中塔公园；人文环境：北京工商大学、首都师范大学；综合评价环境状况好</v>
      </c>
      <c r="D20" s="2105"/>
      <c r="E20" s="2553"/>
      <c r="F20" s="2544" t="s">
        <v>2531</v>
      </c>
      <c r="G20" s="883" t="str">
        <f>G6</f>
        <v>估价对象所在区域基础设施水平</v>
      </c>
    </row>
    <row r="21" spans="1:18" ht="27">
      <c r="A21" s="2555"/>
      <c r="B21" s="2544" t="s">
        <v>2530</v>
      </c>
      <c r="C21" s="883" t="str">
        <f>C7</f>
        <v>估价对象所在区域公共配套设施齐备</v>
      </c>
      <c r="D21" s="2104"/>
      <c r="E21" s="2553"/>
      <c r="F21" s="2065" t="s">
        <v>84</v>
      </c>
      <c r="G21" s="179"/>
    </row>
    <row r="22" spans="1:18" ht="27">
      <c r="A22" s="2555"/>
      <c r="B22" s="2544" t="s">
        <v>2531</v>
      </c>
      <c r="C22" s="883" t="str">
        <f>C8</f>
        <v>估价对象所在区域基础设施水平达到七通</v>
      </c>
      <c r="D22" s="2104"/>
      <c r="E22" s="2553"/>
      <c r="F22" s="2065" t="s">
        <v>663</v>
      </c>
      <c r="G22" s="172"/>
    </row>
    <row r="23" spans="1:18" s="2102" customFormat="1" ht="14.25" thickBot="1">
      <c r="A23" s="2555"/>
      <c r="B23" s="2065" t="s">
        <v>84</v>
      </c>
      <c r="C23" s="179" t="s">
        <v>2944</v>
      </c>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17" t="s">
        <v>2817</v>
      </c>
      <c r="B1" s="3017">
        <f>SUM(B14:B23)</f>
        <v>349.11</v>
      </c>
      <c r="C1" s="3018"/>
      <c r="D1" s="3018"/>
      <c r="E1" s="3018"/>
      <c r="F1" s="3018"/>
      <c r="G1" s="3022"/>
    </row>
    <row r="2" spans="1:9" ht="16.5">
      <c r="A2" s="3017" t="s">
        <v>2818</v>
      </c>
      <c r="B2" s="3017">
        <f>SUM(C14:C23)</f>
        <v>0</v>
      </c>
      <c r="C2" s="3018"/>
      <c r="D2" s="3018"/>
      <c r="E2" s="3018"/>
      <c r="F2" s="3018"/>
      <c r="G2" s="3022"/>
    </row>
    <row r="3" spans="1:9" ht="16.5">
      <c r="A3" s="3017" t="s">
        <v>2819</v>
      </c>
      <c r="B3" s="3020">
        <f>项目基本情况!D2</f>
        <v>39996</v>
      </c>
      <c r="C3" s="3018"/>
      <c r="D3" s="3018"/>
      <c r="E3" s="3018"/>
      <c r="F3" s="3018"/>
      <c r="G3" s="3022"/>
    </row>
    <row r="4" spans="1:9" ht="33">
      <c r="A4" s="3017" t="s">
        <v>2820</v>
      </c>
      <c r="B4" s="3017" t="s">
        <v>2821</v>
      </c>
      <c r="C4" s="3017" t="s">
        <v>2822</v>
      </c>
      <c r="D4" s="3017" t="s">
        <v>2823</v>
      </c>
      <c r="E4" s="3018"/>
      <c r="F4" s="3022"/>
      <c r="G4" s="3022"/>
    </row>
    <row r="5" spans="1:9" ht="16.5">
      <c r="A5" s="3017" t="s">
        <v>2824</v>
      </c>
      <c r="B5" s="3017" t="e">
        <f ca="1">SUM(D14:D23)</f>
        <v>#REF!</v>
      </c>
      <c r="C5" s="3017" t="e">
        <f ca="1">ROUND(B5*10000/$B$1,0)</f>
        <v>#REF!</v>
      </c>
      <c r="D5" s="3017" t="e">
        <f ca="1">ROUND(B5*10000/$B$2,0)</f>
        <v>#REF!</v>
      </c>
      <c r="E5" s="3018"/>
      <c r="F5" s="3022"/>
      <c r="G5" s="3022"/>
    </row>
    <row r="6" spans="1:9" ht="16.5">
      <c r="A6" s="3017" t="s">
        <v>2825</v>
      </c>
      <c r="B6" s="3017" t="e">
        <f ca="1">SUM(G14:G23)</f>
        <v>#REF!</v>
      </c>
      <c r="C6" s="3017" t="e">
        <f t="shared" ref="C6:C8" ca="1" si="0">ROUND(B6*10000/$B$1,0)</f>
        <v>#REF!</v>
      </c>
      <c r="D6" s="3017" t="e">
        <f t="shared" ref="D6:D8" ca="1" si="1">ROUND(B6*10000/$B$2,0)</f>
        <v>#REF!</v>
      </c>
      <c r="E6" s="3018"/>
      <c r="F6" s="3022"/>
      <c r="G6" s="3022"/>
    </row>
    <row r="7" spans="1:9" ht="16.5">
      <c r="A7" s="3017" t="s">
        <v>2826</v>
      </c>
      <c r="B7" s="3017" t="e">
        <f>SUM(H14:H23)</f>
        <v>#VALUE!</v>
      </c>
      <c r="C7" s="3017" t="e">
        <f>ROUND(B7*10000/$B$1,0)</f>
        <v>#VALUE!</v>
      </c>
      <c r="D7" s="3017" t="e">
        <f t="shared" si="1"/>
        <v>#VALUE!</v>
      </c>
      <c r="E7" s="3018"/>
      <c r="F7" s="3022"/>
      <c r="G7" s="3022"/>
    </row>
    <row r="8" spans="1:9" ht="16.5">
      <c r="A8" s="3017" t="s">
        <v>2827</v>
      </c>
      <c r="B8" s="3017" t="e">
        <f>SUM(I14:I23)</f>
        <v>#VALUE!</v>
      </c>
      <c r="C8" s="3017" t="e">
        <f t="shared" si="0"/>
        <v>#VALUE!</v>
      </c>
      <c r="D8" s="3017" t="e">
        <f t="shared" si="1"/>
        <v>#VALUE!</v>
      </c>
      <c r="E8" s="3018"/>
      <c r="F8" s="3022"/>
      <c r="G8" s="3022"/>
    </row>
    <row r="9" spans="1:9" ht="16.5">
      <c r="A9" s="3017" t="s">
        <v>2828</v>
      </c>
      <c r="B9" s="3023"/>
      <c r="C9" s="3018"/>
      <c r="D9" s="3018"/>
      <c r="E9" s="3018"/>
      <c r="F9" s="3022"/>
      <c r="G9" s="3022"/>
    </row>
    <row r="10" spans="1:9" ht="16.5">
      <c r="A10" s="3017" t="s">
        <v>2829</v>
      </c>
      <c r="B10" s="3023"/>
      <c r="C10" s="3018"/>
      <c r="D10" s="3018"/>
      <c r="E10" s="3018"/>
      <c r="F10" s="3022"/>
      <c r="G10" s="3022"/>
    </row>
    <row r="11" spans="1:9" ht="16.5">
      <c r="A11" s="3017" t="s">
        <v>2845</v>
      </c>
      <c r="B11" s="3023"/>
      <c r="C11" s="3018"/>
      <c r="D11" s="3018"/>
      <c r="E11" s="3018"/>
      <c r="F11" s="3022"/>
      <c r="G11" s="3022"/>
    </row>
    <row r="12" spans="1:9" ht="16.5">
      <c r="A12" s="3018"/>
      <c r="B12" s="3018"/>
      <c r="C12" s="3018"/>
      <c r="D12" s="3018"/>
      <c r="E12" s="3018"/>
      <c r="F12" s="3022"/>
      <c r="G12" s="3022"/>
    </row>
    <row r="13" spans="1:9" ht="33">
      <c r="A13" s="3027" t="s">
        <v>2844</v>
      </c>
      <c r="B13" s="3021" t="s">
        <v>2817</v>
      </c>
      <c r="C13" s="3021" t="s">
        <v>2818</v>
      </c>
      <c r="D13" s="3021" t="s">
        <v>2830</v>
      </c>
      <c r="E13" s="3017" t="s">
        <v>2822</v>
      </c>
      <c r="F13" s="3017" t="s">
        <v>2823</v>
      </c>
      <c r="G13" s="3021" t="s">
        <v>2831</v>
      </c>
      <c r="H13" s="3021" t="s">
        <v>2832</v>
      </c>
      <c r="I13" s="3021" t="s">
        <v>2833</v>
      </c>
    </row>
    <row r="14" spans="1:9" ht="16.5">
      <c r="A14" s="3024" t="s">
        <v>2843</v>
      </c>
      <c r="B14" s="3021">
        <f>项目基本情况!C12</f>
        <v>349.11</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e">
        <f ca="1">IF('数据-取费表'!B3="万元",IF(A14="估价对象1（结果表）",结果表!D125,'结果表 (1修多)'!D128),IF(A14="估价对象1（结果表）",结果表!D125,'结果表 (1修多)'!D128)/10000)</f>
        <v>#REF!</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2834</v>
      </c>
      <c r="B15" s="3025"/>
      <c r="C15" s="3025"/>
      <c r="D15" s="3025"/>
      <c r="E15" s="3021" t="e">
        <f t="shared" ref="E15:E23" si="2">ROUND(D15*10000/B15,0)</f>
        <v>#DIV/0!</v>
      </c>
      <c r="F15" s="3021" t="e">
        <f t="shared" ref="F15:F23" si="3">ROUND(D15*10000/C15,0)</f>
        <v>#DIV/0!</v>
      </c>
      <c r="G15" s="3026"/>
      <c r="H15" s="3026"/>
      <c r="I15" s="3025"/>
    </row>
    <row r="16" spans="1:9" ht="16.5">
      <c r="A16" s="3019" t="s">
        <v>2835</v>
      </c>
      <c r="B16" s="3025"/>
      <c r="C16" s="3025"/>
      <c r="D16" s="3025"/>
      <c r="E16" s="3021" t="e">
        <f t="shared" si="2"/>
        <v>#DIV/0!</v>
      </c>
      <c r="F16" s="3021" t="e">
        <f t="shared" si="3"/>
        <v>#DIV/0!</v>
      </c>
      <c r="G16" s="3026"/>
      <c r="H16" s="3026"/>
      <c r="I16" s="3025"/>
    </row>
    <row r="17" spans="1:9" ht="16.5">
      <c r="A17" s="3019" t="s">
        <v>2836</v>
      </c>
      <c r="B17" s="3025"/>
      <c r="C17" s="3025"/>
      <c r="D17" s="3025"/>
      <c r="E17" s="3021" t="e">
        <f t="shared" si="2"/>
        <v>#DIV/0!</v>
      </c>
      <c r="F17" s="3021" t="e">
        <f t="shared" si="3"/>
        <v>#DIV/0!</v>
      </c>
      <c r="G17" s="3026"/>
      <c r="H17" s="3026"/>
      <c r="I17" s="3025"/>
    </row>
    <row r="18" spans="1:9" ht="16.5">
      <c r="A18" s="3019" t="s">
        <v>2837</v>
      </c>
      <c r="B18" s="3025"/>
      <c r="C18" s="3025"/>
      <c r="D18" s="3025"/>
      <c r="E18" s="3021" t="e">
        <f t="shared" si="2"/>
        <v>#DIV/0!</v>
      </c>
      <c r="F18" s="3021" t="e">
        <f t="shared" si="3"/>
        <v>#DIV/0!</v>
      </c>
      <c r="G18" s="3025"/>
      <c r="H18" s="3025"/>
      <c r="I18" s="3025"/>
    </row>
    <row r="19" spans="1:9" ht="16.5">
      <c r="A19" s="3019" t="s">
        <v>2838</v>
      </c>
      <c r="B19" s="3025"/>
      <c r="C19" s="3025"/>
      <c r="D19" s="3025"/>
      <c r="E19" s="3021" t="e">
        <f t="shared" si="2"/>
        <v>#DIV/0!</v>
      </c>
      <c r="F19" s="3021" t="e">
        <f t="shared" si="3"/>
        <v>#DIV/0!</v>
      </c>
      <c r="G19" s="3025"/>
      <c r="H19" s="3025"/>
      <c r="I19" s="3025"/>
    </row>
    <row r="20" spans="1:9" ht="16.5">
      <c r="A20" s="3019" t="s">
        <v>2839</v>
      </c>
      <c r="B20" s="3025"/>
      <c r="C20" s="3025"/>
      <c r="D20" s="3025"/>
      <c r="E20" s="3021" t="e">
        <f t="shared" si="2"/>
        <v>#DIV/0!</v>
      </c>
      <c r="F20" s="3021" t="e">
        <f t="shared" si="3"/>
        <v>#DIV/0!</v>
      </c>
      <c r="G20" s="3025"/>
      <c r="H20" s="3025"/>
      <c r="I20" s="3025"/>
    </row>
    <row r="21" spans="1:9" ht="16.5">
      <c r="A21" s="3019" t="s">
        <v>2840</v>
      </c>
      <c r="B21" s="3025"/>
      <c r="C21" s="3025"/>
      <c r="D21" s="3025"/>
      <c r="E21" s="3021" t="e">
        <f t="shared" si="2"/>
        <v>#DIV/0!</v>
      </c>
      <c r="F21" s="3021" t="e">
        <f t="shared" si="3"/>
        <v>#DIV/0!</v>
      </c>
      <c r="G21" s="3025"/>
      <c r="H21" s="3025"/>
      <c r="I21" s="3025"/>
    </row>
    <row r="22" spans="1:9" ht="16.5">
      <c r="A22" s="3019" t="s">
        <v>2841</v>
      </c>
      <c r="B22" s="3025"/>
      <c r="C22" s="3025"/>
      <c r="D22" s="3025"/>
      <c r="E22" s="3021" t="e">
        <f t="shared" si="2"/>
        <v>#DIV/0!</v>
      </c>
      <c r="F22" s="3021" t="e">
        <f t="shared" si="3"/>
        <v>#DIV/0!</v>
      </c>
      <c r="G22" s="3025"/>
      <c r="H22" s="3025"/>
      <c r="I22" s="3025"/>
    </row>
    <row r="23" spans="1:9" ht="16.5">
      <c r="A23" s="3019" t="s">
        <v>2842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94" zoomScaleNormal="100" zoomScaleSheetLayoutView="100" zoomScalePageLayoutView="80" workbookViewId="0">
      <selection activeCell="H121" sqref="H121"/>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84" t="str">
        <f>项目基本情况!B1</f>
        <v>北京市预评估</v>
      </c>
      <c r="B2" s="3384"/>
      <c r="C2" s="3384"/>
      <c r="D2" s="3384"/>
      <c r="E2" s="3384"/>
      <c r="F2" s="3384"/>
      <c r="G2" s="3384"/>
      <c r="H2" s="3384"/>
      <c r="I2" s="3384"/>
    </row>
    <row r="3" spans="1:12" ht="12">
      <c r="A3" s="3392" t="s">
        <v>8</v>
      </c>
      <c r="B3" s="3393"/>
      <c r="C3" s="3393"/>
      <c r="D3" s="3393"/>
      <c r="E3" s="3393"/>
      <c r="F3" s="3393"/>
      <c r="G3" s="3393"/>
      <c r="H3" s="3393"/>
      <c r="I3" s="3393"/>
    </row>
    <row r="4" spans="1:12" ht="13.5">
      <c r="A4" s="237" t="s">
        <v>9</v>
      </c>
      <c r="B4" s="1808" t="s">
        <v>10</v>
      </c>
      <c r="C4" s="238" t="s">
        <v>3349</v>
      </c>
      <c r="D4" s="238" t="s">
        <v>3350</v>
      </c>
      <c r="E4" s="3397" t="s">
        <v>674</v>
      </c>
      <c r="F4" s="3398"/>
      <c r="G4" s="3398"/>
      <c r="H4" s="3398"/>
      <c r="I4" s="3399"/>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85" t="s">
        <v>11</v>
      </c>
      <c r="B5" s="3386">
        <v>25</v>
      </c>
      <c r="C5" s="3394"/>
      <c r="D5" s="3391"/>
      <c r="E5" s="272" t="s">
        <v>717</v>
      </c>
      <c r="F5" s="239"/>
      <c r="G5" s="239"/>
      <c r="H5" s="239"/>
      <c r="I5" s="240"/>
    </row>
    <row r="6" spans="1:12" ht="12.75">
      <c r="A6" s="3385"/>
      <c r="B6" s="3386"/>
      <c r="C6" s="3395"/>
      <c r="D6" s="3391"/>
      <c r="E6" s="272" t="s">
        <v>718</v>
      </c>
      <c r="F6" s="239"/>
      <c r="G6" s="239"/>
      <c r="H6" s="239"/>
      <c r="I6" s="240"/>
    </row>
    <row r="7" spans="1:12" ht="12.75">
      <c r="A7" s="3385"/>
      <c r="B7" s="3386"/>
      <c r="C7" s="3396"/>
      <c r="D7" s="3391"/>
      <c r="E7" s="272" t="s">
        <v>719</v>
      </c>
      <c r="F7" s="239"/>
      <c r="G7" s="239"/>
      <c r="H7" s="239"/>
      <c r="I7" s="240"/>
    </row>
    <row r="8" spans="1:12" ht="12.75">
      <c r="A8" s="3385" t="s">
        <v>12</v>
      </c>
      <c r="B8" s="3386">
        <v>15</v>
      </c>
      <c r="C8" s="3394"/>
      <c r="D8" s="3391"/>
      <c r="E8" s="272" t="s">
        <v>720</v>
      </c>
      <c r="F8" s="239"/>
      <c r="G8" s="239"/>
      <c r="H8" s="239"/>
      <c r="I8" s="240"/>
    </row>
    <row r="9" spans="1:12" ht="12.75">
      <c r="A9" s="3385"/>
      <c r="B9" s="3386"/>
      <c r="C9" s="3396"/>
      <c r="D9" s="3391"/>
      <c r="E9" s="272" t="s">
        <v>721</v>
      </c>
      <c r="F9" s="239"/>
      <c r="G9" s="239"/>
      <c r="H9" s="239"/>
      <c r="I9" s="240"/>
    </row>
    <row r="10" spans="1:12" ht="12.75">
      <c r="A10" s="3385" t="s">
        <v>13</v>
      </c>
      <c r="B10" s="3386">
        <v>15</v>
      </c>
      <c r="C10" s="3394"/>
      <c r="D10" s="3391"/>
      <c r="E10" s="272" t="s">
        <v>722</v>
      </c>
      <c r="F10" s="239"/>
      <c r="G10" s="239"/>
      <c r="H10" s="239"/>
      <c r="I10" s="240"/>
    </row>
    <row r="11" spans="1:12" ht="12.75">
      <c r="A11" s="3385"/>
      <c r="B11" s="3386"/>
      <c r="C11" s="3396"/>
      <c r="D11" s="3391"/>
      <c r="E11" s="272" t="s">
        <v>723</v>
      </c>
      <c r="F11" s="239"/>
      <c r="G11" s="239"/>
      <c r="H11" s="239"/>
      <c r="I11" s="240"/>
    </row>
    <row r="12" spans="1:12" ht="12.75">
      <c r="A12" s="3385" t="s">
        <v>14</v>
      </c>
      <c r="B12" s="3386">
        <v>15</v>
      </c>
      <c r="C12" s="3394"/>
      <c r="D12" s="3391"/>
      <c r="E12" s="272" t="s">
        <v>724</v>
      </c>
      <c r="F12" s="239"/>
      <c r="G12" s="239"/>
      <c r="H12" s="239"/>
      <c r="I12" s="240"/>
    </row>
    <row r="13" spans="1:12" ht="12.75">
      <c r="A13" s="3385"/>
      <c r="B13" s="3386"/>
      <c r="C13" s="3396"/>
      <c r="D13" s="3391"/>
      <c r="E13" s="272" t="s">
        <v>725</v>
      </c>
      <c r="F13" s="239"/>
      <c r="G13" s="239"/>
      <c r="H13" s="239"/>
      <c r="I13" s="240"/>
    </row>
    <row r="14" spans="1:12" ht="12.75">
      <c r="A14" s="3385" t="s">
        <v>15</v>
      </c>
      <c r="B14" s="3386">
        <v>30</v>
      </c>
      <c r="C14" s="3394">
        <v>5</v>
      </c>
      <c r="D14" s="3391">
        <v>5</v>
      </c>
      <c r="E14" s="272" t="s">
        <v>726</v>
      </c>
      <c r="F14" s="239"/>
      <c r="G14" s="239"/>
      <c r="H14" s="239"/>
      <c r="I14" s="240"/>
    </row>
    <row r="15" spans="1:12" ht="12.75">
      <c r="A15" s="3385"/>
      <c r="B15" s="3386"/>
      <c r="C15" s="3395"/>
      <c r="D15" s="3391"/>
      <c r="E15" s="272" t="s">
        <v>727</v>
      </c>
      <c r="F15" s="239"/>
      <c r="G15" s="239"/>
      <c r="H15" s="239"/>
      <c r="I15" s="240"/>
    </row>
    <row r="16" spans="1:12" ht="12.75">
      <c r="A16" s="3385"/>
      <c r="B16" s="3386"/>
      <c r="C16" s="3396"/>
      <c r="D16" s="3391"/>
      <c r="E16" s="272" t="s">
        <v>728</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19262144</v>
      </c>
      <c r="D19" s="276">
        <f ca="1">SUMIF(INDIRECT("'"&amp;D4&amp;"'"&amp;"!A:A"),结果表!B19,INDIRECT("'"&amp;D4&amp;"'"&amp;"!B:B"))</f>
        <v>16173536</v>
      </c>
      <c r="E19" s="243" t="s">
        <v>186</v>
      </c>
      <c r="F19" s="244" t="s">
        <v>18</v>
      </c>
      <c r="G19" s="277">
        <f ca="1">ROUND(C19*$C$18+D19*$D$18,0)</f>
        <v>17717840</v>
      </c>
      <c r="H19" s="2017" t="str">
        <f>'数据-取费表'!B3</f>
        <v>元</v>
      </c>
      <c r="I19" s="1059"/>
    </row>
    <row r="20" spans="1:35" ht="14.25">
      <c r="A20" s="245"/>
      <c r="B20" s="246" t="s">
        <v>19</v>
      </c>
      <c r="C20" s="278">
        <f ca="1">SUMIF(INDIRECT("'"&amp;C4&amp;"'"&amp;"!A:A"),结果表!B20,INDIRECT("'"&amp;C4&amp;"'"&amp;"!B:B"))</f>
        <v>55175</v>
      </c>
      <c r="D20" s="279">
        <f ca="1">SUMIF(INDIRECT("'"&amp;D4&amp;"'"&amp;"!A:A"),结果表!B20,INDIRECT("'"&amp;D4&amp;"'"&amp;"!B:B"))</f>
        <v>46328</v>
      </c>
      <c r="E20" s="245"/>
      <c r="F20" s="246" t="s">
        <v>19</v>
      </c>
      <c r="G20" s="280">
        <f ca="1">ROUND(C20*$C$18+D20*$D$18,0)</f>
        <v>50752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0.19096677436523457</v>
      </c>
      <c r="E22" s="1059"/>
      <c r="F22" s="1059"/>
      <c r="G22" s="1059"/>
      <c r="H22" s="1059"/>
      <c r="I22" s="1059"/>
    </row>
    <row r="23" spans="1:35" ht="12.75" thickBot="1">
      <c r="A23" s="1059"/>
      <c r="B23" s="1059"/>
      <c r="C23" s="1059"/>
      <c r="D23" s="1059"/>
      <c r="E23" s="1059"/>
      <c r="F23" s="1059"/>
      <c r="G23" s="1059"/>
      <c r="H23" s="1059"/>
      <c r="I23" s="1059"/>
    </row>
    <row r="24" spans="1:35" ht="21.75" customHeight="1">
      <c r="A24" s="3400" t="s">
        <v>184</v>
      </c>
      <c r="B24" s="244" t="s">
        <v>18</v>
      </c>
      <c r="C24" s="277">
        <f>D30</f>
        <v>0</v>
      </c>
      <c r="D24" s="251"/>
      <c r="E24" s="1059"/>
      <c r="F24" s="1059"/>
      <c r="G24" s="1059"/>
      <c r="H24" s="1059"/>
      <c r="I24" s="1059"/>
    </row>
    <row r="25" spans="1:35" ht="21.75" customHeight="1">
      <c r="A25" s="3401"/>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50752</v>
      </c>
      <c r="D32" s="1059" t="str">
        <f>IF(B32="楼面单价","元/平方米",H19)</f>
        <v>元/平方米</v>
      </c>
      <c r="E32" s="1059"/>
      <c r="F32" s="1059"/>
      <c r="G32" s="1059"/>
      <c r="H32" s="1059"/>
      <c r="I32" s="1059"/>
    </row>
    <row r="33" spans="1:16" ht="13.5">
      <c r="A33" s="1971" t="s">
        <v>675</v>
      </c>
      <c r="B33" s="1972"/>
      <c r="C33" s="1973"/>
      <c r="D33" s="1888"/>
      <c r="E33" s="1886" t="s">
        <v>2004</v>
      </c>
      <c r="F33" s="1883" t="str">
        <f>IF(B32="楼面单价","取值（单价）","取值（总价）")</f>
        <v>取值（单价）</v>
      </c>
      <c r="G33" s="1059"/>
      <c r="H33" s="1059"/>
      <c r="I33" s="1059"/>
    </row>
    <row r="34" spans="1:16" ht="15">
      <c r="A34" s="259"/>
      <c r="B34" s="260" t="s">
        <v>678</v>
      </c>
      <c r="C34" s="289">
        <f ca="1">IF(D33="自定义",F34,C32-C35)</f>
        <v>50752</v>
      </c>
      <c r="D34" s="1887">
        <f ca="1">IF(D33="自定义",ROUND(C34/C32,3),1-D35)</f>
        <v>1</v>
      </c>
      <c r="E34" s="1884" t="s">
        <v>2005</v>
      </c>
      <c r="F34" s="3013">
        <v>2000</v>
      </c>
      <c r="G34" s="1059"/>
      <c r="H34" s="1059"/>
      <c r="I34" s="1059"/>
    </row>
    <row r="35" spans="1:16" ht="15.75" thickBot="1">
      <c r="A35" s="262"/>
      <c r="B35" s="263" t="s">
        <v>680</v>
      </c>
      <c r="C35" s="290">
        <f ca="1">IF(D33="自定义",F35,ROUND(C32*D35,0))</f>
        <v>0</v>
      </c>
      <c r="D35" s="1882">
        <f ca="1">IF(D33="自定义",ROUND(C35/C32,3),IF(D33="成本法成本比率",成本法!C56,IF(D33="收益法收益比率",收益法!J38,收益法!J41)))</f>
        <v>0</v>
      </c>
      <c r="E35" s="1885" t="s">
        <v>2006</v>
      </c>
      <c r="F35" s="296">
        <v>4460</v>
      </c>
      <c r="G35" s="1059"/>
      <c r="H35" s="1059"/>
      <c r="I35" s="1059"/>
    </row>
    <row r="36" spans="1:16" ht="15.75" thickBot="1">
      <c r="A36" s="3407" t="s">
        <v>676</v>
      </c>
      <c r="B36" s="258" t="s">
        <v>677</v>
      </c>
      <c r="C36" s="286">
        <v>0</v>
      </c>
      <c r="D36" s="1889"/>
      <c r="E36" s="1793"/>
      <c r="F36" s="1793"/>
      <c r="G36" s="1059"/>
      <c r="H36" s="1059"/>
      <c r="I36" s="1059"/>
    </row>
    <row r="37" spans="1:16" ht="15.75" thickBot="1">
      <c r="A37" s="3408"/>
      <c r="B37" s="5" t="s">
        <v>679</v>
      </c>
      <c r="C37" s="288">
        <v>0</v>
      </c>
      <c r="D37" s="8"/>
      <c r="E37" s="8"/>
      <c r="F37" s="1793"/>
      <c r="G37" s="8"/>
      <c r="H37" s="8"/>
      <c r="I37" s="8"/>
    </row>
    <row r="38" spans="1:16" ht="15.75" thickBot="1">
      <c r="A38" s="3409"/>
      <c r="B38" s="261" t="s">
        <v>681</v>
      </c>
      <c r="C38" s="1001">
        <v>0</v>
      </c>
      <c r="D38" s="1062" t="s">
        <v>682</v>
      </c>
      <c r="E38" s="8"/>
      <c r="F38" s="1793"/>
      <c r="G38" s="8"/>
      <c r="H38" s="8"/>
      <c r="I38" s="8"/>
    </row>
    <row r="39" spans="1:16" ht="13.5">
      <c r="A39" s="245" t="s">
        <v>683</v>
      </c>
      <c r="B39" s="264" t="s">
        <v>684</v>
      </c>
      <c r="C39" s="265" t="s">
        <v>685</v>
      </c>
      <c r="D39" s="265" t="s">
        <v>686</v>
      </c>
      <c r="E39" s="266" t="s">
        <v>687</v>
      </c>
      <c r="F39" s="1793"/>
      <c r="G39" s="8"/>
      <c r="H39" s="8"/>
      <c r="I39" s="8"/>
    </row>
    <row r="40" spans="1:16" ht="13.5">
      <c r="A40" s="1063" t="s">
        <v>688</v>
      </c>
      <c r="B40" s="291"/>
      <c r="C40" s="292"/>
      <c r="D40" s="292"/>
      <c r="E40" s="293"/>
      <c r="F40" s="1793"/>
      <c r="G40" s="8"/>
      <c r="H40" s="8"/>
      <c r="I40" s="8"/>
    </row>
    <row r="41" spans="1:16" ht="13.5">
      <c r="A41" s="1063" t="s">
        <v>689</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413" t="s">
        <v>709</v>
      </c>
      <c r="B45" s="3414"/>
      <c r="C45" s="3415"/>
      <c r="D45" s="297">
        <f ca="1">ROUND(I102*F45,0)</f>
        <v>17718031</v>
      </c>
      <c r="E45" s="298" t="s">
        <v>710</v>
      </c>
      <c r="F45" s="299">
        <v>1</v>
      </c>
      <c r="G45" s="300" t="s">
        <v>711</v>
      </c>
      <c r="H45" s="1059"/>
      <c r="I45" s="1059"/>
      <c r="J45" s="3317" t="s">
        <v>216</v>
      </c>
      <c r="K45" s="3317"/>
      <c r="L45" s="3317"/>
      <c r="M45" s="3317"/>
      <c r="N45" s="3317"/>
      <c r="O45" s="3317"/>
      <c r="P45" s="1226"/>
    </row>
    <row r="46" spans="1:16" ht="14.25" customHeight="1">
      <c r="A46" s="3402" t="s">
        <v>300</v>
      </c>
      <c r="B46" s="3403"/>
      <c r="C46" s="3403"/>
      <c r="D46" s="3403"/>
      <c r="E46" s="3403"/>
      <c r="F46" s="3403"/>
      <c r="G46" s="3404"/>
      <c r="H46" s="1071"/>
      <c r="I46" s="1025"/>
      <c r="J46" s="3030">
        <v>1</v>
      </c>
      <c r="K46" s="3317" t="s">
        <v>217</v>
      </c>
      <c r="L46" s="3317"/>
      <c r="M46" s="3318" t="str">
        <f>项目基本情况!B1</f>
        <v>北京市预评估</v>
      </c>
      <c r="N46" s="3318"/>
      <c r="O46" s="3318"/>
      <c r="P46" s="1226"/>
    </row>
    <row r="47" spans="1:16" ht="12" customHeight="1">
      <c r="A47" s="302" t="s">
        <v>301</v>
      </c>
      <c r="B47" s="303"/>
      <c r="C47" s="304"/>
      <c r="D47" s="305" t="s">
        <v>302</v>
      </c>
      <c r="E47" s="197" t="s">
        <v>303</v>
      </c>
      <c r="F47" s="306" t="s">
        <v>712</v>
      </c>
      <c r="G47" s="307" t="s">
        <v>713</v>
      </c>
      <c r="H47" s="1071"/>
      <c r="I47" s="1025"/>
      <c r="J47" s="3030">
        <v>2</v>
      </c>
      <c r="K47" s="3317" t="s">
        <v>218</v>
      </c>
      <c r="L47" s="3317"/>
      <c r="M47" s="3319">
        <f>'数据-取费表'!B2</f>
        <v>39996</v>
      </c>
      <c r="N47" s="3319"/>
      <c r="O47" s="3319"/>
      <c r="P47" s="1226"/>
    </row>
    <row r="48" spans="1:16" ht="25.5">
      <c r="A48" s="3410" t="s">
        <v>304</v>
      </c>
      <c r="B48" s="3411"/>
      <c r="C48" s="3411"/>
      <c r="D48" s="272">
        <f ca="1">IF(H48="情况1",0,IF(H48="情况2",D52,IF(H48="情况3",D53,IF(H48="情况4",D54))))</f>
        <v>992210</v>
      </c>
      <c r="E48" s="1805" t="str">
        <f>IF(H48="情况4","(销售额-原购置价)×税（费）率","销售额×税（费）率")</f>
        <v>销售额×税（费）率</v>
      </c>
      <c r="F48" s="308">
        <f>IF(H48="情况1","免征",'数据-取费表'!E29)</f>
        <v>5.6000000000000001E-2</v>
      </c>
      <c r="G48" s="267" t="s">
        <v>691</v>
      </c>
      <c r="H48" s="1220" t="s">
        <v>1045</v>
      </c>
      <c r="I48" s="1071"/>
      <c r="J48" s="3030">
        <v>3</v>
      </c>
      <c r="K48" s="3317" t="s">
        <v>692</v>
      </c>
      <c r="L48" s="3317"/>
      <c r="M48" s="3320">
        <f ca="1">I102</f>
        <v>17718031</v>
      </c>
      <c r="N48" s="3320"/>
      <c r="O48" s="3320"/>
      <c r="P48" s="1226"/>
    </row>
    <row r="49" spans="1:16" ht="25.5" customHeight="1">
      <c r="A49" s="309" t="s">
        <v>714</v>
      </c>
      <c r="B49" s="3388" t="s">
        <v>715</v>
      </c>
      <c r="C49" s="3388"/>
      <c r="D49" s="310">
        <v>0</v>
      </c>
      <c r="E49" s="196" t="s">
        <v>716</v>
      </c>
      <c r="F49" s="201" t="s">
        <v>178</v>
      </c>
      <c r="G49" s="3308"/>
      <c r="H49" s="1059"/>
      <c r="I49" s="1072"/>
      <c r="J49" s="3030">
        <v>4</v>
      </c>
      <c r="K49" s="3317" t="str">
        <f>IF(项目基本情况!F5="房地产抵押价值","房地产抵押价值","抵押担保权已注销时的房地产抵押价值")</f>
        <v>抵押担保权已注销时的房地产抵押价值</v>
      </c>
      <c r="L49" s="3317"/>
      <c r="M49" s="3320" t="str">
        <f>IF(项目基本情况!E8="房地产抵押价值",I110,I112)</f>
        <v>——</v>
      </c>
      <c r="N49" s="3320"/>
      <c r="O49" s="3320"/>
      <c r="P49" s="1226"/>
    </row>
    <row r="50" spans="1:16" ht="25.5" customHeight="1">
      <c r="A50" s="311"/>
      <c r="B50" s="3388" t="s">
        <v>307</v>
      </c>
      <c r="C50" s="3388"/>
      <c r="D50" s="312"/>
      <c r="E50" s="204"/>
      <c r="F50" s="313"/>
      <c r="G50" s="3309"/>
      <c r="H50" s="1059"/>
      <c r="I50" s="1072"/>
      <c r="J50" s="3317" t="s">
        <v>219</v>
      </c>
      <c r="K50" s="3317"/>
      <c r="L50" s="3317"/>
      <c r="M50" s="3317"/>
      <c r="N50" s="3317"/>
      <c r="O50" s="3317"/>
      <c r="P50" s="1226"/>
    </row>
    <row r="51" spans="1:16" ht="12" customHeight="1">
      <c r="A51" s="314"/>
      <c r="B51" s="3388" t="s">
        <v>308</v>
      </c>
      <c r="C51" s="3388"/>
      <c r="D51" s="315"/>
      <c r="E51" s="203"/>
      <c r="F51" s="313"/>
      <c r="G51" s="3310"/>
      <c r="H51" s="1059"/>
      <c r="I51" s="1072"/>
      <c r="J51" s="3028" t="s">
        <v>220</v>
      </c>
      <c r="K51" s="3317" t="s">
        <v>221</v>
      </c>
      <c r="L51" s="3317"/>
      <c r="M51" s="3028" t="s">
        <v>222</v>
      </c>
      <c r="N51" s="3028" t="s">
        <v>223</v>
      </c>
      <c r="O51" s="3028" t="s">
        <v>224</v>
      </c>
      <c r="P51" s="1226"/>
    </row>
    <row r="52" spans="1:16" ht="24" customHeight="1">
      <c r="A52" s="316" t="s">
        <v>309</v>
      </c>
      <c r="B52" s="3388" t="s">
        <v>310</v>
      </c>
      <c r="C52" s="3388"/>
      <c r="D52" s="315">
        <f ca="1">ROUND(D45*'数据-取费表'!E29/(1+'数据-取费表'!F30),0)</f>
        <v>992210</v>
      </c>
      <c r="E52" s="193" t="s">
        <v>311</v>
      </c>
      <c r="F52" s="317">
        <f>'数据-取费表'!E29</f>
        <v>5.6000000000000001E-2</v>
      </c>
      <c r="G52" s="268"/>
      <c r="H52" s="1059"/>
      <c r="I52" s="1072"/>
      <c r="J52" s="3030">
        <v>1</v>
      </c>
      <c r="K52" s="3307" t="s">
        <v>693</v>
      </c>
      <c r="L52" s="3307"/>
      <c r="M52" s="1229">
        <f ca="1">D48</f>
        <v>992210</v>
      </c>
      <c r="N52" s="3029" t="str">
        <f>E48</f>
        <v>销售额×税（费）率</v>
      </c>
      <c r="O52" s="1230">
        <f>F48</f>
        <v>5.6000000000000001E-2</v>
      </c>
      <c r="P52" s="1226"/>
    </row>
    <row r="53" spans="1:16" ht="12" customHeight="1">
      <c r="A53" s="316" t="s">
        <v>312</v>
      </c>
      <c r="B53" s="3387" t="s">
        <v>313</v>
      </c>
      <c r="C53" s="3390"/>
      <c r="D53" s="315">
        <f ca="1">ROUND(D45*'数据-取费表'!E29/(1+'数据-取费表'!F30),0)</f>
        <v>992210</v>
      </c>
      <c r="E53" s="193" t="s">
        <v>311</v>
      </c>
      <c r="F53" s="317">
        <f>'数据-取费表'!E29</f>
        <v>5.6000000000000001E-2</v>
      </c>
      <c r="G53" s="268"/>
      <c r="H53" s="1059"/>
      <c r="I53" s="1072"/>
      <c r="J53" s="3030">
        <v>2</v>
      </c>
      <c r="K53" s="3307" t="s">
        <v>694</v>
      </c>
      <c r="L53" s="3307"/>
      <c r="M53" s="1229">
        <f t="shared" ref="M53:O54" ca="1" si="1">D55</f>
        <v>8859</v>
      </c>
      <c r="N53" s="3029" t="str">
        <f t="shared" si="1"/>
        <v>销售额×税（费）率</v>
      </c>
      <c r="O53" s="1230">
        <f t="shared" si="1"/>
        <v>5.0000000000000001E-4</v>
      </c>
      <c r="P53" s="1226"/>
    </row>
    <row r="54" spans="1:16" ht="12" customHeight="1">
      <c r="A54" s="316" t="s">
        <v>314</v>
      </c>
      <c r="B54" s="3387" t="s">
        <v>315</v>
      </c>
      <c r="C54" s="3390"/>
      <c r="D54" s="315">
        <f ca="1">C68</f>
        <v>992210</v>
      </c>
      <c r="E54" s="203" t="s">
        <v>316</v>
      </c>
      <c r="F54" s="317">
        <f>'数据-取费表'!E29</f>
        <v>5.6000000000000001E-2</v>
      </c>
      <c r="G54" s="268"/>
      <c r="H54" s="1073"/>
      <c r="I54" s="1072"/>
      <c r="J54" s="3030">
        <v>3</v>
      </c>
      <c r="K54" s="3307" t="s">
        <v>695</v>
      </c>
      <c r="L54" s="3307"/>
      <c r="M54" s="1229">
        <f t="shared" ca="1" si="1"/>
        <v>10529826</v>
      </c>
      <c r="N54" s="3029" t="str">
        <f t="shared" si="1"/>
        <v>增值额×税（费）率</v>
      </c>
      <c r="O54" s="1231" t="str">
        <f t="shared" si="1"/>
        <v>——</v>
      </c>
      <c r="P54" s="1226"/>
    </row>
    <row r="55" spans="1:16" ht="24" customHeight="1">
      <c r="A55" s="3416" t="s">
        <v>317</v>
      </c>
      <c r="B55" s="3411"/>
      <c r="C55" s="3411"/>
      <c r="D55" s="318">
        <f ca="1">IF(H55="个人住宅",0,ROUND(D45*I55,0))</f>
        <v>8859</v>
      </c>
      <c r="E55" s="193" t="s">
        <v>318</v>
      </c>
      <c r="F55" s="317">
        <f>IF(H55="正常",I55,"免征")</f>
        <v>5.0000000000000001E-4</v>
      </c>
      <c r="G55" s="268"/>
      <c r="H55" s="1220" t="s">
        <v>157</v>
      </c>
      <c r="I55" s="319">
        <f>'数据-取费表'!E37</f>
        <v>5.0000000000000001E-4</v>
      </c>
      <c r="J55" s="3030">
        <f>IF(H59="非个人房产","",4)</f>
        <v>4</v>
      </c>
      <c r="K55" s="3307" t="str">
        <f>IF(H59="非个人房产","——","个人所得税")</f>
        <v>个人所得税</v>
      </c>
      <c r="L55" s="3307"/>
      <c r="M55" s="1232">
        <f ca="1">D59</f>
        <v>177180</v>
      </c>
      <c r="N55" s="1233" t="str">
        <f>E59</f>
        <v>销售额×税（费）率</v>
      </c>
      <c r="O55" s="1234">
        <f>F59</f>
        <v>0.01</v>
      </c>
      <c r="P55" s="1226"/>
    </row>
    <row r="56" spans="1:16" ht="24.75">
      <c r="A56" s="3416" t="s">
        <v>319</v>
      </c>
      <c r="B56" s="3411"/>
      <c r="C56" s="3411"/>
      <c r="D56" s="318">
        <f ca="1">IF(H56="个人住宅",D57,D58)</f>
        <v>10529826</v>
      </c>
      <c r="E56" s="193" t="s">
        <v>320</v>
      </c>
      <c r="F56" s="317" t="str">
        <f>IF(H56="正常",F58,"免征")</f>
        <v>——</v>
      </c>
      <c r="G56" s="1074" t="s">
        <v>696</v>
      </c>
      <c r="H56" s="1219" t="s">
        <v>157</v>
      </c>
      <c r="I56" s="167"/>
      <c r="J56" s="3030" t="str">
        <f>IF(项目基本情况!I6="上海银行",IF(J55="",4,J55+1),"")</f>
        <v/>
      </c>
      <c r="K56" s="3326" t="str">
        <f>IF(项目基本情况!I6="上海银行","其他处置费用","")</f>
        <v/>
      </c>
      <c r="L56" s="3327"/>
      <c r="M56" s="1229" t="str">
        <f>IF(项目基本情况!I6="上海银行",M69,"")</f>
        <v/>
      </c>
      <c r="N56" s="3305" t="str">
        <f>IF(项目基本情况!I6="上海银行","包含处置中涉及的律师、诉讼、拍卖、评估等费用","")</f>
        <v/>
      </c>
      <c r="O56" s="3306"/>
      <c r="P56" s="1226"/>
    </row>
    <row r="57" spans="1:16" ht="12.75">
      <c r="A57" s="316" t="s">
        <v>305</v>
      </c>
      <c r="B57" s="3405" t="s">
        <v>321</v>
      </c>
      <c r="C57" s="3412"/>
      <c r="D57" s="320">
        <v>0</v>
      </c>
      <c r="E57" s="196" t="s">
        <v>306</v>
      </c>
      <c r="F57" s="287"/>
      <c r="G57" s="268"/>
      <c r="H57" s="167"/>
      <c r="I57" s="167"/>
      <c r="J57" s="3325">
        <f>IF(AND(J55="",J56=""),4,IF(项目基本情况!I6="上海银行",J56+1,J55+1))</f>
        <v>5</v>
      </c>
      <c r="K57" s="3307" t="s">
        <v>697</v>
      </c>
      <c r="L57" s="1235" t="s">
        <v>225</v>
      </c>
      <c r="M57" s="1236"/>
      <c r="N57" s="1237">
        <f ca="1">SUMIF(M52:M56,"&lt;9e307")</f>
        <v>11708075</v>
      </c>
      <c r="O57" s="1238"/>
      <c r="P57" s="3031" t="e">
        <f ca="1">N57/M49</f>
        <v>#VALUE!</v>
      </c>
    </row>
    <row r="58" spans="1:16" ht="24.75">
      <c r="A58" s="316" t="s">
        <v>309</v>
      </c>
      <c r="B58" s="3405" t="s">
        <v>322</v>
      </c>
      <c r="C58" s="3406"/>
      <c r="D58" s="318">
        <f ca="1">IF(H58="转让取得",C81,C97)</f>
        <v>10529826</v>
      </c>
      <c r="E58" s="193" t="s">
        <v>320</v>
      </c>
      <c r="F58" s="197" t="s">
        <v>178</v>
      </c>
      <c r="G58" s="268"/>
      <c r="H58" s="1219" t="s">
        <v>1044</v>
      </c>
      <c r="I58" s="167"/>
      <c r="J58" s="3325"/>
      <c r="K58" s="3307"/>
      <c r="L58" s="1235" t="s">
        <v>226</v>
      </c>
      <c r="M58" s="1239"/>
      <c r="N58" s="1240" t="str">
        <f ca="1">IF(H19="元",NUMBERSTRING(INT(N57),2)&amp;"元整",NUMBERSTRING(INT(N57*10000),2)&amp;"元整")</f>
        <v>壹仟壹佰柒拾万捌仟零柒拾伍元整</v>
      </c>
      <c r="O58" s="1241"/>
      <c r="P58" s="1226"/>
    </row>
    <row r="59" spans="1:16" ht="26.25" thickBot="1">
      <c r="A59" s="3417" t="s">
        <v>323</v>
      </c>
      <c r="B59" s="3418"/>
      <c r="C59" s="3418"/>
      <c r="D59" s="321">
        <f ca="1">IF(H59="非个人房产","——",IF(H59="个人住宅",0,ROUND(D45*I59,0)))</f>
        <v>177180</v>
      </c>
      <c r="E59" s="322" t="str">
        <f>IF(H59="非个人房产","——","销售额×税（费）率")</f>
        <v>销售额×税（费）率</v>
      </c>
      <c r="F59" s="323">
        <f>IF(H59="非个人房产","——",IF(H59="个人住宅","免征",I59))</f>
        <v>0.01</v>
      </c>
      <c r="G59" s="1075" t="s">
        <v>175</v>
      </c>
      <c r="H59" s="1219" t="s">
        <v>2855</v>
      </c>
      <c r="I59" s="324">
        <v>0.01</v>
      </c>
      <c r="J59" s="3364">
        <f>J57+1</f>
        <v>6</v>
      </c>
      <c r="K59" s="3307" t="s">
        <v>179</v>
      </c>
      <c r="L59" s="3029" t="s">
        <v>225</v>
      </c>
      <c r="M59" s="1242"/>
      <c r="N59" s="1243" t="e">
        <f ca="1">M49-N57</f>
        <v>#VALUE!</v>
      </c>
      <c r="O59" s="1244"/>
      <c r="P59" s="1226"/>
    </row>
    <row r="60" spans="1:16" ht="12" customHeight="1">
      <c r="A60" s="1714"/>
      <c r="B60" s="1059"/>
      <c r="C60" s="1059"/>
      <c r="D60" s="1059"/>
      <c r="E60" s="167"/>
      <c r="F60" s="167"/>
      <c r="G60" s="167"/>
      <c r="H60" s="168"/>
      <c r="I60" s="1059"/>
      <c r="J60" s="3365"/>
      <c r="K60" s="3307"/>
      <c r="L60" s="1235" t="s">
        <v>226</v>
      </c>
      <c r="M60" s="1239"/>
      <c r="N60" s="1240" t="e">
        <f ca="1">IF(H19="元",NUMBERSTRING(INT(N59),2)&amp;"元整",NUMBERSTRING(INT(N59*10000),2)&amp;"元整")</f>
        <v>#VALUE!</v>
      </c>
      <c r="O60" s="1241"/>
      <c r="P60" s="1226"/>
    </row>
    <row r="61" spans="1:16" ht="13.5" thickBot="1">
      <c r="A61" s="3419" t="s">
        <v>324</v>
      </c>
      <c r="B61" s="3419"/>
      <c r="C61" s="3419"/>
      <c r="D61" s="3419"/>
      <c r="E61" s="3419"/>
      <c r="F61" s="167"/>
      <c r="G61" s="167"/>
      <c r="H61" s="168"/>
      <c r="I61" s="1059"/>
      <c r="J61" s="3030">
        <f>J59+1</f>
        <v>7</v>
      </c>
      <c r="K61" s="3307" t="s">
        <v>227</v>
      </c>
      <c r="L61" s="3307"/>
      <c r="M61" s="1245"/>
      <c r="N61" s="1246" t="e">
        <f ca="1">IF(H19="元",ROUND(N59/项目基本情况!C12,0),ROUND(N59*10000/项目基本情况!C12,0))</f>
        <v>#VALUE!</v>
      </c>
      <c r="O61" s="1247"/>
      <c r="P61" s="1226"/>
    </row>
    <row r="62" spans="1:16" ht="12.75">
      <c r="A62" s="3348" t="s">
        <v>325</v>
      </c>
      <c r="B62" s="3349"/>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17718031</v>
      </c>
      <c r="D63" s="329"/>
      <c r="E63" s="330"/>
      <c r="F63" s="167"/>
      <c r="G63" s="167"/>
      <c r="H63" s="168"/>
      <c r="I63" s="1059"/>
      <c r="J63" s="3328" t="s">
        <v>2846</v>
      </c>
      <c r="K63" s="3035" t="s">
        <v>2847</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17718031</v>
      </c>
      <c r="D64" s="334" t="s">
        <v>169</v>
      </c>
      <c r="E64" s="335"/>
      <c r="F64" s="167"/>
      <c r="G64" s="167"/>
      <c r="H64" s="168"/>
      <c r="I64" s="1059"/>
      <c r="J64" s="3328"/>
      <c r="K64" s="3035" t="s">
        <v>2848</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2849</v>
      </c>
      <c r="O64" s="1226"/>
      <c r="P64" s="1226"/>
    </row>
    <row r="65" spans="1:35" ht="12.75">
      <c r="A65" s="331" t="s">
        <v>229</v>
      </c>
      <c r="B65" s="332" t="s">
        <v>328</v>
      </c>
      <c r="C65" s="336"/>
      <c r="D65" s="334"/>
      <c r="E65" s="335"/>
      <c r="F65" s="167"/>
      <c r="G65" s="167"/>
      <c r="H65" s="168"/>
      <c r="I65" s="1059"/>
      <c r="J65" s="3328"/>
      <c r="K65" s="3035" t="s">
        <v>2850</v>
      </c>
      <c r="L65" s="3036" t="e">
        <f>IF(M49&gt;1000,M49*0.1%,IF(AND(M49&gt;500,M49&lt;=1000),M49*0.5%,IF(AND(M49&gt;50,M49&lt;=500),M49*1%,IF(AND(M49&gt;1,M49&lt;=50),M49*1.5%))))</f>
        <v>#VALUE!</v>
      </c>
      <c r="M65" s="197" t="e">
        <f t="shared" si="2"/>
        <v>#VALUE!</v>
      </c>
      <c r="N65" s="3037" t="s">
        <v>2849</v>
      </c>
      <c r="O65" s="1226"/>
      <c r="P65" s="1226"/>
    </row>
    <row r="66" spans="1:35" ht="12.75">
      <c r="A66" s="337" t="s">
        <v>177</v>
      </c>
      <c r="B66" s="338" t="s">
        <v>329</v>
      </c>
      <c r="C66" s="339"/>
      <c r="D66" s="340" t="s">
        <v>169</v>
      </c>
      <c r="E66" s="3063" t="s">
        <v>2889</v>
      </c>
      <c r="F66" s="167"/>
      <c r="G66" s="167"/>
      <c r="H66" s="168"/>
      <c r="I66" s="1059"/>
      <c r="J66" s="3328"/>
      <c r="K66" s="3035" t="s">
        <v>2851</v>
      </c>
      <c r="L66" s="3036" t="e">
        <f>M49*0.5%</f>
        <v>#VALUE!</v>
      </c>
      <c r="M66" s="197" t="e">
        <f>IF(L66&gt;0.5,0.5,ROUND(L66,0))</f>
        <v>#VALUE!</v>
      </c>
      <c r="N66" s="3037" t="s">
        <v>2852</v>
      </c>
      <c r="O66" s="1226"/>
      <c r="P66" s="1226"/>
    </row>
    <row r="67" spans="1:35" ht="12.75">
      <c r="A67" s="337" t="s">
        <v>170</v>
      </c>
      <c r="B67" s="338" t="s">
        <v>330</v>
      </c>
      <c r="C67" s="341">
        <f ca="1">C63-C66</f>
        <v>17718031</v>
      </c>
      <c r="D67" s="334" t="s">
        <v>169</v>
      </c>
      <c r="E67" s="335"/>
      <c r="F67" s="167"/>
      <c r="G67" s="167"/>
      <c r="H67" s="168"/>
      <c r="I67" s="1059"/>
      <c r="J67" s="3328"/>
      <c r="K67" s="3035" t="s">
        <v>2853</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992210</v>
      </c>
      <c r="D68" s="345">
        <f>'数据-取费表'!E29</f>
        <v>5.6000000000000001E-2</v>
      </c>
      <c r="E68" s="346"/>
      <c r="F68" s="167"/>
      <c r="G68" s="167"/>
      <c r="H68" s="168"/>
      <c r="I68" s="1059"/>
      <c r="J68" s="3328"/>
      <c r="K68" s="3035" t="s">
        <v>2854</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328"/>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50" t="s">
        <v>332</v>
      </c>
      <c r="B70" s="3351"/>
      <c r="C70" s="3351"/>
      <c r="D70" s="3351"/>
      <c r="E70" s="3351"/>
      <c r="F70" s="3351"/>
      <c r="G70" s="3351"/>
      <c r="H70" s="3351"/>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348" t="s">
        <v>325</v>
      </c>
      <c r="B71" s="3349"/>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17718031</v>
      </c>
      <c r="D72" s="334" t="s">
        <v>169</v>
      </c>
      <c r="E72" s="2432" t="s">
        <v>2420</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106308</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1042</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87" t="s">
        <v>341</v>
      </c>
      <c r="F76" s="3388"/>
      <c r="G76" s="3388"/>
      <c r="H76" s="3389"/>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2418</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106308</v>
      </c>
      <c r="D78" s="362">
        <f>'数据-取费表'!E31</f>
        <v>6.000000000000001E-3</v>
      </c>
      <c r="E78" s="3338" t="s">
        <v>2419</v>
      </c>
      <c r="F78" s="3315"/>
      <c r="G78" s="3315"/>
      <c r="H78" s="3337"/>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17611723</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165.66695827219024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10529826</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350" t="s">
        <v>347</v>
      </c>
      <c r="B83" s="3351"/>
      <c r="C83" s="3351"/>
      <c r="D83" s="3351"/>
      <c r="E83" s="3351"/>
      <c r="F83" s="3351"/>
      <c r="G83" s="3351"/>
      <c r="H83" s="3351"/>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348" t="s">
        <v>325</v>
      </c>
      <c r="B84" s="3349"/>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17718031</v>
      </c>
      <c r="D85" s="334" t="s">
        <v>169</v>
      </c>
      <c r="E85" s="2431" t="s">
        <v>2417</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106308</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14" t="s">
        <v>708</v>
      </c>
      <c r="F91" s="3315"/>
      <c r="G91" s="3315"/>
      <c r="H91" s="1218" t="s">
        <v>2198</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14" t="s">
        <v>356</v>
      </c>
      <c r="F92" s="3315"/>
      <c r="G92" s="3315"/>
      <c r="H92" s="3337"/>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106308</v>
      </c>
      <c r="D93" s="362">
        <f>'数据-取费表'!E31</f>
        <v>6.000000000000001E-3</v>
      </c>
      <c r="E93" s="3338" t="s">
        <v>2419</v>
      </c>
      <c r="F93" s="3315"/>
      <c r="G93" s="3315"/>
      <c r="H93" s="333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14" t="s">
        <v>358</v>
      </c>
      <c r="F94" s="3315"/>
      <c r="G94" s="3315"/>
      <c r="H94" s="333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17611723</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165.66695827219024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10529826</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34" t="s">
        <v>241</v>
      </c>
      <c r="B99" s="3335"/>
      <c r="C99" s="3335"/>
      <c r="D99" s="3336"/>
      <c r="E99" s="1059"/>
      <c r="F99" s="3345" t="s">
        <v>2760</v>
      </c>
      <c r="G99" s="3346"/>
      <c r="H99" s="3346"/>
      <c r="I99" s="3347"/>
    </row>
    <row r="100" spans="1:35" ht="14.25">
      <c r="A100" s="3352" t="s">
        <v>212</v>
      </c>
      <c r="B100" s="3353"/>
      <c r="C100" s="1084" t="str">
        <f>C4</f>
        <v>比较法-住宅</v>
      </c>
      <c r="D100" s="1085" t="str">
        <f>D4</f>
        <v>成本法</v>
      </c>
      <c r="E100" s="1059"/>
      <c r="F100" s="3354" t="s">
        <v>1856</v>
      </c>
      <c r="G100" s="3356"/>
      <c r="H100" s="3354" t="s">
        <v>2003</v>
      </c>
      <c r="I100" s="3355"/>
    </row>
    <row r="101" spans="1:35" ht="15.75">
      <c r="A101" s="3374" t="s">
        <v>213</v>
      </c>
      <c r="B101" s="1677" t="str">
        <f>IF(H19="元","总价（元）","总价（万元）")</f>
        <v>总价（元）</v>
      </c>
      <c r="C101" s="1051">
        <f ca="1">C19</f>
        <v>19262144</v>
      </c>
      <c r="D101" s="1052">
        <f ca="1">D19</f>
        <v>16173536</v>
      </c>
      <c r="E101" s="1059"/>
      <c r="F101" s="3354" t="str">
        <f>项目基本情况!I1</f>
        <v>北京市房地产</v>
      </c>
      <c r="G101" s="3356"/>
      <c r="H101" s="3423">
        <f>项目基本情况!C12</f>
        <v>349.11</v>
      </c>
      <c r="I101" s="3424"/>
    </row>
    <row r="102" spans="1:35" ht="15.75">
      <c r="A102" s="3374"/>
      <c r="B102" s="1677" t="s">
        <v>1857</v>
      </c>
      <c r="C102" s="1053">
        <f ca="1">C20</f>
        <v>55175</v>
      </c>
      <c r="D102" s="1054">
        <f ca="1">D20</f>
        <v>46328</v>
      </c>
      <c r="E102" s="1059"/>
      <c r="F102" s="3440" t="s">
        <v>1862</v>
      </c>
      <c r="G102" s="3441"/>
      <c r="H102" s="1879" t="str">
        <f>C106</f>
        <v>总价（元）</v>
      </c>
      <c r="I102" s="3069">
        <f ca="1">H121</f>
        <v>17718031</v>
      </c>
    </row>
    <row r="103" spans="1:35" ht="15">
      <c r="A103" s="3374" t="s">
        <v>214</v>
      </c>
      <c r="B103" s="1678" t="str">
        <f>B101</f>
        <v>总价（元）</v>
      </c>
      <c r="C103" s="1055">
        <f ca="1">H121</f>
        <v>17718031</v>
      </c>
      <c r="D103" s="1056"/>
      <c r="E103" s="1059"/>
      <c r="F103" s="3440"/>
      <c r="G103" s="3441"/>
      <c r="H103" s="1879" t="s">
        <v>1854</v>
      </c>
      <c r="I103" s="1765">
        <f ca="1">I121</f>
        <v>50752</v>
      </c>
    </row>
    <row r="104" spans="1:35" ht="15.75" thickBot="1">
      <c r="A104" s="3375"/>
      <c r="B104" s="1679" t="s">
        <v>1855</v>
      </c>
      <c r="C104" s="1057">
        <f ca="1">I121</f>
        <v>50752</v>
      </c>
      <c r="D104" s="1058"/>
      <c r="E104" s="1059"/>
      <c r="F104" s="3341"/>
      <c r="G104" s="3342"/>
      <c r="H104" s="3376"/>
      <c r="I104" s="3377"/>
    </row>
    <row r="105" spans="1:35" ht="15.75">
      <c r="A105" s="3334" t="s">
        <v>2759</v>
      </c>
      <c r="B105" s="3335"/>
      <c r="C105" s="3335"/>
      <c r="D105" s="3336"/>
      <c r="E105" s="1059"/>
      <c r="F105" s="3380" t="s">
        <v>1958</v>
      </c>
      <c r="G105" s="3381"/>
      <c r="H105" s="1880" t="str">
        <f>C108</f>
        <v>总额（元）</v>
      </c>
      <c r="I105" s="3069">
        <f>SUMIF(I106:I108,"&lt;9E307")</f>
        <v>0</v>
      </c>
    </row>
    <row r="106" spans="1:35" ht="15">
      <c r="A106" s="3382" t="s">
        <v>2421</v>
      </c>
      <c r="B106" s="3383"/>
      <c r="C106" s="1879" t="str">
        <f>B101</f>
        <v>总价（元）</v>
      </c>
      <c r="D106" s="1766">
        <f ca="1">H121</f>
        <v>17718031</v>
      </c>
      <c r="E106" s="1059"/>
      <c r="F106" s="3343" t="s">
        <v>1859</v>
      </c>
      <c r="G106" s="3344"/>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82"/>
      <c r="B107" s="3383"/>
      <c r="C107" s="1879" t="s">
        <v>1962</v>
      </c>
      <c r="D107" s="1767">
        <f ca="1">I121</f>
        <v>50752</v>
      </c>
      <c r="E107" s="1059"/>
      <c r="F107" s="3343" t="s">
        <v>1860</v>
      </c>
      <c r="G107" s="3344"/>
      <c r="H107" s="1880" t="str">
        <f>C110</f>
        <v>总额（元）</v>
      </c>
      <c r="I107" s="1765">
        <f>C37</f>
        <v>0</v>
      </c>
      <c r="K107" s="2125"/>
    </row>
    <row r="108" spans="1:35" ht="15">
      <c r="A108" s="3436" t="s">
        <v>1958</v>
      </c>
      <c r="B108" s="3437"/>
      <c r="C108" s="1880" t="str">
        <f>IF(H19="元","总额（元）","总额（万元）")</f>
        <v>总额（元）</v>
      </c>
      <c r="D108" s="1766">
        <f>IF(D36="正常操作",I106+I107+I108,I107+I108)</f>
        <v>0</v>
      </c>
      <c r="E108" s="1059"/>
      <c r="F108" s="3343" t="s">
        <v>1861</v>
      </c>
      <c r="G108" s="3344"/>
      <c r="H108" s="1880" t="str">
        <f>C111</f>
        <v>总额（元）</v>
      </c>
      <c r="I108" s="1765">
        <f>C38</f>
        <v>0</v>
      </c>
    </row>
    <row r="109" spans="1:35" ht="14.25">
      <c r="A109" s="3343" t="s">
        <v>1859</v>
      </c>
      <c r="B109" s="3344"/>
      <c r="C109" s="1880" t="str">
        <f>C108</f>
        <v>总额（元）</v>
      </c>
      <c r="D109" s="855">
        <f>IF(D36="同一抵押权人同一抵押物续贷",C36&amp;"（未扣减，详见特别提示）",C36)</f>
        <v>0</v>
      </c>
      <c r="E109" s="1059"/>
      <c r="F109" s="3341"/>
      <c r="G109" s="3342"/>
      <c r="H109" s="3378"/>
      <c r="I109" s="3379"/>
    </row>
    <row r="110" spans="1:35" ht="28.5" customHeight="1">
      <c r="A110" s="3343" t="s">
        <v>1860</v>
      </c>
      <c r="B110" s="3344"/>
      <c r="C110" s="1880" t="str">
        <f>C108</f>
        <v>总额（元）</v>
      </c>
      <c r="D110" s="855">
        <f>C37</f>
        <v>0</v>
      </c>
      <c r="E110" s="1059"/>
      <c r="F110" s="3321" t="str">
        <f>IF(项目基本情况!F5="已注销","——","3.房地产抵押价值")</f>
        <v>3.房地产抵押价值</v>
      </c>
      <c r="G110" s="3322"/>
      <c r="H110" s="3075" t="str">
        <f>C112</f>
        <v>总价（元）</v>
      </c>
      <c r="I110" s="3076">
        <f ca="1">IF(F110="——","——",I102-I105)</f>
        <v>17718031</v>
      </c>
    </row>
    <row r="111" spans="1:35" ht="14.25">
      <c r="A111" s="3343" t="s">
        <v>1861</v>
      </c>
      <c r="B111" s="3344"/>
      <c r="C111" s="1880" t="str">
        <f>C108</f>
        <v>总额（元）</v>
      </c>
      <c r="D111" s="855">
        <f>C38</f>
        <v>0</v>
      </c>
      <c r="E111" s="1059"/>
      <c r="F111" s="3323"/>
      <c r="G111" s="3324"/>
      <c r="H111" s="1879" t="s">
        <v>1854</v>
      </c>
      <c r="I111" s="3077">
        <f ca="1">D113</f>
        <v>50752</v>
      </c>
    </row>
    <row r="112" spans="1:35" ht="26.25" customHeight="1">
      <c r="A112" s="3382" t="str">
        <f>IF(项目基本情况!F5="已注销","——","3.房地产抵押价值")</f>
        <v>3.房地产抵押价值</v>
      </c>
      <c r="B112" s="3383"/>
      <c r="C112" s="1879" t="str">
        <f>B101</f>
        <v>总价（元）</v>
      </c>
      <c r="D112" s="1766">
        <f ca="1">IF(A112="——","——",D106-D108)</f>
        <v>17718031</v>
      </c>
      <c r="E112" s="1059"/>
      <c r="F112" s="3321" t="str">
        <f>IF(项目基本情况!F5="已注销及未注销","4.抵押担保权已注销时的房地产抵押价值",IF(项目基本情况!F5="已注销","3.抵押担保权已注销时的房地产抵押价值","——"))</f>
        <v>——</v>
      </c>
      <c r="G112" s="3322"/>
      <c r="H112" s="3075" t="str">
        <f>C114</f>
        <v>总价（元）</v>
      </c>
      <c r="I112" s="3076" t="str">
        <f>IF(F112="——","——",I102-I107-I108)</f>
        <v>——</v>
      </c>
    </row>
    <row r="113" spans="1:15" ht="14.25">
      <c r="A113" s="3382"/>
      <c r="B113" s="3383"/>
      <c r="C113" s="1879" t="s">
        <v>1854</v>
      </c>
      <c r="D113" s="1767">
        <f ca="1">ROUND(IF(D112=D106,D107,IF(H19="元",D112/项目基本情况!C12,D112*10000/项目基本情况!C12)),0)</f>
        <v>50752</v>
      </c>
      <c r="E113" s="1059"/>
      <c r="F113" s="3323"/>
      <c r="G113" s="3324"/>
      <c r="H113" s="1879" t="s">
        <v>1854</v>
      </c>
      <c r="I113" s="3078" t="str">
        <f>D115</f>
        <v>——</v>
      </c>
    </row>
    <row r="114" spans="1:15" ht="15.75">
      <c r="A114" s="3382" t="str">
        <f>IF(项目基本情况!F5="已注销及未注销","4.抵押担保权已注销时的房地产抵押价值",IF(项目基本情况!F5="已注销","3.抵押担保权已注销时的房地产抵押价值","——"))</f>
        <v>——</v>
      </c>
      <c r="B114" s="3383"/>
      <c r="C114" s="1879" t="str">
        <f>B101</f>
        <v>总价（元）</v>
      </c>
      <c r="D114" s="1766" t="str">
        <f>IF(A114="——","——",D106-D110-D111)</f>
        <v>——</v>
      </c>
      <c r="E114" s="1059"/>
      <c r="F114" s="3321" t="str">
        <f>IF(项目基本情况!G5="抵押净值",IF(OR(项目基本情况!F5="已注销",项目基本情况!F5="房地产抵押价值"),"4.抵押净值","5.抵押净值"),"——")</f>
        <v>——</v>
      </c>
      <c r="G114" s="3322"/>
      <c r="H114" s="1879" t="str">
        <f>C116</f>
        <v>总价（元）</v>
      </c>
      <c r="I114" s="3069" t="str">
        <f>IF(F114="——","——",N59)</f>
        <v>——</v>
      </c>
    </row>
    <row r="115" spans="1:15" ht="15.75" thickBot="1">
      <c r="A115" s="3382"/>
      <c r="B115" s="3383"/>
      <c r="C115" s="1879" t="s">
        <v>1854</v>
      </c>
      <c r="D115" s="1767" t="str">
        <f>IF(A114="——","——",ROUND(IF(D114=D106,D107,IF(H19="元",D114/项目基本情况!C12,D114*10000/项目基本情况!C12)),0))</f>
        <v>——</v>
      </c>
      <c r="E115" s="1059"/>
      <c r="F115" s="3425"/>
      <c r="G115" s="3426"/>
      <c r="H115" s="1881" t="s">
        <v>1854</v>
      </c>
      <c r="I115" s="3079" t="str">
        <f ca="1">D117</f>
        <v>——</v>
      </c>
    </row>
    <row r="116" spans="1:15" ht="15">
      <c r="A116" s="3382" t="str">
        <f>IF(项目基本情况!G5="抵押净值",IF(OR(项目基本情况!F5="已注销",项目基本情况!F5="房地产抵押价值"),"4.抵押净值","5.抵押净值"),"——")</f>
        <v>——</v>
      </c>
      <c r="B116" s="3383"/>
      <c r="C116" s="1879" t="str">
        <f>B101</f>
        <v>总价（元）</v>
      </c>
      <c r="D116" s="1766" t="str">
        <f>IF(A116="——","——",N59)</f>
        <v>——</v>
      </c>
      <c r="E116" s="1059"/>
      <c r="F116" s="3316"/>
      <c r="G116" s="3316"/>
      <c r="H116" s="3361"/>
      <c r="I116" s="3361"/>
      <c r="N116" s="1890"/>
      <c r="O116" s="1890"/>
    </row>
    <row r="117" spans="1:15" ht="15" thickBot="1">
      <c r="A117" s="3434"/>
      <c r="B117" s="3435"/>
      <c r="C117" s="1881" t="s">
        <v>1854</v>
      </c>
      <c r="D117" s="1768" t="str">
        <f ca="1">IF(D116=D112,D113,IF(A116="——","——",N61))</f>
        <v>——</v>
      </c>
      <c r="E117" s="1059"/>
      <c r="F117" s="3421" t="str">
        <f>IF(B32="总价","（以上估价结果中单价为总价除以建筑面积得出）","（以上估价结果中总价为楼面单价乘以建筑面积得出）")</f>
        <v>（以上估价结果中总价为楼面单价乘以建筑面积得出）</v>
      </c>
      <c r="G117" s="3421"/>
      <c r="H117" s="3421"/>
      <c r="I117" s="3421"/>
      <c r="N117" s="1890"/>
      <c r="O117" s="1890"/>
    </row>
    <row r="118" spans="1:15" ht="13.5">
      <c r="A118" s="3362" t="s">
        <v>2890</v>
      </c>
      <c r="B118" s="3363"/>
      <c r="C118" s="3363"/>
      <c r="D118" s="3363"/>
      <c r="E118" s="3363"/>
      <c r="F118" s="3363"/>
      <c r="G118" s="3363"/>
      <c r="H118" s="3363"/>
      <c r="I118" s="3363"/>
    </row>
    <row r="119" spans="1:15" ht="13.5">
      <c r="A119" s="3333" t="s">
        <v>3</v>
      </c>
      <c r="B119" s="3331" t="s">
        <v>1883</v>
      </c>
      <c r="C119" s="3331" t="s">
        <v>698</v>
      </c>
      <c r="D119" s="3339" t="s">
        <v>211</v>
      </c>
      <c r="E119" s="3340"/>
      <c r="F119" s="3329" t="s">
        <v>1884</v>
      </c>
      <c r="G119" s="3329"/>
      <c r="H119" s="3329" t="s">
        <v>4</v>
      </c>
      <c r="I119" s="3330"/>
    </row>
    <row r="120" spans="1:15" ht="13.5">
      <c r="A120" s="3333"/>
      <c r="B120" s="3332"/>
      <c r="C120" s="3332"/>
      <c r="D120" s="1798" t="s">
        <v>5</v>
      </c>
      <c r="E120" s="1798" t="s">
        <v>699</v>
      </c>
      <c r="F120" s="1798" t="s">
        <v>5</v>
      </c>
      <c r="G120" s="1798" t="s">
        <v>6</v>
      </c>
      <c r="H120" s="1798" t="s">
        <v>5</v>
      </c>
      <c r="I120" s="1809" t="s">
        <v>6</v>
      </c>
    </row>
    <row r="121" spans="1:15" ht="14.25">
      <c r="A121" s="1797" t="str">
        <f>项目基本情况!I1</f>
        <v>北京市房地产</v>
      </c>
      <c r="B121" s="1804">
        <f>项目基本情况!C12</f>
        <v>349.11</v>
      </c>
      <c r="C121" s="1804">
        <f>项目基本情况!C13</f>
        <v>0</v>
      </c>
      <c r="D121" s="1804">
        <f ca="1">ROUND(IF(B32="总价",C34,IF('数据-取费表'!B3="万元",E121*B121/10000,E121*B121)),0)</f>
        <v>17718031</v>
      </c>
      <c r="E121" s="1804">
        <f ca="1">ROUND(IF(B32="楼面单价",C34,IF(H19="元",D121/B121,D121*10000/B121)),0)</f>
        <v>50752</v>
      </c>
      <c r="F121" s="1804">
        <f ca="1">ROUND(IF(B32="总价",C35,IF('数据-取费表'!B3="万元",G121*B121/10000,G121*B121)),0)</f>
        <v>0</v>
      </c>
      <c r="G121" s="1804">
        <f ca="1">ROUND(IF(B32="楼面单价",C35,IF(H19="元",F121/B121,F121*10000/B121)),0)</f>
        <v>0</v>
      </c>
      <c r="H121" s="1804">
        <f ca="1">ROUND(IF(B32="总价",C32,IF('数据-取费表'!B3="万元",I121*B121/10000,I121*B121)),0)</f>
        <v>17718031</v>
      </c>
      <c r="I121" s="855">
        <f ca="1">ROUND(IF(B32="楼面单价",C32,IF(H19="元",H121/B121,H121*10000/B121)),0)</f>
        <v>50752</v>
      </c>
    </row>
    <row r="122" spans="1:15" ht="13.5">
      <c r="A122" s="3333" t="s">
        <v>7</v>
      </c>
      <c r="B122" s="3329"/>
      <c r="C122" s="3329"/>
      <c r="D122" s="3366" t="str">
        <f ca="1">IF(H19="元",NUMBERSTRING(INT(D121),2)&amp;"元整",NUMBERSTRING(INT(D121*10000),2)&amp;"元整")</f>
        <v>壹仟柒佰柒拾壹万捌仟零叁拾壹元整</v>
      </c>
      <c r="E122" s="3367"/>
      <c r="F122" s="3366" t="str">
        <f ca="1">IF(H19="元",NUMBERSTRING(INT(F121),2)&amp;"元整",NUMBERSTRING(INT(F121*10000),2)&amp;"元整")</f>
        <v>零元整</v>
      </c>
      <c r="G122" s="3367"/>
      <c r="H122" s="3366" t="str">
        <f ca="1">IF(H19="元",NUMBERSTRING(INT(H121),2)&amp;"元整",NUMBERSTRING(INT(H121*10000),2)&amp;"元整")</f>
        <v>壹仟柒佰柒拾壹万捌仟零叁拾壹元整</v>
      </c>
      <c r="I122" s="3442"/>
    </row>
    <row r="123" spans="1:15" ht="15">
      <c r="A123" s="3368" t="str">
        <f>IF(项目基本情况!D5="房地产市场价值","——",MID(A108,3,LEN(A108)-2))</f>
        <v>估价师所知悉的法定优先受偿款</v>
      </c>
      <c r="B123" s="3369"/>
      <c r="C123" s="3370"/>
      <c r="D123" s="3427">
        <f>I105</f>
        <v>0</v>
      </c>
      <c r="E123" s="3428"/>
      <c r="F123" s="3428"/>
      <c r="G123" s="3428"/>
      <c r="H123" s="3428"/>
      <c r="I123" s="3429"/>
    </row>
    <row r="124" spans="1:15" ht="13.5">
      <c r="A124" s="3371" t="s">
        <v>7</v>
      </c>
      <c r="B124" s="3372"/>
      <c r="C124" s="3373"/>
      <c r="D124" s="3430">
        <f>H109</f>
        <v>0</v>
      </c>
      <c r="E124" s="3431"/>
      <c r="F124" s="3431"/>
      <c r="G124" s="3431"/>
      <c r="H124" s="3431"/>
      <c r="I124" s="3432"/>
    </row>
    <row r="125" spans="1:15" ht="15">
      <c r="A125" s="3357" t="str">
        <f>IF(项目基本情况!D5="房地产市场价值","——",MID(A112,3,LEN(A112)-2))</f>
        <v>房地产抵押价值</v>
      </c>
      <c r="B125" s="3358"/>
      <c r="C125" s="3358"/>
      <c r="D125" s="3427">
        <f ca="1">I110</f>
        <v>17718031</v>
      </c>
      <c r="E125" s="3428"/>
      <c r="F125" s="3428"/>
      <c r="G125" s="3428"/>
      <c r="H125" s="3428"/>
      <c r="I125" s="3429"/>
    </row>
    <row r="126" spans="1:15" ht="13.5">
      <c r="A126" s="3333" t="s">
        <v>7</v>
      </c>
      <c r="B126" s="3329"/>
      <c r="C126" s="3329"/>
      <c r="D126" s="3430">
        <f ca="1">I111</f>
        <v>50752</v>
      </c>
      <c r="E126" s="3431"/>
      <c r="F126" s="3431"/>
      <c r="G126" s="3431"/>
      <c r="H126" s="3431"/>
      <c r="I126" s="3432"/>
    </row>
    <row r="127" spans="1:15" ht="15.75" thickBot="1">
      <c r="A127" s="3357" t="str">
        <f>IF(项目基本情况!D5="房地产市场价值","——",MID(A114,3,LEN(A114)-2))</f>
        <v/>
      </c>
      <c r="B127" s="3358"/>
      <c r="C127" s="3358"/>
      <c r="D127" s="3311" t="str">
        <f>I112</f>
        <v>——</v>
      </c>
      <c r="E127" s="3312"/>
      <c r="F127" s="3312"/>
      <c r="G127" s="3312"/>
      <c r="H127" s="3312"/>
      <c r="I127" s="3313"/>
    </row>
    <row r="128" spans="1:15" ht="15" thickTop="1" thickBot="1">
      <c r="A128" s="3333" t="s">
        <v>7</v>
      </c>
      <c r="B128" s="3329"/>
      <c r="C128" s="3422"/>
      <c r="D128" s="3360" t="str">
        <f>I113</f>
        <v>——</v>
      </c>
      <c r="E128" s="3360"/>
      <c r="F128" s="3360"/>
      <c r="G128" s="3360"/>
      <c r="H128" s="3360"/>
      <c r="I128" s="3360"/>
    </row>
    <row r="129" spans="1:9" ht="16.5" thickTop="1" thickBot="1">
      <c r="A129" s="3357" t="str">
        <f>IF(项目基本情况!D5="房地产市场价值","——",MID(F114,3,LEN(F114)-2))</f>
        <v/>
      </c>
      <c r="B129" s="3358"/>
      <c r="C129" s="3359"/>
      <c r="D129" s="3433" t="str">
        <f>I114</f>
        <v>——</v>
      </c>
      <c r="E129" s="3433"/>
      <c r="F129" s="3433"/>
      <c r="G129" s="3433"/>
      <c r="H129" s="3433"/>
      <c r="I129" s="3433"/>
    </row>
    <row r="130" spans="1:9" ht="15" thickTop="1" thickBot="1">
      <c r="A130" s="3438" t="s">
        <v>7</v>
      </c>
      <c r="B130" s="3439"/>
      <c r="C130" s="3439"/>
      <c r="D130" s="3443">
        <f>H116</f>
        <v>0</v>
      </c>
      <c r="E130" s="3444"/>
      <c r="F130" s="3444"/>
      <c r="G130" s="3444"/>
      <c r="H130" s="3444"/>
      <c r="I130" s="344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420" t="str">
        <f>IF(B32="总价","（以上估价结果中楼面单价为总价除以建筑面积得出）","（以上估价结果中总价为楼面单价乘以建筑面积得出）")</f>
        <v>（以上估价结果中总价为楼面单价乘以建筑面积得出）</v>
      </c>
      <c r="B132" s="3420"/>
      <c r="C132" s="3420"/>
      <c r="D132" s="3420"/>
      <c r="E132" s="3420"/>
      <c r="F132" s="3420"/>
      <c r="G132" s="3420"/>
      <c r="H132" s="3420"/>
      <c r="I132" s="3420"/>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447" t="s">
        <v>2212</v>
      </c>
      <c r="B2" s="3447"/>
      <c r="C2" s="3447"/>
      <c r="D2" s="3447"/>
      <c r="E2" s="3447"/>
      <c r="F2" s="3447"/>
      <c r="G2" s="3447"/>
      <c r="H2" s="3447"/>
      <c r="I2" s="3447"/>
    </row>
    <row r="3" spans="1:12" ht="12">
      <c r="A3" s="3392" t="s">
        <v>8</v>
      </c>
      <c r="B3" s="3393"/>
      <c r="C3" s="3393"/>
      <c r="D3" s="3393"/>
      <c r="E3" s="3393"/>
      <c r="F3" s="3393"/>
      <c r="G3" s="3393"/>
      <c r="H3" s="3393"/>
      <c r="I3" s="3393"/>
    </row>
    <row r="4" spans="1:12" ht="13.5">
      <c r="A4" s="237" t="s">
        <v>9</v>
      </c>
      <c r="B4" s="2039" t="s">
        <v>10</v>
      </c>
      <c r="C4" s="238"/>
      <c r="D4" s="238"/>
      <c r="E4" s="3397" t="s">
        <v>674</v>
      </c>
      <c r="F4" s="3398"/>
      <c r="G4" s="3398"/>
      <c r="H4" s="3398"/>
      <c r="I4" s="3399"/>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85" t="s">
        <v>11</v>
      </c>
      <c r="B5" s="3386">
        <v>25</v>
      </c>
      <c r="C5" s="3394"/>
      <c r="D5" s="3391"/>
      <c r="E5" s="272" t="s">
        <v>717</v>
      </c>
      <c r="F5" s="239"/>
      <c r="G5" s="239"/>
      <c r="H5" s="239"/>
      <c r="I5" s="240"/>
    </row>
    <row r="6" spans="1:12" ht="12.75">
      <c r="A6" s="3385"/>
      <c r="B6" s="3386"/>
      <c r="C6" s="3395"/>
      <c r="D6" s="3391"/>
      <c r="E6" s="272" t="s">
        <v>718</v>
      </c>
      <c r="F6" s="239"/>
      <c r="G6" s="239"/>
      <c r="H6" s="239"/>
      <c r="I6" s="240"/>
    </row>
    <row r="7" spans="1:12" ht="12.75">
      <c r="A7" s="3385"/>
      <c r="B7" s="3386"/>
      <c r="C7" s="3396"/>
      <c r="D7" s="3391"/>
      <c r="E7" s="272" t="s">
        <v>719</v>
      </c>
      <c r="F7" s="239"/>
      <c r="G7" s="239"/>
      <c r="H7" s="239"/>
      <c r="I7" s="240"/>
    </row>
    <row r="8" spans="1:12" ht="12.75">
      <c r="A8" s="3385" t="s">
        <v>12</v>
      </c>
      <c r="B8" s="3386">
        <v>15</v>
      </c>
      <c r="C8" s="3394"/>
      <c r="D8" s="3391"/>
      <c r="E8" s="272" t="s">
        <v>720</v>
      </c>
      <c r="F8" s="239"/>
      <c r="G8" s="239"/>
      <c r="H8" s="239"/>
      <c r="I8" s="240"/>
    </row>
    <row r="9" spans="1:12" ht="12.75">
      <c r="A9" s="3385"/>
      <c r="B9" s="3386"/>
      <c r="C9" s="3396"/>
      <c r="D9" s="3391"/>
      <c r="E9" s="272" t="s">
        <v>721</v>
      </c>
      <c r="F9" s="239"/>
      <c r="G9" s="239"/>
      <c r="H9" s="239"/>
      <c r="I9" s="240"/>
    </row>
    <row r="10" spans="1:12" ht="12.75">
      <c r="A10" s="3385" t="s">
        <v>13</v>
      </c>
      <c r="B10" s="3386">
        <v>15</v>
      </c>
      <c r="C10" s="3394"/>
      <c r="D10" s="3391"/>
      <c r="E10" s="272" t="s">
        <v>722</v>
      </c>
      <c r="F10" s="239"/>
      <c r="G10" s="239"/>
      <c r="H10" s="239"/>
      <c r="I10" s="240"/>
    </row>
    <row r="11" spans="1:12" ht="12.75">
      <c r="A11" s="3385"/>
      <c r="B11" s="3386"/>
      <c r="C11" s="3396"/>
      <c r="D11" s="3391"/>
      <c r="E11" s="272" t="s">
        <v>723</v>
      </c>
      <c r="F11" s="239"/>
      <c r="G11" s="239"/>
      <c r="H11" s="239"/>
      <c r="I11" s="240"/>
    </row>
    <row r="12" spans="1:12" ht="12.75">
      <c r="A12" s="3385" t="s">
        <v>14</v>
      </c>
      <c r="B12" s="3386">
        <v>15</v>
      </c>
      <c r="C12" s="3394"/>
      <c r="D12" s="3391"/>
      <c r="E12" s="272" t="s">
        <v>724</v>
      </c>
      <c r="F12" s="239"/>
      <c r="G12" s="239"/>
      <c r="H12" s="239"/>
      <c r="I12" s="240"/>
    </row>
    <row r="13" spans="1:12" ht="12.75">
      <c r="A13" s="3385"/>
      <c r="B13" s="3386"/>
      <c r="C13" s="3396"/>
      <c r="D13" s="3391"/>
      <c r="E13" s="272" t="s">
        <v>725</v>
      </c>
      <c r="F13" s="239"/>
      <c r="G13" s="239"/>
      <c r="H13" s="239"/>
      <c r="I13" s="240"/>
    </row>
    <row r="14" spans="1:12" ht="12.75">
      <c r="A14" s="3385" t="s">
        <v>15</v>
      </c>
      <c r="B14" s="3386">
        <v>30</v>
      </c>
      <c r="C14" s="3394"/>
      <c r="D14" s="3391"/>
      <c r="E14" s="272" t="s">
        <v>726</v>
      </c>
      <c r="F14" s="239"/>
      <c r="G14" s="239"/>
      <c r="H14" s="239"/>
      <c r="I14" s="240"/>
    </row>
    <row r="15" spans="1:12" ht="12.75">
      <c r="A15" s="3385"/>
      <c r="B15" s="3386"/>
      <c r="C15" s="3395"/>
      <c r="D15" s="3391"/>
      <c r="E15" s="272" t="s">
        <v>727</v>
      </c>
      <c r="F15" s="239"/>
      <c r="G15" s="239"/>
      <c r="H15" s="239"/>
      <c r="I15" s="240"/>
    </row>
    <row r="16" spans="1:12" ht="12.75">
      <c r="A16" s="3385"/>
      <c r="B16" s="3386"/>
      <c r="C16" s="3396"/>
      <c r="D16" s="3391"/>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400" t="s">
        <v>184</v>
      </c>
      <c r="B24" s="244" t="s">
        <v>18</v>
      </c>
      <c r="C24" s="277">
        <f>D30</f>
        <v>0</v>
      </c>
      <c r="D24" s="251"/>
      <c r="E24" s="1059"/>
      <c r="F24" s="1059"/>
      <c r="G24" s="1059"/>
      <c r="H24" s="1059"/>
      <c r="I24" s="1059"/>
    </row>
    <row r="25" spans="1:35" ht="21.75" customHeight="1">
      <c r="A25" s="3401"/>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57" t="s">
        <v>2214</v>
      </c>
      <c r="B31" s="3457"/>
      <c r="C31" s="3457"/>
      <c r="D31" s="3457"/>
      <c r="E31" s="3457"/>
      <c r="F31" s="3457"/>
      <c r="G31" s="3457"/>
      <c r="H31" s="3457"/>
      <c r="I31" s="345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2270</v>
      </c>
      <c r="C32" s="2295">
        <f>典型户型修正!R27</f>
        <v>0</v>
      </c>
      <c r="D32" s="1059" t="s">
        <v>2271</v>
      </c>
      <c r="E32" s="1059"/>
      <c r="F32" s="1059"/>
      <c r="G32" s="1059"/>
      <c r="H32" s="1059"/>
      <c r="I32" s="1059"/>
    </row>
    <row r="33" spans="1:16" ht="14.25">
      <c r="A33" s="2296" t="s">
        <v>2272</v>
      </c>
      <c r="B33" s="2292" t="s">
        <v>2273</v>
      </c>
      <c r="C33" s="2297" t="e">
        <f ca="1">典型户型修正!B2</f>
        <v>#REF!</v>
      </c>
      <c r="D33" s="2291" t="str">
        <f>IF('数据-取费表'!B3="万元","万元","元")</f>
        <v>元</v>
      </c>
      <c r="E33" s="1059"/>
      <c r="F33" s="1059"/>
      <c r="G33" s="1059"/>
      <c r="H33" s="1059"/>
      <c r="I33" s="1059"/>
    </row>
    <row r="34" spans="1:16" ht="15" thickBot="1">
      <c r="A34" s="2298"/>
      <c r="B34" s="2299" t="s">
        <v>2274</v>
      </c>
      <c r="C34" s="1211" t="e">
        <f>典型户型修正!B3</f>
        <v>#DIV/0!</v>
      </c>
      <c r="D34" s="1059" t="s">
        <v>2271</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407" t="s">
        <v>676</v>
      </c>
      <c r="B37" s="258" t="s">
        <v>677</v>
      </c>
      <c r="C37" s="286"/>
      <c r="D37" s="1889"/>
      <c r="E37" s="1793"/>
      <c r="F37" s="1793"/>
      <c r="G37" s="1059"/>
      <c r="H37" s="1059"/>
      <c r="I37" s="1059"/>
    </row>
    <row r="38" spans="1:16" ht="15.75" thickBot="1">
      <c r="A38" s="3408"/>
      <c r="B38" s="5" t="s">
        <v>679</v>
      </c>
      <c r="C38" s="288"/>
      <c r="D38" s="8"/>
      <c r="E38" s="8"/>
      <c r="F38" s="1793"/>
      <c r="G38" s="8"/>
      <c r="H38" s="8"/>
      <c r="I38" s="8"/>
    </row>
    <row r="39" spans="1:16" ht="15.75" thickBot="1">
      <c r="A39" s="3409"/>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413" t="s">
        <v>709</v>
      </c>
      <c r="B46" s="3414"/>
      <c r="C46" s="3415"/>
      <c r="D46" s="297" t="e">
        <f ca="1">ROUND(I103*F46,0)</f>
        <v>#REF!</v>
      </c>
      <c r="E46" s="298" t="s">
        <v>710</v>
      </c>
      <c r="F46" s="299">
        <v>1</v>
      </c>
      <c r="G46" s="300" t="s">
        <v>711</v>
      </c>
      <c r="H46" s="1059"/>
      <c r="I46" s="1059"/>
      <c r="J46" s="3317" t="s">
        <v>216</v>
      </c>
      <c r="K46" s="3317"/>
      <c r="L46" s="3317"/>
      <c r="M46" s="3317"/>
      <c r="N46" s="3317"/>
      <c r="O46" s="3317"/>
      <c r="P46" s="1226"/>
    </row>
    <row r="47" spans="1:16" ht="14.25" customHeight="1">
      <c r="A47" s="3402" t="s">
        <v>300</v>
      </c>
      <c r="B47" s="3403"/>
      <c r="C47" s="3403"/>
      <c r="D47" s="3403"/>
      <c r="E47" s="3403"/>
      <c r="F47" s="3403"/>
      <c r="G47" s="3404"/>
      <c r="H47" s="1071"/>
      <c r="I47" s="1025"/>
      <c r="J47" s="3030">
        <v>1</v>
      </c>
      <c r="K47" s="3317" t="s">
        <v>217</v>
      </c>
      <c r="L47" s="3317"/>
      <c r="M47" s="3446"/>
      <c r="N47" s="3446"/>
      <c r="O47" s="3446"/>
      <c r="P47" s="1226"/>
    </row>
    <row r="48" spans="1:16" ht="12" customHeight="1">
      <c r="A48" s="302" t="s">
        <v>301</v>
      </c>
      <c r="B48" s="303"/>
      <c r="C48" s="304"/>
      <c r="D48" s="305" t="s">
        <v>302</v>
      </c>
      <c r="E48" s="197" t="s">
        <v>303</v>
      </c>
      <c r="F48" s="306" t="s">
        <v>712</v>
      </c>
      <c r="G48" s="307" t="s">
        <v>713</v>
      </c>
      <c r="H48" s="1071"/>
      <c r="I48" s="1025"/>
      <c r="J48" s="3030">
        <v>2</v>
      </c>
      <c r="K48" s="3317" t="s">
        <v>218</v>
      </c>
      <c r="L48" s="3317"/>
      <c r="M48" s="3319">
        <f>'数据-取费表'!B2</f>
        <v>39996</v>
      </c>
      <c r="N48" s="3319"/>
      <c r="O48" s="3319"/>
      <c r="P48" s="1226"/>
    </row>
    <row r="49" spans="1:16" ht="25.5">
      <c r="A49" s="3410" t="s">
        <v>304</v>
      </c>
      <c r="B49" s="3411"/>
      <c r="C49" s="3411"/>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1045</v>
      </c>
      <c r="I49" s="1071"/>
      <c r="J49" s="3030">
        <v>3</v>
      </c>
      <c r="K49" s="3317" t="s">
        <v>692</v>
      </c>
      <c r="L49" s="3317"/>
      <c r="M49" s="3320" t="e">
        <f ca="1">I103</f>
        <v>#REF!</v>
      </c>
      <c r="N49" s="3320"/>
      <c r="O49" s="3320"/>
      <c r="P49" s="1226"/>
    </row>
    <row r="50" spans="1:16" ht="25.5" customHeight="1">
      <c r="A50" s="309" t="s">
        <v>305</v>
      </c>
      <c r="B50" s="3388" t="s">
        <v>715</v>
      </c>
      <c r="C50" s="3388"/>
      <c r="D50" s="310">
        <v>0</v>
      </c>
      <c r="E50" s="196" t="s">
        <v>306</v>
      </c>
      <c r="F50" s="201" t="s">
        <v>178</v>
      </c>
      <c r="G50" s="3308"/>
      <c r="H50" s="1059"/>
      <c r="I50" s="1072"/>
      <c r="J50" s="3030">
        <v>4</v>
      </c>
      <c r="K50" s="3317" t="str">
        <f>IF(项目基本情况!F5="房地产抵押价值","房地产抵押价值","抵押担保权已注销时的房地产抵押价值")</f>
        <v>抵押担保权已注销时的房地产抵押价值</v>
      </c>
      <c r="L50" s="3317"/>
      <c r="M50" s="3320" t="str">
        <f>IF(项目基本情况!E8="房地产抵押价值",I111,I113)</f>
        <v>——</v>
      </c>
      <c r="N50" s="3320"/>
      <c r="O50" s="3320"/>
      <c r="P50" s="1226"/>
    </row>
    <row r="51" spans="1:16" ht="25.5" customHeight="1">
      <c r="A51" s="311"/>
      <c r="B51" s="3388" t="s">
        <v>307</v>
      </c>
      <c r="C51" s="3388"/>
      <c r="D51" s="312"/>
      <c r="E51" s="204"/>
      <c r="F51" s="313"/>
      <c r="G51" s="3309"/>
      <c r="H51" s="1059"/>
      <c r="I51" s="1072"/>
      <c r="J51" s="3317" t="s">
        <v>219</v>
      </c>
      <c r="K51" s="3317"/>
      <c r="L51" s="3317"/>
      <c r="M51" s="3317"/>
      <c r="N51" s="3317"/>
      <c r="O51" s="3317"/>
      <c r="P51" s="1226"/>
    </row>
    <row r="52" spans="1:16" ht="12" customHeight="1">
      <c r="A52" s="314"/>
      <c r="B52" s="3388" t="s">
        <v>308</v>
      </c>
      <c r="C52" s="3388"/>
      <c r="D52" s="315"/>
      <c r="E52" s="203"/>
      <c r="F52" s="313"/>
      <c r="G52" s="3310"/>
      <c r="H52" s="1059"/>
      <c r="I52" s="1072"/>
      <c r="J52" s="3028" t="s">
        <v>220</v>
      </c>
      <c r="K52" s="3317" t="s">
        <v>221</v>
      </c>
      <c r="L52" s="3317"/>
      <c r="M52" s="3028" t="s">
        <v>222</v>
      </c>
      <c r="N52" s="3028" t="s">
        <v>223</v>
      </c>
      <c r="O52" s="3028" t="s">
        <v>224</v>
      </c>
      <c r="P52" s="1226"/>
    </row>
    <row r="53" spans="1:16" ht="24" customHeight="1">
      <c r="A53" s="316" t="s">
        <v>309</v>
      </c>
      <c r="B53" s="3388" t="s">
        <v>310</v>
      </c>
      <c r="C53" s="3388"/>
      <c r="D53" s="315" t="e">
        <f ca="1">ROUND(D46*'数据-取费表'!E29/(1+'数据-取费表'!F30),0)</f>
        <v>#REF!</v>
      </c>
      <c r="E53" s="193" t="s">
        <v>311</v>
      </c>
      <c r="F53" s="317">
        <f>'数据-取费表'!E29</f>
        <v>5.6000000000000001E-2</v>
      </c>
      <c r="G53" s="268"/>
      <c r="H53" s="1059"/>
      <c r="I53" s="1072"/>
      <c r="J53" s="3030">
        <v>1</v>
      </c>
      <c r="K53" s="3307" t="s">
        <v>693</v>
      </c>
      <c r="L53" s="3307"/>
      <c r="M53" s="1229" t="e">
        <f ca="1">D49</f>
        <v>#REF!</v>
      </c>
      <c r="N53" s="3029" t="str">
        <f>E49</f>
        <v>销售额×税（费）率</v>
      </c>
      <c r="O53" s="1230">
        <f>F49</f>
        <v>5.6000000000000001E-2</v>
      </c>
      <c r="P53" s="1226"/>
    </row>
    <row r="54" spans="1:16" ht="12" customHeight="1">
      <c r="A54" s="316" t="s">
        <v>312</v>
      </c>
      <c r="B54" s="3387" t="s">
        <v>313</v>
      </c>
      <c r="C54" s="3390"/>
      <c r="D54" s="315" t="e">
        <f ca="1">ROUND(D46*'数据-取费表'!E29/(1+'数据-取费表'!F30),0)</f>
        <v>#REF!</v>
      </c>
      <c r="E54" s="193" t="s">
        <v>311</v>
      </c>
      <c r="F54" s="317">
        <f>'数据-取费表'!E29</f>
        <v>5.6000000000000001E-2</v>
      </c>
      <c r="G54" s="268"/>
      <c r="H54" s="1059"/>
      <c r="I54" s="1072"/>
      <c r="J54" s="3030">
        <v>2</v>
      </c>
      <c r="K54" s="3307" t="s">
        <v>694</v>
      </c>
      <c r="L54" s="3307"/>
      <c r="M54" s="1229" t="e">
        <f t="shared" ref="M54:O55" ca="1" si="1">D56</f>
        <v>#REF!</v>
      </c>
      <c r="N54" s="3029" t="str">
        <f t="shared" si="1"/>
        <v>销售额×税（费）率</v>
      </c>
      <c r="O54" s="1230">
        <f t="shared" si="1"/>
        <v>5.0000000000000001E-4</v>
      </c>
      <c r="P54" s="1226"/>
    </row>
    <row r="55" spans="1:16" ht="12" customHeight="1">
      <c r="A55" s="316" t="s">
        <v>314</v>
      </c>
      <c r="B55" s="3387" t="s">
        <v>315</v>
      </c>
      <c r="C55" s="3390"/>
      <c r="D55" s="315" t="e">
        <f ca="1">C69</f>
        <v>#REF!</v>
      </c>
      <c r="E55" s="203" t="s">
        <v>316</v>
      </c>
      <c r="F55" s="317">
        <f>'数据-取费表'!E29</f>
        <v>5.6000000000000001E-2</v>
      </c>
      <c r="G55" s="268"/>
      <c r="H55" s="1073"/>
      <c r="I55" s="1072"/>
      <c r="J55" s="3030">
        <v>3</v>
      </c>
      <c r="K55" s="3307" t="s">
        <v>695</v>
      </c>
      <c r="L55" s="3307"/>
      <c r="M55" s="1229" t="e">
        <f t="shared" ca="1" si="1"/>
        <v>#REF!</v>
      </c>
      <c r="N55" s="3029" t="str">
        <f t="shared" si="1"/>
        <v>增值额×税（费）率</v>
      </c>
      <c r="O55" s="1231" t="str">
        <f t="shared" si="1"/>
        <v>——</v>
      </c>
      <c r="P55" s="1226"/>
    </row>
    <row r="56" spans="1:16" ht="24" customHeight="1">
      <c r="A56" s="3416" t="s">
        <v>317</v>
      </c>
      <c r="B56" s="3411"/>
      <c r="C56" s="3411"/>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07" t="str">
        <f>IF(H60="非个人房产","——","个人所得税")</f>
        <v>——</v>
      </c>
      <c r="L56" s="3307"/>
      <c r="M56" s="1232" t="str">
        <f>D60</f>
        <v>——</v>
      </c>
      <c r="N56" s="1233" t="str">
        <f>E60</f>
        <v>——</v>
      </c>
      <c r="O56" s="1234" t="str">
        <f>F60</f>
        <v>——</v>
      </c>
      <c r="P56" s="1226"/>
    </row>
    <row r="57" spans="1:16" ht="24.75">
      <c r="A57" s="3416" t="s">
        <v>319</v>
      </c>
      <c r="B57" s="3411"/>
      <c r="C57" s="3411"/>
      <c r="D57" s="318" t="e">
        <f ca="1">IF(H57="个人住宅",D58,D59)</f>
        <v>#REF!</v>
      </c>
      <c r="E57" s="193" t="s">
        <v>320</v>
      </c>
      <c r="F57" s="317" t="str">
        <f>IF(H57="正常",F59,"免征")</f>
        <v>——</v>
      </c>
      <c r="G57" s="1074" t="s">
        <v>175</v>
      </c>
      <c r="H57" s="1219" t="s">
        <v>157</v>
      </c>
      <c r="I57" s="167"/>
      <c r="J57" s="3030" t="str">
        <f>IF(项目基本情况!I6="上海银行",IF(J56="",4,J56+1),"")</f>
        <v/>
      </c>
      <c r="K57" s="3326" t="str">
        <f>IF(项目基本情况!I6="上海银行","其他处置费用","")</f>
        <v/>
      </c>
      <c r="L57" s="3327"/>
      <c r="M57" s="1229" t="str">
        <f>IF(项目基本情况!I6="上海银行",M70,"")</f>
        <v/>
      </c>
      <c r="N57" s="3305" t="str">
        <f>IF(项目基本情况!I6="上海银行","包含处置中涉及的律师、诉讼、拍卖、评估等费用","")</f>
        <v/>
      </c>
      <c r="O57" s="3306"/>
      <c r="P57" s="1226"/>
    </row>
    <row r="58" spans="1:16" ht="12.75">
      <c r="A58" s="316" t="s">
        <v>305</v>
      </c>
      <c r="B58" s="3405" t="s">
        <v>321</v>
      </c>
      <c r="C58" s="3412"/>
      <c r="D58" s="320">
        <v>0</v>
      </c>
      <c r="E58" s="196" t="s">
        <v>306</v>
      </c>
      <c r="F58" s="287"/>
      <c r="G58" s="268"/>
      <c r="H58" s="167"/>
      <c r="I58" s="167"/>
      <c r="J58" s="3325">
        <f>IF(AND(J56="",J57=""),4,IF(项目基本情况!I6="上海银行",J57+1,J56+1))</f>
        <v>4</v>
      </c>
      <c r="K58" s="3307" t="s">
        <v>183</v>
      </c>
      <c r="L58" s="1235" t="s">
        <v>225</v>
      </c>
      <c r="M58" s="1236"/>
      <c r="N58" s="1237">
        <f ca="1">SUMIF(M53:M57,"&lt;9e307")</f>
        <v>0</v>
      </c>
      <c r="O58" s="1238"/>
      <c r="P58" s="3031" t="e">
        <f ca="1">N58/M50</f>
        <v>#VALUE!</v>
      </c>
    </row>
    <row r="59" spans="1:16" ht="24.75">
      <c r="A59" s="316" t="s">
        <v>309</v>
      </c>
      <c r="B59" s="3405" t="s">
        <v>322</v>
      </c>
      <c r="C59" s="3406"/>
      <c r="D59" s="318" t="e">
        <f ca="1">IF(H59="转让取得",C82,C98)</f>
        <v>#REF!</v>
      </c>
      <c r="E59" s="193" t="s">
        <v>320</v>
      </c>
      <c r="F59" s="197" t="s">
        <v>178</v>
      </c>
      <c r="G59" s="268"/>
      <c r="H59" s="1219" t="s">
        <v>1044</v>
      </c>
      <c r="I59" s="167"/>
      <c r="J59" s="3325"/>
      <c r="K59" s="3307"/>
      <c r="L59" s="1235" t="s">
        <v>226</v>
      </c>
      <c r="M59" s="1239"/>
      <c r="N59" s="1240" t="str">
        <f ca="1">IF(H19="元",NUMBERSTRING(INT(N58),2)&amp;"元整",NUMBERSTRING(INT(N58*10000),2)&amp;"元整")</f>
        <v>零元整</v>
      </c>
      <c r="O59" s="1241"/>
      <c r="P59" s="1226"/>
    </row>
    <row r="60" spans="1:16" ht="24.75" thickBot="1">
      <c r="A60" s="3417" t="s">
        <v>323</v>
      </c>
      <c r="B60" s="3418"/>
      <c r="C60" s="3418"/>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364">
        <f>J58+1</f>
        <v>5</v>
      </c>
      <c r="K60" s="3307" t="s">
        <v>179</v>
      </c>
      <c r="L60" s="3029" t="s">
        <v>225</v>
      </c>
      <c r="M60" s="1242"/>
      <c r="N60" s="1243" t="e">
        <f ca="1">M50-N58</f>
        <v>#VALUE!</v>
      </c>
      <c r="O60" s="1244"/>
      <c r="P60" s="1226"/>
    </row>
    <row r="61" spans="1:16" ht="12" customHeight="1">
      <c r="A61" s="1714"/>
      <c r="B61" s="1059"/>
      <c r="C61" s="1059"/>
      <c r="D61" s="1059"/>
      <c r="E61" s="167"/>
      <c r="F61" s="167"/>
      <c r="G61" s="167"/>
      <c r="H61" s="168"/>
      <c r="I61" s="1059"/>
      <c r="J61" s="3365"/>
      <c r="K61" s="3307"/>
      <c r="L61" s="1235" t="s">
        <v>226</v>
      </c>
      <c r="M61" s="1239"/>
      <c r="N61" s="1240" t="e">
        <f ca="1">IF(H19="元",NUMBERSTRING(INT(N60),2)&amp;"元整",NUMBERSTRING(INT(N60*10000),2)&amp;"元整")</f>
        <v>#VALUE!</v>
      </c>
      <c r="O61" s="1241"/>
      <c r="P61" s="1226"/>
    </row>
    <row r="62" spans="1:16" ht="13.5" thickBot="1">
      <c r="A62" s="3419" t="s">
        <v>324</v>
      </c>
      <c r="B62" s="3419"/>
      <c r="C62" s="3419"/>
      <c r="D62" s="3419"/>
      <c r="E62" s="3419"/>
      <c r="F62" s="167"/>
      <c r="G62" s="167"/>
      <c r="H62" s="168"/>
      <c r="I62" s="1059"/>
      <c r="J62" s="3030">
        <f>J60+1</f>
        <v>6</v>
      </c>
      <c r="K62" s="3307" t="s">
        <v>227</v>
      </c>
      <c r="L62" s="3307"/>
      <c r="M62" s="1245"/>
      <c r="N62" s="1246" t="e">
        <f ca="1">IF(H19="元",ROUND(N60/项目基本情况!C12,0),ROUND(N60*10000/项目基本情况!C12,0))</f>
        <v>#VALUE!</v>
      </c>
      <c r="O62" s="1247"/>
      <c r="P62" s="1226"/>
    </row>
    <row r="63" spans="1:16" ht="12.75">
      <c r="A63" s="3348" t="s">
        <v>325</v>
      </c>
      <c r="B63" s="3349"/>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28" t="s">
        <v>2846</v>
      </c>
      <c r="K64" s="3035" t="s">
        <v>2847</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28"/>
      <c r="K65" s="3035" t="s">
        <v>2848</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2849</v>
      </c>
      <c r="O65" s="1226"/>
      <c r="P65" s="1226"/>
    </row>
    <row r="66" spans="1:35" ht="12.75">
      <c r="A66" s="331" t="s">
        <v>229</v>
      </c>
      <c r="B66" s="332" t="s">
        <v>328</v>
      </c>
      <c r="C66" s="336"/>
      <c r="D66" s="334"/>
      <c r="E66" s="335"/>
      <c r="F66" s="167"/>
      <c r="G66" s="167"/>
      <c r="H66" s="168"/>
      <c r="I66" s="1059"/>
      <c r="J66" s="3328"/>
      <c r="K66" s="3035" t="s">
        <v>2850</v>
      </c>
      <c r="L66" s="3036" t="e">
        <f>IF(M50&gt;1000,M50*0.1%,IF(AND(M50&gt;500,M50&lt;=1000),M50*0.5%,IF(AND(M50&gt;50,M50&lt;=500),M50*1%,IF(AND(M50&gt;1,M50&lt;=50),M50*1.5%))))</f>
        <v>#VALUE!</v>
      </c>
      <c r="M66" s="197" t="e">
        <f t="shared" si="2"/>
        <v>#VALUE!</v>
      </c>
      <c r="N66" s="3037" t="s">
        <v>2856</v>
      </c>
      <c r="O66" s="1226"/>
      <c r="P66" s="1226"/>
    </row>
    <row r="67" spans="1:35" ht="12.75">
      <c r="A67" s="337" t="s">
        <v>177</v>
      </c>
      <c r="B67" s="338" t="s">
        <v>329</v>
      </c>
      <c r="C67" s="339"/>
      <c r="D67" s="340" t="s">
        <v>169</v>
      </c>
      <c r="E67" s="3063" t="s">
        <v>2889</v>
      </c>
      <c r="F67" s="167"/>
      <c r="G67" s="167"/>
      <c r="H67" s="168"/>
      <c r="I67" s="1059"/>
      <c r="J67" s="3328"/>
      <c r="K67" s="3035" t="s">
        <v>2851</v>
      </c>
      <c r="L67" s="3036" t="e">
        <f>M50*0.5%</f>
        <v>#VALUE!</v>
      </c>
      <c r="M67" s="197" t="e">
        <f>IF(L67&gt;0.5,0.5,ROUND(L67,0))</f>
        <v>#VALUE!</v>
      </c>
      <c r="N67" s="3037" t="s">
        <v>2857</v>
      </c>
      <c r="O67" s="1226"/>
      <c r="P67" s="1226"/>
    </row>
    <row r="68" spans="1:35" ht="12.75">
      <c r="A68" s="337" t="s">
        <v>170</v>
      </c>
      <c r="B68" s="338" t="s">
        <v>330</v>
      </c>
      <c r="C68" s="341" t="e">
        <f ca="1">C64-C67</f>
        <v>#REF!</v>
      </c>
      <c r="D68" s="334" t="s">
        <v>169</v>
      </c>
      <c r="E68" s="335"/>
      <c r="F68" s="167"/>
      <c r="G68" s="167"/>
      <c r="H68" s="168"/>
      <c r="I68" s="1059"/>
      <c r="J68" s="3328"/>
      <c r="K68" s="3035" t="s">
        <v>2853</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28"/>
      <c r="K69" s="3035" t="s">
        <v>2854</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328"/>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50" t="s">
        <v>332</v>
      </c>
      <c r="B71" s="3351"/>
      <c r="C71" s="3351"/>
      <c r="D71" s="3351"/>
      <c r="E71" s="3351"/>
      <c r="F71" s="3351"/>
      <c r="G71" s="3351"/>
      <c r="H71" s="3351"/>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48" t="s">
        <v>325</v>
      </c>
      <c r="B72" s="3349"/>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87" t="s">
        <v>341</v>
      </c>
      <c r="F77" s="3388"/>
      <c r="G77" s="3388"/>
      <c r="H77" s="3389"/>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2418</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338" t="s">
        <v>2419</v>
      </c>
      <c r="F79" s="3315"/>
      <c r="G79" s="3315"/>
      <c r="H79" s="3337"/>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50" t="s">
        <v>347</v>
      </c>
      <c r="B84" s="3351"/>
      <c r="C84" s="3351"/>
      <c r="D84" s="3351"/>
      <c r="E84" s="3351"/>
      <c r="F84" s="3351"/>
      <c r="G84" s="3351"/>
      <c r="H84" s="335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48" t="s">
        <v>325</v>
      </c>
      <c r="B85" s="3349"/>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14" t="s">
        <v>708</v>
      </c>
      <c r="F92" s="3315"/>
      <c r="G92" s="3315"/>
      <c r="H92" s="1218" t="s">
        <v>2198</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14" t="s">
        <v>356</v>
      </c>
      <c r="F93" s="3315"/>
      <c r="G93" s="3315"/>
      <c r="H93" s="333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338" t="s">
        <v>2419</v>
      </c>
      <c r="F94" s="3315"/>
      <c r="G94" s="3315"/>
      <c r="H94" s="333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14" t="s">
        <v>358</v>
      </c>
      <c r="F95" s="3315"/>
      <c r="G95" s="3315"/>
      <c r="H95" s="3337"/>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4" t="s">
        <v>241</v>
      </c>
      <c r="B100" s="3335"/>
      <c r="C100" s="3335"/>
      <c r="D100" s="3336"/>
      <c r="E100" s="1059"/>
      <c r="F100" s="3345" t="s">
        <v>2760</v>
      </c>
      <c r="G100" s="3346"/>
      <c r="H100" s="3346"/>
      <c r="I100" s="3347"/>
    </row>
    <row r="101" spans="1:35" ht="14.25">
      <c r="A101" s="3352" t="s">
        <v>212</v>
      </c>
      <c r="B101" s="3353"/>
      <c r="C101" s="1084">
        <f>C4</f>
        <v>0</v>
      </c>
      <c r="D101" s="1085">
        <f>D4</f>
        <v>0</v>
      </c>
      <c r="E101" s="1059"/>
      <c r="F101" s="3354" t="s">
        <v>1856</v>
      </c>
      <c r="G101" s="3356"/>
      <c r="H101" s="3448" t="s">
        <v>1963</v>
      </c>
      <c r="I101" s="3355"/>
    </row>
    <row r="102" spans="1:35" ht="15.75">
      <c r="A102" s="3449" t="s">
        <v>2215</v>
      </c>
      <c r="B102" s="1677" t="str">
        <f>IF(H19="元","总价（元）","总价（万元）")</f>
        <v>总价（元）</v>
      </c>
      <c r="C102" s="1051" t="e">
        <f ca="1">C19</f>
        <v>#REF!</v>
      </c>
      <c r="D102" s="1052" t="e">
        <f ca="1">D19</f>
        <v>#REF!</v>
      </c>
      <c r="E102" s="1059"/>
      <c r="F102" s="3450"/>
      <c r="G102" s="3451"/>
      <c r="H102" s="3423">
        <f>典型户型修正!B25</f>
        <v>0</v>
      </c>
      <c r="I102" s="3424"/>
    </row>
    <row r="103" spans="1:35" ht="15.75">
      <c r="A103" s="3449"/>
      <c r="B103" s="1677" t="s">
        <v>1854</v>
      </c>
      <c r="C103" s="1053" t="e">
        <f ca="1">C20</f>
        <v>#REF!</v>
      </c>
      <c r="D103" s="1054" t="e">
        <f ca="1">D20</f>
        <v>#REF!</v>
      </c>
      <c r="E103" s="1059"/>
      <c r="F103" s="3440" t="s">
        <v>1862</v>
      </c>
      <c r="G103" s="3441"/>
      <c r="H103" s="1879" t="str">
        <f>C109</f>
        <v>总价（元）</v>
      </c>
      <c r="I103" s="3069" t="e">
        <f ca="1">H124</f>
        <v>#REF!</v>
      </c>
    </row>
    <row r="104" spans="1:35" ht="15">
      <c r="A104" s="3449" t="s">
        <v>2216</v>
      </c>
      <c r="B104" s="1678" t="str">
        <f>B102</f>
        <v>总价（元）</v>
      </c>
      <c r="C104" s="2046" t="e">
        <f ca="1">ROUND(IF('数据-取费表'!B4="总价",G19,IF(H19="元",G20*'数据-取费表'!E5,G20*'数据-取费表'!E5/10000)),0)</f>
        <v>#REF!</v>
      </c>
      <c r="D104" s="1056"/>
      <c r="E104" s="1059"/>
      <c r="F104" s="3440"/>
      <c r="G104" s="3441"/>
      <c r="H104" s="1879" t="s">
        <v>1854</v>
      </c>
      <c r="I104" s="1765" t="e">
        <f>I124</f>
        <v>#DIV/0!</v>
      </c>
    </row>
    <row r="105" spans="1:35" ht="15">
      <c r="A105" s="3449"/>
      <c r="B105" s="1677" t="s">
        <v>1854</v>
      </c>
      <c r="C105" s="2049" t="e">
        <f ca="1">ROUND(IF('数据-取费表'!B4="楼面单价",G20,IF(H19="元",G19/'数据-取费表'!E5,G19*10000/'数据-取费表'!E5)),0)</f>
        <v>#REF!</v>
      </c>
      <c r="D105" s="1056"/>
      <c r="E105" s="1059"/>
      <c r="F105" s="3341"/>
      <c r="G105" s="3342"/>
      <c r="H105" s="3376"/>
      <c r="I105" s="3377"/>
    </row>
    <row r="106" spans="1:35" ht="15.75">
      <c r="A106" s="3456" t="s">
        <v>2213</v>
      </c>
      <c r="B106" s="2044" t="str">
        <f>B102</f>
        <v>总价（元）</v>
      </c>
      <c r="C106" s="1055" t="e">
        <f ca="1">H124</f>
        <v>#REF!</v>
      </c>
      <c r="D106" s="2045"/>
      <c r="E106" s="1059"/>
      <c r="F106" s="3380" t="s">
        <v>1958</v>
      </c>
      <c r="G106" s="3381"/>
      <c r="H106" s="1880" t="str">
        <f>C111</f>
        <v>总额（元）</v>
      </c>
      <c r="I106" s="3069">
        <f>SUMIF(I107:I109,"&lt;9E307")</f>
        <v>0</v>
      </c>
    </row>
    <row r="107" spans="1:35" ht="15.75" thickBot="1">
      <c r="A107" s="3375"/>
      <c r="B107" s="1679" t="s">
        <v>1854</v>
      </c>
      <c r="C107" s="1057" t="e">
        <f>I124</f>
        <v>#DIV/0!</v>
      </c>
      <c r="D107" s="1058"/>
      <c r="E107" s="1059"/>
      <c r="F107" s="3343" t="s">
        <v>1859</v>
      </c>
      <c r="G107" s="3344"/>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52" t="s">
        <v>2759</v>
      </c>
      <c r="B108" s="3453"/>
      <c r="C108" s="3453"/>
      <c r="D108" s="3454"/>
      <c r="E108" s="1059"/>
      <c r="F108" s="3343" t="s">
        <v>1860</v>
      </c>
      <c r="G108" s="3344"/>
      <c r="H108" s="1880" t="str">
        <f>C113</f>
        <v>总额（元）</v>
      </c>
      <c r="I108" s="1765">
        <f>C38</f>
        <v>0</v>
      </c>
      <c r="K108" s="2125"/>
    </row>
    <row r="109" spans="1:35" ht="15">
      <c r="A109" s="3382" t="s">
        <v>1863</v>
      </c>
      <c r="B109" s="3383"/>
      <c r="C109" s="1879" t="str">
        <f>B102</f>
        <v>总价（元）</v>
      </c>
      <c r="D109" s="1766" t="e">
        <f ca="1">H124</f>
        <v>#REF!</v>
      </c>
      <c r="E109" s="1059"/>
      <c r="F109" s="3343" t="s">
        <v>1861</v>
      </c>
      <c r="G109" s="3344"/>
      <c r="H109" s="1880" t="str">
        <f>C114</f>
        <v>总额（元）</v>
      </c>
      <c r="I109" s="1765">
        <f>C39</f>
        <v>0</v>
      </c>
    </row>
    <row r="110" spans="1:35" ht="14.25">
      <c r="A110" s="3382"/>
      <c r="B110" s="3383"/>
      <c r="C110" s="1879" t="s">
        <v>1854</v>
      </c>
      <c r="D110" s="1767" t="e">
        <f>I124</f>
        <v>#DIV/0!</v>
      </c>
      <c r="E110" s="1059"/>
      <c r="F110" s="3341"/>
      <c r="G110" s="3342"/>
      <c r="H110" s="3378"/>
      <c r="I110" s="3379"/>
    </row>
    <row r="111" spans="1:35" ht="28.5" customHeight="1">
      <c r="A111" s="3436" t="s">
        <v>1958</v>
      </c>
      <c r="B111" s="3437"/>
      <c r="C111" s="1880" t="str">
        <f>IF(H19="元","总额（元）","总额（万元）")</f>
        <v>总额（元）</v>
      </c>
      <c r="D111" s="1766">
        <f>IF(D37="正常操作",I107+I108+I109,I108+I109)</f>
        <v>0</v>
      </c>
      <c r="E111" s="1059"/>
      <c r="F111" s="3321" t="str">
        <f>IF(项目基本情况!F5="已注销","——","3.房地产抵押价值")</f>
        <v>3.房地产抵押价值</v>
      </c>
      <c r="G111" s="3322"/>
      <c r="H111" s="3080" t="str">
        <f>C115</f>
        <v>总价（元）</v>
      </c>
      <c r="I111" s="3069" t="e">
        <f ca="1">IF(F111="——","——",I103-I106)</f>
        <v>#REF!</v>
      </c>
    </row>
    <row r="112" spans="1:35" ht="14.25">
      <c r="A112" s="3343" t="s">
        <v>1859</v>
      </c>
      <c r="B112" s="3344"/>
      <c r="C112" s="1880" t="str">
        <f>C111</f>
        <v>总额（元）</v>
      </c>
      <c r="D112" s="855">
        <f>IF(D37="同一抵押权人同一抵押物续贷",C37&amp;"（未扣减，详见特别提示）",C37)</f>
        <v>0</v>
      </c>
      <c r="E112" s="1059"/>
      <c r="F112" s="3323"/>
      <c r="G112" s="3324"/>
      <c r="H112" s="1879" t="s">
        <v>1854</v>
      </c>
      <c r="I112" s="3077" t="e">
        <f ca="1">D116</f>
        <v>#REF!</v>
      </c>
    </row>
    <row r="113" spans="1:26" ht="15.75">
      <c r="A113" s="3343" t="s">
        <v>1860</v>
      </c>
      <c r="B113" s="3344"/>
      <c r="C113" s="1880" t="str">
        <f>C111</f>
        <v>总额（元）</v>
      </c>
      <c r="D113" s="855">
        <f>C38</f>
        <v>0</v>
      </c>
      <c r="E113" s="1059"/>
      <c r="F113" s="3321" t="str">
        <f>IF(项目基本情况!F5="已注销及未注销","4.抵押担保权已注销时的房地产抵押价值",IF(项目基本情况!F5="已注销","3.抵押担保权已注销时的房地产抵押价值","——"))</f>
        <v>——</v>
      </c>
      <c r="G113" s="3322"/>
      <c r="H113" s="3080" t="str">
        <f>C117</f>
        <v>总价（元）</v>
      </c>
      <c r="I113" s="3069" t="str">
        <f>IF(F113="——","——",I103-I108-I109)</f>
        <v>——</v>
      </c>
    </row>
    <row r="114" spans="1:26" ht="14.25">
      <c r="A114" s="3343" t="s">
        <v>1861</v>
      </c>
      <c r="B114" s="3344"/>
      <c r="C114" s="1880" t="str">
        <f>C111</f>
        <v>总额（元）</v>
      </c>
      <c r="D114" s="855">
        <f>C39</f>
        <v>0</v>
      </c>
      <c r="E114" s="1059"/>
      <c r="F114" s="3323"/>
      <c r="G114" s="3324"/>
      <c r="H114" s="1879" t="s">
        <v>1854</v>
      </c>
      <c r="I114" s="3070" t="str">
        <f>D118</f>
        <v>——</v>
      </c>
    </row>
    <row r="115" spans="1:26" ht="15.75">
      <c r="A115" s="3382" t="str">
        <f>IF(项目基本情况!F5="已注销","——","3.房地产抵押价值")</f>
        <v>3.房地产抵押价值</v>
      </c>
      <c r="B115" s="3383"/>
      <c r="C115" s="1879" t="str">
        <f>B102</f>
        <v>总价（元）</v>
      </c>
      <c r="D115" s="1766" t="e">
        <f ca="1">IF(A115="——","——",D109-D111)</f>
        <v>#REF!</v>
      </c>
      <c r="E115" s="1059"/>
      <c r="F115" s="3321" t="str">
        <f>IF(项目基本情况!G5="抵押净值",IF(OR(项目基本情况!F5="已注销",项目基本情况!F5="房地产抵押价值"),"4.抵押净值","5.抵押净值"),"——")</f>
        <v>——</v>
      </c>
      <c r="G115" s="3322"/>
      <c r="H115" s="1879" t="str">
        <f>C119</f>
        <v>总价（元）</v>
      </c>
      <c r="I115" s="3069" t="str">
        <f>IF(F115="——","——",N60)</f>
        <v>——</v>
      </c>
    </row>
    <row r="116" spans="1:26" ht="15.75" thickBot="1">
      <c r="A116" s="3382"/>
      <c r="B116" s="3383"/>
      <c r="C116" s="1879" t="s">
        <v>1854</v>
      </c>
      <c r="D116" s="1767" t="e">
        <f ca="1">ROUND(IF(D115=D109,D110,IF(H19="元",D115/B124,D115*10000/B124)),0)</f>
        <v>#REF!</v>
      </c>
      <c r="E116" s="1059"/>
      <c r="F116" s="3425"/>
      <c r="G116" s="3426"/>
      <c r="H116" s="1881" t="s">
        <v>1854</v>
      </c>
      <c r="I116" s="3079" t="e">
        <f ca="1">D120</f>
        <v>#REF!</v>
      </c>
    </row>
    <row r="117" spans="1:26" ht="15">
      <c r="A117" s="3382" t="str">
        <f>IF(项目基本情况!F5="已注销及未注销","4.抵押担保权已注销时的房地产抵押价值",IF(项目基本情况!F5="已注销","3.抵押担保权已注销时的房地产抵押价值","——"))</f>
        <v>——</v>
      </c>
      <c r="B117" s="3383"/>
      <c r="C117" s="1879" t="str">
        <f>B102</f>
        <v>总价（元）</v>
      </c>
      <c r="D117" s="1766" t="str">
        <f>IF(A117="——","——",D109-D113-D114)</f>
        <v>——</v>
      </c>
      <c r="E117" s="1059"/>
      <c r="F117" s="3316"/>
      <c r="G117" s="3316"/>
      <c r="H117" s="3361"/>
      <c r="I117" s="3361"/>
      <c r="N117" s="1890"/>
      <c r="O117" s="1890"/>
    </row>
    <row r="118" spans="1:26" s="1226" customFormat="1" ht="14.25">
      <c r="A118" s="3382"/>
      <c r="B118" s="3383"/>
      <c r="C118" s="1879" t="s">
        <v>1854</v>
      </c>
      <c r="D118" s="1767" t="str">
        <f>IF(A117="——","——",IF(H19="元",ROUND(D117/B124,0),ROUND(D117*10000/B124,0)))</f>
        <v>——</v>
      </c>
      <c r="E118" s="1059"/>
      <c r="F118" s="3455" t="str">
        <f>IF(B32="总价","（以上估价结果中楼面单价为总价除以建筑面积得出）","（以上估价结果中总价为楼面单价乘以建筑面积得出）")</f>
        <v>（以上估价结果中总价为楼面单价乘以建筑面积得出）</v>
      </c>
      <c r="G118" s="3455"/>
      <c r="H118" s="3455"/>
      <c r="I118" s="3455"/>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82" t="str">
        <f>IF(项目基本情况!G5="抵押净值",IF(OR(项目基本情况!F5="已注销",项目基本情况!F5="房地产抵押价值"),"4.抵押净值","5.抵押净值"),"——")</f>
        <v>——</v>
      </c>
      <c r="B119" s="3383"/>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434"/>
      <c r="B120" s="3435"/>
      <c r="C120" s="1881" t="s">
        <v>1854</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62" t="s">
        <v>2890</v>
      </c>
      <c r="B121" s="3363"/>
      <c r="C121" s="3363"/>
      <c r="D121" s="3363"/>
      <c r="E121" s="3363"/>
      <c r="F121" s="3363"/>
      <c r="G121" s="3363"/>
      <c r="H121" s="3363"/>
      <c r="I121" s="336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333" t="s">
        <v>3</v>
      </c>
      <c r="B122" s="3331" t="s">
        <v>1883</v>
      </c>
      <c r="C122" s="3331" t="s">
        <v>698</v>
      </c>
      <c r="D122" s="3339" t="s">
        <v>211</v>
      </c>
      <c r="E122" s="3340"/>
      <c r="F122" s="3329" t="s">
        <v>680</v>
      </c>
      <c r="G122" s="3329"/>
      <c r="H122" s="3329" t="s">
        <v>4</v>
      </c>
      <c r="I122" s="3330"/>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333"/>
      <c r="B123" s="3332"/>
      <c r="C123" s="3332"/>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333" t="s">
        <v>7</v>
      </c>
      <c r="B125" s="3329"/>
      <c r="C125" s="3329"/>
      <c r="D125" s="3366" t="str">
        <f>IF(H19="元",NUMBERSTRING(INT(D124),2)&amp;"元整",NUMBERSTRING(INT(D124*10000),2)&amp;"元整")</f>
        <v>零元整</v>
      </c>
      <c r="E125" s="3367"/>
      <c r="F125" s="3366" t="str">
        <f>IF(H19="元",NUMBERSTRING(INT(F124),2)&amp;"元整",NUMBERSTRING(INT(F124*10000),2)&amp;"元整")</f>
        <v>零元整</v>
      </c>
      <c r="G125" s="3367"/>
      <c r="H125" s="3366" t="e">
        <f ca="1">IF(H19="元",NUMBERSTRING(INT(H124),2)&amp;"元整",NUMBERSTRING(INT(H124*10000),2)&amp;"元整")</f>
        <v>#REF!</v>
      </c>
      <c r="I125" s="344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68" t="str">
        <f>IF(项目基本情况!D5="房地产市场价值","——",MID(A111,3,LEN(A111)-2))</f>
        <v>估价师所知悉的法定优先受偿款</v>
      </c>
      <c r="B126" s="3369"/>
      <c r="C126" s="3370"/>
      <c r="D126" s="3427">
        <f>I106</f>
        <v>0</v>
      </c>
      <c r="E126" s="3428"/>
      <c r="F126" s="3428"/>
      <c r="G126" s="3428"/>
      <c r="H126" s="3428"/>
      <c r="I126" s="342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71" t="s">
        <v>7</v>
      </c>
      <c r="B127" s="3372"/>
      <c r="C127" s="3373"/>
      <c r="D127" s="3430">
        <f>H110</f>
        <v>0</v>
      </c>
      <c r="E127" s="3431"/>
      <c r="F127" s="3431"/>
      <c r="G127" s="3431"/>
      <c r="H127" s="3431"/>
      <c r="I127" s="343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357" t="str">
        <f>IF(项目基本情况!D5="房地产市场价值","——",MID(A115,3,LEN(A115)-2))</f>
        <v>房地产抵押价值</v>
      </c>
      <c r="B128" s="3358"/>
      <c r="C128" s="3358"/>
      <c r="D128" s="3427" t="e">
        <f ca="1">I111</f>
        <v>#REF!</v>
      </c>
      <c r="E128" s="3428"/>
      <c r="F128" s="3428"/>
      <c r="G128" s="3428"/>
      <c r="H128" s="3428"/>
      <c r="I128" s="342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333" t="s">
        <v>7</v>
      </c>
      <c r="B129" s="3329"/>
      <c r="C129" s="3329"/>
      <c r="D129" s="3430" t="e">
        <f ca="1">I112</f>
        <v>#REF!</v>
      </c>
      <c r="E129" s="3431"/>
      <c r="F129" s="3431"/>
      <c r="G129" s="3431"/>
      <c r="H129" s="3431"/>
      <c r="I129" s="343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357" t="str">
        <f>IF(项目基本情况!D5="房地产市场价值","——",MID(A117,3,LEN(A117)-2))</f>
        <v/>
      </c>
      <c r="B130" s="3358"/>
      <c r="C130" s="3358"/>
      <c r="D130" s="3311" t="str">
        <f>I113</f>
        <v>——</v>
      </c>
      <c r="E130" s="3312"/>
      <c r="F130" s="3312"/>
      <c r="G130" s="3312"/>
      <c r="H130" s="3312"/>
      <c r="I130" s="3313"/>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333" t="s">
        <v>7</v>
      </c>
      <c r="B131" s="3329"/>
      <c r="C131" s="3422"/>
      <c r="D131" s="3360" t="str">
        <f>I114</f>
        <v>——</v>
      </c>
      <c r="E131" s="3360"/>
      <c r="F131" s="3360"/>
      <c r="G131" s="3360"/>
      <c r="H131" s="3360"/>
      <c r="I131" s="336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357" t="str">
        <f>IF(项目基本情况!D5="房地产市场价值","——",MID(F115,3,LEN(F115)-2))</f>
        <v/>
      </c>
      <c r="B132" s="3358"/>
      <c r="C132" s="3359"/>
      <c r="D132" s="3433" t="str">
        <f>I115</f>
        <v>——</v>
      </c>
      <c r="E132" s="3433"/>
      <c r="F132" s="3433"/>
      <c r="G132" s="3433"/>
      <c r="H132" s="3433"/>
      <c r="I132" s="3433"/>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438" t="s">
        <v>7</v>
      </c>
      <c r="B133" s="3439"/>
      <c r="C133" s="3439"/>
      <c r="D133" s="3443">
        <f>H117</f>
        <v>0</v>
      </c>
      <c r="E133" s="3444"/>
      <c r="F133" s="3444"/>
      <c r="G133" s="3444"/>
      <c r="H133" s="3444"/>
      <c r="I133" s="344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420" t="str">
        <f>IF(B32="总价","（以上估价结果中楼面单价为总价除以建筑面积得出）","（以上估价结果中总价为楼面单价乘以建筑面积得出）")</f>
        <v>（以上估价结果中总价为楼面单价乘以建筑面积得出）</v>
      </c>
      <c r="B135" s="3420"/>
      <c r="C135" s="3420"/>
      <c r="D135" s="3420"/>
      <c r="E135" s="3420"/>
      <c r="F135" s="3420"/>
      <c r="G135" s="3420"/>
      <c r="H135" s="3420"/>
      <c r="I135" s="3420"/>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Normal="100" workbookViewId="0">
      <selection activeCell="K25" sqref="K2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8"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2932</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IF(D2="——",IF(C2="元",ROUND(C49*D3,0),ROUND(C49*D3/10000,0)),IF(C2="元",ROUND(C49*D3,0),ROUND(C49*D3/10000,0))-E2)</f>
        <v>19262144</v>
      </c>
      <c r="C2" s="32" t="str">
        <f>'数据-取费表'!B3</f>
        <v>元</v>
      </c>
      <c r="D2" s="2886" t="s">
        <v>2896</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55175</v>
      </c>
      <c r="C3" s="89" t="s">
        <v>896</v>
      </c>
      <c r="D3" s="596">
        <f>IF(C1="仅计算典型户型",'数据-取费表'!E5,'数据-取费表'!B5)</f>
        <v>349.11</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61" t="s">
        <v>898</v>
      </c>
      <c r="D4" s="3462"/>
      <c r="E4" s="3463" t="s">
        <v>899</v>
      </c>
      <c r="F4" s="3464"/>
      <c r="G4" s="3461" t="s">
        <v>900</v>
      </c>
      <c r="H4" s="3462"/>
      <c r="I4" s="3461" t="s">
        <v>901</v>
      </c>
      <c r="J4" s="3462"/>
      <c r="K4" s="92" t="s">
        <v>902</v>
      </c>
      <c r="L4" s="2162"/>
      <c r="M4" s="2163"/>
      <c r="N4" s="2163"/>
      <c r="O4" s="2163"/>
      <c r="P4" s="3465" t="s">
        <v>897</v>
      </c>
      <c r="Q4" s="3466"/>
      <c r="R4" s="3471" t="s">
        <v>899</v>
      </c>
      <c r="S4" s="3472"/>
      <c r="T4" s="3471" t="s">
        <v>900</v>
      </c>
      <c r="U4" s="3472"/>
      <c r="V4" s="3477" t="s">
        <v>901</v>
      </c>
      <c r="W4" s="3477"/>
      <c r="X4" s="1133"/>
      <c r="Y4" s="3471" t="s">
        <v>897</v>
      </c>
      <c r="Z4" s="3472"/>
      <c r="AA4" s="3458" t="s">
        <v>899</v>
      </c>
      <c r="AB4" s="3458" t="s">
        <v>900</v>
      </c>
      <c r="AC4" s="3458" t="s">
        <v>901</v>
      </c>
    </row>
    <row r="5" spans="1:29">
      <c r="A5" s="93"/>
      <c r="B5" s="94"/>
      <c r="C5" s="3478" t="s">
        <v>2933</v>
      </c>
      <c r="D5" s="3479"/>
      <c r="E5" s="3478" t="s">
        <v>2933</v>
      </c>
      <c r="F5" s="3479"/>
      <c r="G5" s="3478" t="s">
        <v>2933</v>
      </c>
      <c r="H5" s="3479"/>
      <c r="I5" s="3478" t="s">
        <v>2933</v>
      </c>
      <c r="J5" s="3479"/>
      <c r="K5" s="99"/>
      <c r="L5" s="2162"/>
      <c r="M5" s="2163"/>
      <c r="N5" s="2163"/>
      <c r="O5" s="2163"/>
      <c r="P5" s="3467"/>
      <c r="Q5" s="3468"/>
      <c r="R5" s="3473"/>
      <c r="S5" s="3474"/>
      <c r="T5" s="3473"/>
      <c r="U5" s="3474"/>
      <c r="V5" s="3477"/>
      <c r="W5" s="3477"/>
      <c r="X5" s="1133"/>
      <c r="Y5" s="3473"/>
      <c r="Z5" s="3474"/>
      <c r="AA5" s="3459"/>
      <c r="AB5" s="3459"/>
      <c r="AC5" s="3459"/>
    </row>
    <row r="6" spans="1:29" ht="14.25" thickBot="1">
      <c r="A6" s="95"/>
      <c r="B6" s="96"/>
      <c r="C6" s="3480" t="s">
        <v>903</v>
      </c>
      <c r="D6" s="3481"/>
      <c r="E6" s="3482" t="s">
        <v>903</v>
      </c>
      <c r="F6" s="3483"/>
      <c r="G6" s="3480" t="s">
        <v>903</v>
      </c>
      <c r="H6" s="3481"/>
      <c r="I6" s="3480" t="s">
        <v>903</v>
      </c>
      <c r="J6" s="3481"/>
      <c r="K6" s="99" t="s">
        <v>904</v>
      </c>
      <c r="L6" s="2162"/>
      <c r="M6" s="2163"/>
      <c r="N6" s="2163"/>
      <c r="O6" s="2163"/>
      <c r="P6" s="3469"/>
      <c r="Q6" s="3470"/>
      <c r="R6" s="3473"/>
      <c r="S6" s="3474"/>
      <c r="T6" s="3475"/>
      <c r="U6" s="3476"/>
      <c r="V6" s="3477"/>
      <c r="W6" s="3477"/>
      <c r="X6" s="1133"/>
      <c r="Y6" s="3475"/>
      <c r="Z6" s="3476"/>
      <c r="AA6" s="3460"/>
      <c r="AB6" s="3460"/>
      <c r="AC6" s="3460"/>
    </row>
    <row r="7" spans="1:29" s="11" customFormat="1" ht="15" thickBot="1">
      <c r="A7" s="872" t="s">
        <v>905</v>
      </c>
      <c r="B7" s="873"/>
      <c r="C7" s="874">
        <f>'数据-取费表'!B2</f>
        <v>39996</v>
      </c>
      <c r="D7" s="608">
        <v>100</v>
      </c>
      <c r="E7" s="875">
        <v>40005</v>
      </c>
      <c r="F7" s="610">
        <f>SUMIF(58:58,YEAR(E7)&amp;"-"&amp;MONTH(E7),59:59)</f>
        <v>100</v>
      </c>
      <c r="G7" s="875">
        <v>40000</v>
      </c>
      <c r="H7" s="608">
        <f>SUMIF(58:58,YEAR(G7)&amp;"-"&amp;MONTH(G7),59:59)</f>
        <v>100</v>
      </c>
      <c r="I7" s="875">
        <v>40147</v>
      </c>
      <c r="J7" s="608">
        <f>SUMIF(58:58,YEAR(I7)&amp;"-"&amp;MONTH(I7),59:59)</f>
        <v>104</v>
      </c>
      <c r="K7" s="1134"/>
      <c r="L7" s="2164"/>
      <c r="M7" s="2106"/>
      <c r="N7" s="2106"/>
      <c r="O7" s="2106"/>
      <c r="P7" s="3491" t="s">
        <v>905</v>
      </c>
      <c r="Q7" s="3493"/>
      <c r="R7" s="1135" t="s">
        <v>117</v>
      </c>
      <c r="S7" s="1136">
        <f t="shared" ref="S7:S15" si="0">F7</f>
        <v>100</v>
      </c>
      <c r="T7" s="1135" t="s">
        <v>117</v>
      </c>
      <c r="U7" s="1136">
        <f t="shared" ref="U7:U15" si="1">H7</f>
        <v>100</v>
      </c>
      <c r="V7" s="1135" t="s">
        <v>117</v>
      </c>
      <c r="W7" s="1136">
        <f t="shared" ref="W7:W15" si="2">J7</f>
        <v>104</v>
      </c>
      <c r="X7" s="184"/>
      <c r="Y7" s="3491" t="s">
        <v>905</v>
      </c>
      <c r="Z7" s="3492"/>
      <c r="AA7" s="1137">
        <f>D7/F7</f>
        <v>1</v>
      </c>
      <c r="AB7" s="1137">
        <f>D7/H7</f>
        <v>1</v>
      </c>
      <c r="AC7" s="1137">
        <f>D7/J7</f>
        <v>0.96153846153846156</v>
      </c>
    </row>
    <row r="8" spans="1:29" s="11" customFormat="1" ht="15" thickBot="1">
      <c r="A8" s="872" t="s">
        <v>906</v>
      </c>
      <c r="B8" s="873"/>
      <c r="C8" s="878" t="s">
        <v>907</v>
      </c>
      <c r="D8" s="608">
        <v>100</v>
      </c>
      <c r="E8" s="1138" t="s">
        <v>2934</v>
      </c>
      <c r="F8" s="610">
        <f>SUMIF(61:61,E8,62:62)-SUMIF(61:61,C8,62:62)+100</f>
        <v>100</v>
      </c>
      <c r="G8" s="878" t="s">
        <v>2934</v>
      </c>
      <c r="H8" s="608">
        <f>SUMIF(61:61,G8,62:62)-SUMIF(61:61,C8,62:62)+100</f>
        <v>100</v>
      </c>
      <c r="I8" s="1138" t="s">
        <v>2934</v>
      </c>
      <c r="J8" s="608">
        <f>SUMIF(61:61,I8,62:62)-SUMIF(61:61,C8,62:62)+100</f>
        <v>100</v>
      </c>
      <c r="K8" s="1134"/>
      <c r="L8" s="2164"/>
      <c r="M8" s="2106"/>
      <c r="N8" s="2106"/>
      <c r="O8" s="2106"/>
      <c r="P8" s="3491" t="s">
        <v>906</v>
      </c>
      <c r="Q8" s="3492"/>
      <c r="R8" s="1135" t="s">
        <v>117</v>
      </c>
      <c r="S8" s="1136">
        <f t="shared" si="0"/>
        <v>100</v>
      </c>
      <c r="T8" s="1135" t="s">
        <v>117</v>
      </c>
      <c r="U8" s="1136">
        <f t="shared" si="1"/>
        <v>100</v>
      </c>
      <c r="V8" s="1135" t="s">
        <v>117</v>
      </c>
      <c r="W8" s="1136">
        <f t="shared" si="2"/>
        <v>100</v>
      </c>
      <c r="X8" s="184"/>
      <c r="Y8" s="3491" t="s">
        <v>906</v>
      </c>
      <c r="Z8" s="3492"/>
      <c r="AA8" s="1137">
        <f t="shared" ref="AA8:AA46" si="3">D8/F8</f>
        <v>1</v>
      </c>
      <c r="AB8" s="1137">
        <f t="shared" ref="AB8:AB46" si="4">D8/H8</f>
        <v>1</v>
      </c>
      <c r="AC8" s="1137">
        <f t="shared" ref="AC8:AC46" si="5">D8/J8</f>
        <v>1</v>
      </c>
    </row>
    <row r="9" spans="1:29" s="11" customFormat="1" ht="14.25">
      <c r="A9" s="879" t="s">
        <v>908</v>
      </c>
      <c r="B9" s="20" t="s">
        <v>909</v>
      </c>
      <c r="C9" s="1139" t="s">
        <v>2935</v>
      </c>
      <c r="D9" s="234">
        <v>100</v>
      </c>
      <c r="E9" s="1140" t="s">
        <v>2935</v>
      </c>
      <c r="F9" s="616">
        <f>SUMIF(63:63,E9,64:64)-SUMIF(63:63,C9,64:64)+100</f>
        <v>100</v>
      </c>
      <c r="G9" s="1141" t="s">
        <v>2935</v>
      </c>
      <c r="H9" s="234">
        <f>SUMIF(63:63,G9,64:64)-SUMIF(63:63,C9,64:64)+100</f>
        <v>100</v>
      </c>
      <c r="I9" s="1141" t="s">
        <v>2935</v>
      </c>
      <c r="J9" s="234">
        <f>SUMIF(63:63,I9,64:64)-SUMIF(63:63,C9,64:64)+100</f>
        <v>100</v>
      </c>
      <c r="K9" s="1134"/>
      <c r="L9" s="2164"/>
      <c r="M9" s="2106"/>
      <c r="N9" s="2106"/>
      <c r="O9" s="2106"/>
      <c r="P9" s="3494" t="s">
        <v>63</v>
      </c>
      <c r="Q9" s="2" t="str">
        <f t="shared" ref="Q9:Q15" si="6">B9</f>
        <v>用途</v>
      </c>
      <c r="R9" s="1135" t="s">
        <v>61</v>
      </c>
      <c r="S9" s="1136">
        <f t="shared" si="0"/>
        <v>100</v>
      </c>
      <c r="T9" s="1135" t="s">
        <v>61</v>
      </c>
      <c r="U9" s="1136">
        <f t="shared" si="1"/>
        <v>100</v>
      </c>
      <c r="V9" s="1135" t="s">
        <v>61</v>
      </c>
      <c r="W9" s="1136">
        <f t="shared" si="2"/>
        <v>100</v>
      </c>
      <c r="X9" s="184"/>
      <c r="Y9" s="3329" t="s">
        <v>63</v>
      </c>
      <c r="Z9" s="185" t="str">
        <f t="shared" ref="Z9:Z15" si="7">Q9</f>
        <v>用途</v>
      </c>
      <c r="AA9" s="1137">
        <f t="shared" si="3"/>
        <v>1</v>
      </c>
      <c r="AB9" s="1137">
        <f t="shared" si="4"/>
        <v>1</v>
      </c>
      <c r="AC9" s="1137">
        <f t="shared" si="5"/>
        <v>1</v>
      </c>
    </row>
    <row r="10" spans="1:29" s="39" customFormat="1" ht="27">
      <c r="A10" s="97"/>
      <c r="B10" s="4" t="s">
        <v>104</v>
      </c>
      <c r="C10" s="1142" t="s">
        <v>2936</v>
      </c>
      <c r="D10" s="235">
        <v>100</v>
      </c>
      <c r="E10" s="1143" t="s">
        <v>2936</v>
      </c>
      <c r="F10" s="623">
        <f>SUMIF(65:65,E10,66:66)-SUMIF(65:65,C10,66:66)+100</f>
        <v>100</v>
      </c>
      <c r="G10" s="1142" t="s">
        <v>2936</v>
      </c>
      <c r="H10" s="235">
        <f>SUMIF(65:65,G10,66:66)-SUMIF(65:65,C10,66:66)+100</f>
        <v>100</v>
      </c>
      <c r="I10" s="1142" t="s">
        <v>2936</v>
      </c>
      <c r="J10" s="235">
        <f>SUMIF(65:65,I10,66:66)-SUMIF(65:65,C10,66:66)+100</f>
        <v>100</v>
      </c>
      <c r="K10" s="624"/>
      <c r="L10" s="2165"/>
      <c r="M10" s="2166"/>
      <c r="N10" s="2166"/>
      <c r="O10" s="2166"/>
      <c r="P10" s="3494"/>
      <c r="Q10" s="2" t="str">
        <f t="shared" si="6"/>
        <v>土地使用年限（年）</v>
      </c>
      <c r="R10" s="1135" t="s">
        <v>61</v>
      </c>
      <c r="S10" s="1136">
        <f t="shared" si="0"/>
        <v>100</v>
      </c>
      <c r="T10" s="1135" t="s">
        <v>61</v>
      </c>
      <c r="U10" s="1136">
        <f t="shared" si="1"/>
        <v>100</v>
      </c>
      <c r="V10" s="1135" t="s">
        <v>61</v>
      </c>
      <c r="W10" s="1136">
        <f t="shared" si="2"/>
        <v>100</v>
      </c>
      <c r="X10" s="184"/>
      <c r="Y10" s="3329"/>
      <c r="Z10" s="185" t="str">
        <f t="shared" si="7"/>
        <v>土地使用年限（年）</v>
      </c>
      <c r="AA10" s="1137">
        <f t="shared" si="3"/>
        <v>1</v>
      </c>
      <c r="AB10" s="1137">
        <f t="shared" si="4"/>
        <v>1</v>
      </c>
      <c r="AC10" s="1137">
        <f t="shared" si="5"/>
        <v>1</v>
      </c>
    </row>
    <row r="11" spans="1:29" ht="15">
      <c r="A11" s="98"/>
      <c r="B11" s="4" t="s">
        <v>88</v>
      </c>
      <c r="C11" s="627">
        <v>2.58</v>
      </c>
      <c r="D11" s="235">
        <v>100</v>
      </c>
      <c r="E11" s="628">
        <v>2.58</v>
      </c>
      <c r="F11" s="623">
        <f>LOOKUP(E11,68:68,69:69)-LOOKUP(C11,68:68,69:69)+100</f>
        <v>100</v>
      </c>
      <c r="G11" s="627">
        <v>2.58</v>
      </c>
      <c r="H11" s="235">
        <f>LOOKUP(G11,68:68,69:69)-LOOKUP(C11,68:68,69:69)+100</f>
        <v>100</v>
      </c>
      <c r="I11" s="627">
        <v>2.58</v>
      </c>
      <c r="J11" s="235">
        <f>LOOKUP(I11,68:68,69:69)-LOOKUP(C11,68:68,69:69)+100</f>
        <v>100</v>
      </c>
      <c r="K11" s="624"/>
      <c r="L11" s="2167"/>
      <c r="M11" s="2163"/>
      <c r="N11" s="2163"/>
      <c r="O11" s="2163"/>
      <c r="P11" s="3494"/>
      <c r="Q11" s="2" t="str">
        <f t="shared" si="6"/>
        <v>容积率</v>
      </c>
      <c r="R11" s="1135" t="s">
        <v>99</v>
      </c>
      <c r="S11" s="1136">
        <f t="shared" si="0"/>
        <v>100</v>
      </c>
      <c r="T11" s="1135" t="s">
        <v>99</v>
      </c>
      <c r="U11" s="1136">
        <f t="shared" si="1"/>
        <v>100</v>
      </c>
      <c r="V11" s="1135" t="s">
        <v>99</v>
      </c>
      <c r="W11" s="1136">
        <f t="shared" si="2"/>
        <v>100</v>
      </c>
      <c r="X11" s="184"/>
      <c r="Y11" s="3329"/>
      <c r="Z11" s="185" t="str">
        <f t="shared" si="7"/>
        <v>容积率</v>
      </c>
      <c r="AA11" s="1137">
        <f t="shared" si="3"/>
        <v>1</v>
      </c>
      <c r="AB11" s="1137">
        <f t="shared" si="4"/>
        <v>1</v>
      </c>
      <c r="AC11" s="1137">
        <f t="shared" si="5"/>
        <v>1</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94"/>
      <c r="Q12" s="2">
        <f t="shared" si="6"/>
        <v>111</v>
      </c>
      <c r="R12" s="1135" t="s">
        <v>99</v>
      </c>
      <c r="S12" s="1136">
        <f t="shared" si="0"/>
        <v>100</v>
      </c>
      <c r="T12" s="1135" t="s">
        <v>99</v>
      </c>
      <c r="U12" s="1136">
        <f t="shared" si="1"/>
        <v>100</v>
      </c>
      <c r="V12" s="1135" t="s">
        <v>99</v>
      </c>
      <c r="W12" s="1136">
        <f t="shared" si="2"/>
        <v>100</v>
      </c>
      <c r="X12" s="184"/>
      <c r="Y12" s="33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94"/>
      <c r="Q13" s="2">
        <f t="shared" si="6"/>
        <v>111</v>
      </c>
      <c r="R13" s="1135" t="s">
        <v>99</v>
      </c>
      <c r="S13" s="1136">
        <f t="shared" si="0"/>
        <v>100</v>
      </c>
      <c r="T13" s="1135" t="s">
        <v>99</v>
      </c>
      <c r="U13" s="1136">
        <f t="shared" si="1"/>
        <v>100</v>
      </c>
      <c r="V13" s="1135" t="s">
        <v>99</v>
      </c>
      <c r="W13" s="1136">
        <f t="shared" si="2"/>
        <v>100</v>
      </c>
      <c r="X13" s="184"/>
      <c r="Y13" s="3329"/>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94"/>
      <c r="Q14" s="2">
        <f t="shared" si="6"/>
        <v>111</v>
      </c>
      <c r="R14" s="1135" t="s">
        <v>99</v>
      </c>
      <c r="S14" s="1136">
        <f t="shared" si="0"/>
        <v>100</v>
      </c>
      <c r="T14" s="1135" t="s">
        <v>99</v>
      </c>
      <c r="U14" s="1136">
        <f t="shared" si="1"/>
        <v>100</v>
      </c>
      <c r="V14" s="1135" t="s">
        <v>99</v>
      </c>
      <c r="W14" s="1136">
        <f t="shared" si="2"/>
        <v>100</v>
      </c>
      <c r="X14" s="184"/>
      <c r="Y14" s="3329"/>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估价对象周边居住用地比例大、居住小区规模和社区发展完善程度好，综合评价居住社区成熟度好</v>
      </c>
      <c r="D15" s="638">
        <v>100</v>
      </c>
      <c r="E15" s="42"/>
      <c r="F15" s="640">
        <f>SUMIF(76:76,E16,77:77)-SUMIF(76:76,C16,77:77)+100</f>
        <v>100</v>
      </c>
      <c r="G15" s="43"/>
      <c r="H15" s="638">
        <f>SUMIF(76:76,G16,77:77)-SUMIF(76:76,C16,77:77)+100</f>
        <v>100</v>
      </c>
      <c r="I15" s="42"/>
      <c r="J15" s="638">
        <f>SUMIF(76:76,I16,77:77)-SUMIF(76:76,C16,77:77)+100</f>
        <v>100</v>
      </c>
      <c r="K15" s="642">
        <v>2</v>
      </c>
      <c r="L15" s="2168"/>
      <c r="M15" s="2163"/>
      <c r="N15" s="2163"/>
      <c r="O15" s="2163"/>
      <c r="P15" s="3497" t="s">
        <v>65</v>
      </c>
      <c r="Q15" s="1145" t="str">
        <f t="shared" si="6"/>
        <v>居住社区成熟度</v>
      </c>
      <c r="R15" s="1146" t="s">
        <v>99</v>
      </c>
      <c r="S15" s="1147">
        <f t="shared" si="0"/>
        <v>100</v>
      </c>
      <c r="T15" s="1146" t="s">
        <v>99</v>
      </c>
      <c r="U15" s="1147">
        <f t="shared" si="1"/>
        <v>100</v>
      </c>
      <c r="V15" s="1146" t="s">
        <v>99</v>
      </c>
      <c r="W15" s="1147">
        <f t="shared" si="2"/>
        <v>100</v>
      </c>
      <c r="X15" s="1133"/>
      <c r="Y15" s="3484" t="s">
        <v>65</v>
      </c>
      <c r="Z15" s="1148" t="str">
        <f t="shared" si="7"/>
        <v>居住社区成熟度</v>
      </c>
      <c r="AA15" s="1149">
        <f t="shared" si="3"/>
        <v>1</v>
      </c>
      <c r="AB15" s="1149">
        <f t="shared" si="4"/>
        <v>1</v>
      </c>
      <c r="AC15" s="1149">
        <f t="shared" si="5"/>
        <v>1</v>
      </c>
    </row>
    <row r="16" spans="1:29" ht="14.25">
      <c r="A16" s="98"/>
      <c r="B16" s="106"/>
      <c r="C16" s="44" t="s">
        <v>101</v>
      </c>
      <c r="D16" s="645"/>
      <c r="E16" s="45" t="s">
        <v>101</v>
      </c>
      <c r="F16" s="647"/>
      <c r="G16" s="46" t="s">
        <v>101</v>
      </c>
      <c r="H16" s="648"/>
      <c r="I16" s="45" t="s">
        <v>101</v>
      </c>
      <c r="J16" s="645"/>
      <c r="K16" s="109"/>
      <c r="L16" s="2168"/>
      <c r="M16" s="2163"/>
      <c r="N16" s="2163"/>
      <c r="O16" s="2163"/>
      <c r="P16" s="3498"/>
      <c r="Q16" s="1145"/>
      <c r="R16" s="1146"/>
      <c r="S16" s="1147"/>
      <c r="T16" s="1146"/>
      <c r="U16" s="1147"/>
      <c r="V16" s="1146"/>
      <c r="W16" s="1147"/>
      <c r="X16" s="1133"/>
      <c r="Y16" s="3485"/>
      <c r="Z16" s="1148"/>
      <c r="AA16" s="1149">
        <v>1</v>
      </c>
      <c r="AB16" s="1149">
        <v>1</v>
      </c>
      <c r="AC16" s="1149">
        <v>1</v>
      </c>
    </row>
    <row r="17" spans="1:29" ht="81">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98"/>
      <c r="Q17" s="1145" t="str">
        <f>B17</f>
        <v>交通便捷度</v>
      </c>
      <c r="R17" s="1146" t="s">
        <v>99</v>
      </c>
      <c r="S17" s="1147">
        <f>F17</f>
        <v>100</v>
      </c>
      <c r="T17" s="1146" t="s">
        <v>99</v>
      </c>
      <c r="U17" s="1147">
        <f>H17</f>
        <v>100</v>
      </c>
      <c r="V17" s="1146" t="s">
        <v>99</v>
      </c>
      <c r="W17" s="1147">
        <f>J17</f>
        <v>100</v>
      </c>
      <c r="X17" s="1133"/>
      <c r="Y17" s="3485"/>
      <c r="Z17" s="1148" t="str">
        <f>Q17</f>
        <v>交通便捷度</v>
      </c>
      <c r="AA17" s="1149">
        <f t="shared" si="3"/>
        <v>1</v>
      </c>
      <c r="AB17" s="1149">
        <f t="shared" si="4"/>
        <v>1</v>
      </c>
      <c r="AC17" s="1149">
        <f t="shared" si="5"/>
        <v>1</v>
      </c>
    </row>
    <row r="18" spans="1:29" ht="14.25">
      <c r="A18" s="98"/>
      <c r="B18" s="899"/>
      <c r="C18" s="49" t="s">
        <v>101</v>
      </c>
      <c r="D18" s="648"/>
      <c r="E18" s="50" t="s">
        <v>101</v>
      </c>
      <c r="F18" s="651"/>
      <c r="G18" s="51" t="s">
        <v>101</v>
      </c>
      <c r="H18" s="645"/>
      <c r="I18" s="50" t="s">
        <v>101</v>
      </c>
      <c r="J18" s="645"/>
      <c r="K18" s="109"/>
      <c r="L18" s="2168"/>
      <c r="M18" s="2163"/>
      <c r="N18" s="2163"/>
      <c r="O18" s="2163"/>
      <c r="P18" s="3498"/>
      <c r="Q18" s="1145"/>
      <c r="R18" s="1146"/>
      <c r="S18" s="1147"/>
      <c r="T18" s="1146"/>
      <c r="U18" s="1147"/>
      <c r="V18" s="1146"/>
      <c r="W18" s="1147"/>
      <c r="X18" s="1133"/>
      <c r="Y18" s="3485"/>
      <c r="Z18" s="1148"/>
      <c r="AA18" s="1149">
        <v>1</v>
      </c>
      <c r="AB18" s="1149">
        <v>1</v>
      </c>
      <c r="AC18" s="1149">
        <v>1</v>
      </c>
    </row>
    <row r="19" spans="1:29" ht="40.5">
      <c r="A19" s="98"/>
      <c r="B19" s="1150" t="s">
        <v>2530</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98"/>
      <c r="Q19" s="1145" t="str">
        <f>B19</f>
        <v>公共配套设施</v>
      </c>
      <c r="R19" s="1146" t="s">
        <v>99</v>
      </c>
      <c r="S19" s="1147">
        <f>F19</f>
        <v>100</v>
      </c>
      <c r="T19" s="1146" t="s">
        <v>99</v>
      </c>
      <c r="U19" s="1147">
        <f>H19</f>
        <v>100</v>
      </c>
      <c r="V19" s="1146" t="s">
        <v>99</v>
      </c>
      <c r="W19" s="1147">
        <f>J19</f>
        <v>100</v>
      </c>
      <c r="X19" s="1133"/>
      <c r="Y19" s="3485"/>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98"/>
      <c r="Q20" s="1145"/>
      <c r="R20" s="1146"/>
      <c r="S20" s="1147"/>
      <c r="T20" s="1146"/>
      <c r="U20" s="1147"/>
      <c r="V20" s="1146"/>
      <c r="W20" s="1147"/>
      <c r="X20" s="1133"/>
      <c r="Y20" s="3485"/>
      <c r="Z20" s="1148"/>
      <c r="AA20" s="1149">
        <v>1</v>
      </c>
      <c r="AB20" s="1149">
        <v>1</v>
      </c>
      <c r="AC20" s="1149">
        <v>1</v>
      </c>
    </row>
    <row r="21" spans="1:29" ht="47.25" customHeight="1">
      <c r="A21" s="98"/>
      <c r="B21" s="1205" t="s">
        <v>2531</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98"/>
      <c r="Q21" s="2548" t="str">
        <f>B21</f>
        <v>基础设施水平</v>
      </c>
      <c r="R21" s="1146" t="s">
        <v>99</v>
      </c>
      <c r="S21" s="1147">
        <f>F21</f>
        <v>100</v>
      </c>
      <c r="T21" s="1146" t="s">
        <v>99</v>
      </c>
      <c r="U21" s="1147">
        <f>H21</f>
        <v>100</v>
      </c>
      <c r="V21" s="1146" t="s">
        <v>99</v>
      </c>
      <c r="W21" s="1147">
        <f>J21</f>
        <v>100</v>
      </c>
      <c r="X21" s="2546"/>
      <c r="Y21" s="3485"/>
      <c r="Z21" s="2547" t="str">
        <f>Q21</f>
        <v>基础设施水平</v>
      </c>
      <c r="AA21" s="1149">
        <f t="shared" ref="AA21" si="8">D21/F21</f>
        <v>1</v>
      </c>
      <c r="AB21" s="1149">
        <f t="shared" ref="AB21" si="9">D21/H21</f>
        <v>1</v>
      </c>
      <c r="AC21" s="1149">
        <f t="shared" ref="AC21" si="10">D21/J21</f>
        <v>1</v>
      </c>
    </row>
    <row r="22" spans="1:29" ht="14.25">
      <c r="A22" s="98"/>
      <c r="B22" s="1205"/>
      <c r="C22" s="49" t="s">
        <v>2945</v>
      </c>
      <c r="D22" s="645"/>
      <c r="E22" s="44" t="s">
        <v>2945</v>
      </c>
      <c r="F22" s="647"/>
      <c r="G22" s="44" t="s">
        <v>2945</v>
      </c>
      <c r="H22" s="645"/>
      <c r="I22" s="44" t="s">
        <v>2945</v>
      </c>
      <c r="J22" s="645"/>
      <c r="K22" s="2557"/>
      <c r="L22" s="2168"/>
      <c r="M22" s="2163"/>
      <c r="N22" s="2163"/>
      <c r="O22" s="2163"/>
      <c r="P22" s="3498"/>
      <c r="Q22" s="2548"/>
      <c r="R22" s="1146"/>
      <c r="S22" s="1147"/>
      <c r="T22" s="1146"/>
      <c r="U22" s="1147"/>
      <c r="V22" s="1146"/>
      <c r="W22" s="1147"/>
      <c r="X22" s="2546"/>
      <c r="Y22" s="3485"/>
      <c r="Z22" s="2547"/>
      <c r="AA22" s="1149">
        <v>1</v>
      </c>
      <c r="AB22" s="1149">
        <v>1</v>
      </c>
      <c r="AC22" s="1149">
        <v>1</v>
      </c>
    </row>
    <row r="23" spans="1:29" ht="101.25" customHeight="1">
      <c r="A23" s="98"/>
      <c r="B23" s="1150" t="s">
        <v>68</v>
      </c>
      <c r="C23" s="108"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98"/>
      <c r="Q23" s="1145" t="str">
        <f>B23</f>
        <v>自然及人文环境</v>
      </c>
      <c r="R23" s="1146" t="s">
        <v>99</v>
      </c>
      <c r="S23" s="1147">
        <f>F23</f>
        <v>100</v>
      </c>
      <c r="T23" s="1146" t="s">
        <v>99</v>
      </c>
      <c r="U23" s="1147">
        <f>H23</f>
        <v>100</v>
      </c>
      <c r="V23" s="1146" t="s">
        <v>99</v>
      </c>
      <c r="W23" s="1147">
        <f>J23</f>
        <v>100</v>
      </c>
      <c r="X23" s="1133"/>
      <c r="Y23" s="3485"/>
      <c r="Z23" s="1148" t="str">
        <f>Q23</f>
        <v>自然及人文环境</v>
      </c>
      <c r="AA23" s="1149">
        <f t="shared" si="3"/>
        <v>1</v>
      </c>
      <c r="AB23" s="1149">
        <f t="shared" si="4"/>
        <v>1</v>
      </c>
      <c r="AC23" s="1149">
        <f t="shared" si="5"/>
        <v>1</v>
      </c>
    </row>
    <row r="24" spans="1:29" ht="14.25">
      <c r="A24" s="98"/>
      <c r="B24" s="899"/>
      <c r="C24" s="44" t="s">
        <v>101</v>
      </c>
      <c r="D24" s="645"/>
      <c r="E24" s="45" t="s">
        <v>101</v>
      </c>
      <c r="F24" s="647"/>
      <c r="G24" s="46" t="s">
        <v>101</v>
      </c>
      <c r="H24" s="645"/>
      <c r="I24" s="45" t="s">
        <v>101</v>
      </c>
      <c r="J24" s="645"/>
      <c r="K24" s="109"/>
      <c r="L24" s="2168"/>
      <c r="M24" s="2163"/>
      <c r="N24" s="2163"/>
      <c r="O24" s="2163"/>
      <c r="P24" s="3498"/>
      <c r="Q24" s="1145"/>
      <c r="R24" s="1146"/>
      <c r="S24" s="1147"/>
      <c r="T24" s="1146"/>
      <c r="U24" s="1147"/>
      <c r="V24" s="1146"/>
      <c r="W24" s="1147"/>
      <c r="X24" s="1133"/>
      <c r="Y24" s="3485"/>
      <c r="Z24" s="1148"/>
      <c r="AA24" s="1149">
        <v>1</v>
      </c>
      <c r="AB24" s="1149">
        <v>1</v>
      </c>
      <c r="AC24" s="1149">
        <v>1</v>
      </c>
    </row>
    <row r="25" spans="1:29" ht="15">
      <c r="A25" s="98"/>
      <c r="B25" s="4" t="s">
        <v>2188</v>
      </c>
      <c r="C25" s="54">
        <v>11</v>
      </c>
      <c r="D25" s="633">
        <v>100</v>
      </c>
      <c r="E25" s="55" t="s">
        <v>2947</v>
      </c>
      <c r="F25" s="660">
        <f>SUMIF(86:86,E25,87:87)-SUMIF(86:86,C25,87:87)+100</f>
        <v>96</v>
      </c>
      <c r="G25" s="56" t="s">
        <v>2947</v>
      </c>
      <c r="H25" s="633">
        <f>SUMIF(86:86,G25,87:87)-SUMIF(86:86,C25,87:87)+100</f>
        <v>96</v>
      </c>
      <c r="I25" s="55" t="s">
        <v>2948</v>
      </c>
      <c r="J25" s="633">
        <f>SUMIF(86:86,I25,87:87)-SUMIF(86:86,C25,87:87)+100</f>
        <v>97.5</v>
      </c>
      <c r="K25" s="624">
        <v>0.5</v>
      </c>
      <c r="L25" s="2168"/>
      <c r="M25" s="2163"/>
      <c r="N25" s="2163"/>
      <c r="O25" s="2163"/>
      <c r="P25" s="3498"/>
      <c r="Q25" s="1145" t="str">
        <f t="shared" ref="Q25:Q46" si="11">B25</f>
        <v>楼层-1</v>
      </c>
      <c r="R25" s="1146" t="s">
        <v>99</v>
      </c>
      <c r="S25" s="1147">
        <f>F25</f>
        <v>96</v>
      </c>
      <c r="T25" s="1146" t="s">
        <v>99</v>
      </c>
      <c r="U25" s="1147">
        <f>H25</f>
        <v>96</v>
      </c>
      <c r="V25" s="1146" t="s">
        <v>99</v>
      </c>
      <c r="W25" s="1147">
        <f>J25</f>
        <v>97.5</v>
      </c>
      <c r="X25" s="1133"/>
      <c r="Y25" s="3485"/>
      <c r="Z25" s="1148" t="str">
        <f>Q25</f>
        <v>楼层-1</v>
      </c>
      <c r="AA25" s="1149">
        <f t="shared" si="3"/>
        <v>1.0416666666666667</v>
      </c>
      <c r="AB25" s="1149">
        <f t="shared" si="4"/>
        <v>1.0416666666666667</v>
      </c>
      <c r="AC25" s="1149">
        <f t="shared" si="5"/>
        <v>1.0256410256410255</v>
      </c>
    </row>
    <row r="26" spans="1:29" ht="15">
      <c r="A26" s="98"/>
      <c r="B26" s="4" t="s">
        <v>69</v>
      </c>
      <c r="C26" s="54" t="s">
        <v>2949</v>
      </c>
      <c r="D26" s="633">
        <v>100</v>
      </c>
      <c r="E26" s="55" t="s">
        <v>2949</v>
      </c>
      <c r="F26" s="660">
        <f>SUMIF(88:88,E26,89:89)-SUMIF(88:88,C26,89:89)+100</f>
        <v>100</v>
      </c>
      <c r="G26" s="56" t="s">
        <v>2949</v>
      </c>
      <c r="H26" s="633">
        <f>SUMIF(88:88,G26,89:89)-SUMIF(88:88,C26,89:89)+100</f>
        <v>100</v>
      </c>
      <c r="I26" s="55" t="s">
        <v>2949</v>
      </c>
      <c r="J26" s="633">
        <f>SUMIF(88:88,I26,89:89)-SUMIF(88:88,C26,89:89)+100</f>
        <v>100</v>
      </c>
      <c r="K26" s="624"/>
      <c r="L26" s="2168"/>
      <c r="M26" s="2163"/>
      <c r="N26" s="2163"/>
      <c r="O26" s="2163"/>
      <c r="P26" s="3498"/>
      <c r="Q26" s="1145" t="str">
        <f t="shared" si="11"/>
        <v>朝向</v>
      </c>
      <c r="R26" s="1146" t="s">
        <v>99</v>
      </c>
      <c r="S26" s="1147">
        <f>F26</f>
        <v>100</v>
      </c>
      <c r="T26" s="1146" t="s">
        <v>99</v>
      </c>
      <c r="U26" s="1147">
        <f>H26</f>
        <v>100</v>
      </c>
      <c r="V26" s="1146" t="s">
        <v>99</v>
      </c>
      <c r="W26" s="1147">
        <f>J26</f>
        <v>100</v>
      </c>
      <c r="X26" s="1133"/>
      <c r="Y26" s="3485"/>
      <c r="Z26" s="1148" t="str">
        <f>Q26</f>
        <v>朝向</v>
      </c>
      <c r="AA26" s="1149">
        <f t="shared" si="3"/>
        <v>1</v>
      </c>
      <c r="AB26" s="1149">
        <f t="shared" si="4"/>
        <v>1</v>
      </c>
      <c r="AC26" s="1149">
        <f t="shared" si="5"/>
        <v>1</v>
      </c>
    </row>
    <row r="27" spans="1:29" s="11" customFormat="1" ht="14.25">
      <c r="A27" s="888"/>
      <c r="B27" s="889" t="s">
        <v>910</v>
      </c>
      <c r="C27" s="882" t="s">
        <v>2946</v>
      </c>
      <c r="D27" s="661">
        <v>100</v>
      </c>
      <c r="E27" s="885" t="s">
        <v>2946</v>
      </c>
      <c r="F27" s="663">
        <f>SUMIF(90:90,E27,91:91)-SUMIF(90:90,C27,91:91)+100</f>
        <v>100</v>
      </c>
      <c r="G27" s="884" t="s">
        <v>2946</v>
      </c>
      <c r="H27" s="661">
        <f>SUMIF(90:90,G27,91:91)-SUMIF(90:90,C27,91:91)+100</f>
        <v>100</v>
      </c>
      <c r="I27" s="885" t="s">
        <v>2946</v>
      </c>
      <c r="J27" s="661">
        <f>SUMIF(90:90,I27,91:91)-SUMIF(90:90,C27,91:91)+100</f>
        <v>100</v>
      </c>
      <c r="K27" s="100"/>
      <c r="L27" s="2164"/>
      <c r="M27" s="2106"/>
      <c r="N27" s="2106"/>
      <c r="O27" s="2106"/>
      <c r="P27" s="3498"/>
      <c r="Q27" s="2" t="str">
        <f t="shared" si="11"/>
        <v>道路级别</v>
      </c>
      <c r="R27" s="1135" t="s">
        <v>99</v>
      </c>
      <c r="S27" s="1136">
        <f>F27</f>
        <v>100</v>
      </c>
      <c r="T27" s="1135" t="s">
        <v>99</v>
      </c>
      <c r="U27" s="1136">
        <f>H27</f>
        <v>100</v>
      </c>
      <c r="V27" s="1135" t="s">
        <v>99</v>
      </c>
      <c r="W27" s="1136">
        <f>J27</f>
        <v>100</v>
      </c>
      <c r="X27" s="184"/>
      <c r="Y27" s="3485"/>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98"/>
      <c r="Q28" s="1145">
        <f t="shared" si="11"/>
        <v>111</v>
      </c>
      <c r="R28" s="1146" t="s">
        <v>99</v>
      </c>
      <c r="S28" s="1147">
        <f t="shared" ref="S28:S46" si="12">F28</f>
        <v>100</v>
      </c>
      <c r="T28" s="1146" t="s">
        <v>99</v>
      </c>
      <c r="U28" s="1147">
        <f t="shared" ref="U28:U46" si="13">H28</f>
        <v>100</v>
      </c>
      <c r="V28" s="1146" t="s">
        <v>99</v>
      </c>
      <c r="W28" s="1147">
        <f t="shared" ref="W28:W46" si="14">J28</f>
        <v>100</v>
      </c>
      <c r="X28" s="1133"/>
      <c r="Y28" s="3485"/>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98"/>
      <c r="Q29" s="1145">
        <f t="shared" si="11"/>
        <v>111</v>
      </c>
      <c r="R29" s="1146" t="s">
        <v>99</v>
      </c>
      <c r="S29" s="1147">
        <f t="shared" si="12"/>
        <v>100</v>
      </c>
      <c r="T29" s="1146" t="s">
        <v>99</v>
      </c>
      <c r="U29" s="1147">
        <f t="shared" si="13"/>
        <v>100</v>
      </c>
      <c r="V29" s="1146" t="s">
        <v>99</v>
      </c>
      <c r="W29" s="1147">
        <f t="shared" si="14"/>
        <v>100</v>
      </c>
      <c r="X29" s="1133"/>
      <c r="Y29" s="3485"/>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98"/>
      <c r="Q30" s="1145">
        <f t="shared" si="11"/>
        <v>111</v>
      </c>
      <c r="R30" s="1146" t="s">
        <v>99</v>
      </c>
      <c r="S30" s="1147">
        <f t="shared" si="12"/>
        <v>100</v>
      </c>
      <c r="T30" s="1146" t="s">
        <v>99</v>
      </c>
      <c r="U30" s="1147">
        <f t="shared" si="13"/>
        <v>100</v>
      </c>
      <c r="V30" s="1146" t="s">
        <v>99</v>
      </c>
      <c r="W30" s="1147">
        <f t="shared" si="14"/>
        <v>100</v>
      </c>
      <c r="X30" s="1133"/>
      <c r="Y30" s="3485"/>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98"/>
      <c r="Q31" s="1145">
        <f t="shared" si="11"/>
        <v>111</v>
      </c>
      <c r="R31" s="1146" t="s">
        <v>99</v>
      </c>
      <c r="S31" s="1147">
        <f t="shared" si="12"/>
        <v>100</v>
      </c>
      <c r="T31" s="1146" t="s">
        <v>99</v>
      </c>
      <c r="U31" s="1147">
        <f t="shared" si="13"/>
        <v>100</v>
      </c>
      <c r="V31" s="1146" t="s">
        <v>99</v>
      </c>
      <c r="W31" s="1147">
        <f t="shared" si="14"/>
        <v>100</v>
      </c>
      <c r="X31" s="1133"/>
      <c r="Y31" s="3485"/>
      <c r="Z31" s="1148">
        <f t="shared" si="15"/>
        <v>111</v>
      </c>
      <c r="AA31" s="1149">
        <f t="shared" si="3"/>
        <v>1</v>
      </c>
      <c r="AB31" s="1149">
        <f t="shared" si="4"/>
        <v>1</v>
      </c>
      <c r="AC31" s="1149">
        <f t="shared" si="5"/>
        <v>1</v>
      </c>
    </row>
    <row r="32" spans="1:29" ht="15">
      <c r="A32" s="105" t="s">
        <v>911</v>
      </c>
      <c r="B32" s="20" t="s">
        <v>70</v>
      </c>
      <c r="C32" s="57" t="s">
        <v>2952</v>
      </c>
      <c r="D32" s="122">
        <v>100</v>
      </c>
      <c r="E32" s="58" t="s">
        <v>2952</v>
      </c>
      <c r="F32" s="123">
        <f>SUMIF(100:100,E32,101:101)-SUMIF(100:100,C32,101:101)+100</f>
        <v>100</v>
      </c>
      <c r="G32" s="57" t="s">
        <v>2952</v>
      </c>
      <c r="H32" s="122">
        <f>SUMIF(100:100,G32,101:101)-SUMIF(100:100,C32,101:101)+100</f>
        <v>100</v>
      </c>
      <c r="I32" s="58" t="s">
        <v>2952</v>
      </c>
      <c r="J32" s="102">
        <f>SUMIF(100:100,I32,101:101)-SUMIF(100:100,C32,101:101)+100</f>
        <v>100</v>
      </c>
      <c r="K32" s="624"/>
      <c r="L32" s="2168"/>
      <c r="M32" s="2163"/>
      <c r="N32" s="2163"/>
      <c r="O32" s="2163"/>
      <c r="P32" s="3486" t="s">
        <v>66</v>
      </c>
      <c r="Q32" s="1145" t="str">
        <f t="shared" si="11"/>
        <v>建筑类型</v>
      </c>
      <c r="R32" s="1146" t="s">
        <v>99</v>
      </c>
      <c r="S32" s="1147">
        <f t="shared" si="12"/>
        <v>100</v>
      </c>
      <c r="T32" s="1146" t="s">
        <v>99</v>
      </c>
      <c r="U32" s="1147">
        <f t="shared" si="13"/>
        <v>100</v>
      </c>
      <c r="V32" s="1146" t="s">
        <v>99</v>
      </c>
      <c r="W32" s="1147">
        <f t="shared" si="14"/>
        <v>100</v>
      </c>
      <c r="X32" s="1133"/>
      <c r="Y32" s="3489" t="s">
        <v>66</v>
      </c>
      <c r="Z32" s="1148" t="str">
        <f t="shared" si="15"/>
        <v>建筑类型</v>
      </c>
      <c r="AA32" s="1149">
        <f t="shared" si="3"/>
        <v>1</v>
      </c>
      <c r="AB32" s="1149">
        <f t="shared" si="4"/>
        <v>1</v>
      </c>
      <c r="AC32" s="1149">
        <f t="shared" si="5"/>
        <v>1</v>
      </c>
    </row>
    <row r="33" spans="1:29" s="898" customFormat="1" ht="14.25">
      <c r="A33" s="902"/>
      <c r="B33" s="4" t="s">
        <v>71</v>
      </c>
      <c r="C33" s="668">
        <v>43383</v>
      </c>
      <c r="D33" s="883">
        <v>100</v>
      </c>
      <c r="E33" s="628">
        <v>43383</v>
      </c>
      <c r="F33" s="1144">
        <f>LOOKUP(E33,103:103,104:104)-LOOKUP(C33,103:103,104:104)+100</f>
        <v>100</v>
      </c>
      <c r="G33" s="627">
        <v>43383</v>
      </c>
      <c r="H33" s="883">
        <f>LOOKUP(G33,103:103,104:104)-LOOKUP(C33,103:103,104:104)+100</f>
        <v>100</v>
      </c>
      <c r="I33" s="628">
        <v>43383</v>
      </c>
      <c r="J33" s="883">
        <f>LOOKUP(I33,103:103,104:104)-LOOKUP(C33,103:103,104:104)+100</f>
        <v>100</v>
      </c>
      <c r="K33" s="100"/>
      <c r="L33" s="2167"/>
      <c r="M33" s="2169"/>
      <c r="N33" s="2169"/>
      <c r="O33" s="2169"/>
      <c r="P33" s="3487"/>
      <c r="Q33" s="1153" t="str">
        <f t="shared" si="11"/>
        <v>项目建筑规模</v>
      </c>
      <c r="R33" s="1154" t="s">
        <v>99</v>
      </c>
      <c r="S33" s="1155">
        <f t="shared" si="12"/>
        <v>100</v>
      </c>
      <c r="T33" s="1154" t="s">
        <v>99</v>
      </c>
      <c r="U33" s="1155">
        <f t="shared" si="13"/>
        <v>100</v>
      </c>
      <c r="V33" s="1154" t="s">
        <v>99</v>
      </c>
      <c r="W33" s="1155">
        <f t="shared" si="14"/>
        <v>100</v>
      </c>
      <c r="X33" s="1156"/>
      <c r="Y33" s="3489"/>
      <c r="Z33" s="1157" t="str">
        <f t="shared" si="15"/>
        <v>项目建筑规模</v>
      </c>
      <c r="AA33" s="1149">
        <f t="shared" si="3"/>
        <v>1</v>
      </c>
      <c r="AB33" s="1149">
        <f t="shared" si="4"/>
        <v>1</v>
      </c>
      <c r="AC33" s="1149">
        <f t="shared" si="5"/>
        <v>1</v>
      </c>
    </row>
    <row r="34" spans="1:29" ht="15">
      <c r="A34" s="111"/>
      <c r="B34" s="4" t="s">
        <v>72</v>
      </c>
      <c r="C34" s="59" t="s">
        <v>2950</v>
      </c>
      <c r="D34" s="102">
        <v>100</v>
      </c>
      <c r="E34" s="60" t="s">
        <v>2950</v>
      </c>
      <c r="F34" s="123">
        <f>SUMIF(105:105,E34,106:106)-SUMIF(105:105,C34,106:106)+100</f>
        <v>100</v>
      </c>
      <c r="G34" s="59" t="s">
        <v>2950</v>
      </c>
      <c r="H34" s="102">
        <f>SUMIF(105:105,G34,106:106)-SUMIF(105:105,C34,106:106)+100</f>
        <v>100</v>
      </c>
      <c r="I34" s="60" t="s">
        <v>2950</v>
      </c>
      <c r="J34" s="102">
        <f>SUMIF(105:105,I34,106:106)-SUMIF(105:105,C34,106:106)+100</f>
        <v>100</v>
      </c>
      <c r="K34" s="624"/>
      <c r="L34" s="2168"/>
      <c r="M34" s="2163"/>
      <c r="N34" s="2163"/>
      <c r="O34" s="2163"/>
      <c r="P34" s="3487"/>
      <c r="Q34" s="1145" t="str">
        <f t="shared" si="11"/>
        <v>建筑结构</v>
      </c>
      <c r="R34" s="1146" t="s">
        <v>99</v>
      </c>
      <c r="S34" s="1147">
        <f t="shared" si="12"/>
        <v>100</v>
      </c>
      <c r="T34" s="1146" t="s">
        <v>99</v>
      </c>
      <c r="U34" s="1147">
        <f t="shared" si="13"/>
        <v>100</v>
      </c>
      <c r="V34" s="1146" t="s">
        <v>99</v>
      </c>
      <c r="W34" s="1147">
        <f t="shared" si="14"/>
        <v>100</v>
      </c>
      <c r="X34" s="1133"/>
      <c r="Y34" s="3489"/>
      <c r="Z34" s="1148" t="str">
        <f t="shared" si="15"/>
        <v>建筑结构</v>
      </c>
      <c r="AA34" s="1149">
        <f t="shared" si="3"/>
        <v>1</v>
      </c>
      <c r="AB34" s="1149">
        <f t="shared" si="4"/>
        <v>1</v>
      </c>
      <c r="AC34" s="1149">
        <f t="shared" si="5"/>
        <v>1</v>
      </c>
    </row>
    <row r="35" spans="1:29" ht="15">
      <c r="A35" s="111"/>
      <c r="B35" s="4" t="s">
        <v>73</v>
      </c>
      <c r="C35" s="56" t="s">
        <v>2953</v>
      </c>
      <c r="D35" s="102">
        <v>100</v>
      </c>
      <c r="E35" s="55" t="s">
        <v>2954</v>
      </c>
      <c r="F35" s="123">
        <f>SUMIF(107:107,E35,108:108)-SUMIF(107:107,C35,108:108)+100</f>
        <v>100</v>
      </c>
      <c r="G35" s="56" t="s">
        <v>2954</v>
      </c>
      <c r="H35" s="102">
        <f>SUMIF(107:107,G35,108:108)-SUMIF(107:107,C35,108:108)+100</f>
        <v>100</v>
      </c>
      <c r="I35" s="55" t="s">
        <v>2954</v>
      </c>
      <c r="J35" s="102">
        <f>SUMIF(107:107,I35,108:108)-SUMIF(107:107,C35,108:108)+100</f>
        <v>100</v>
      </c>
      <c r="K35" s="624"/>
      <c r="L35" s="2168"/>
      <c r="M35" s="2163"/>
      <c r="N35" s="2163"/>
      <c r="O35" s="2163"/>
      <c r="P35" s="3487"/>
      <c r="Q35" s="1145" t="str">
        <f t="shared" si="11"/>
        <v>建筑品质</v>
      </c>
      <c r="R35" s="1146" t="s">
        <v>99</v>
      </c>
      <c r="S35" s="1147">
        <f t="shared" si="12"/>
        <v>100</v>
      </c>
      <c r="T35" s="1146" t="s">
        <v>99</v>
      </c>
      <c r="U35" s="1147">
        <f t="shared" si="13"/>
        <v>100</v>
      </c>
      <c r="V35" s="1146" t="s">
        <v>99</v>
      </c>
      <c r="W35" s="1147">
        <f t="shared" si="14"/>
        <v>100</v>
      </c>
      <c r="X35" s="1133"/>
      <c r="Y35" s="3489"/>
      <c r="Z35" s="1148" t="str">
        <f t="shared" si="15"/>
        <v>建筑品质</v>
      </c>
      <c r="AA35" s="1149">
        <f t="shared" si="3"/>
        <v>1</v>
      </c>
      <c r="AB35" s="1149">
        <f t="shared" si="4"/>
        <v>1</v>
      </c>
      <c r="AC35" s="1149">
        <f t="shared" si="5"/>
        <v>1</v>
      </c>
    </row>
    <row r="36" spans="1:29" ht="15">
      <c r="A36" s="111"/>
      <c r="B36" s="4" t="s">
        <v>74</v>
      </c>
      <c r="C36" s="56" t="s">
        <v>2955</v>
      </c>
      <c r="D36" s="102">
        <v>100</v>
      </c>
      <c r="E36" s="55" t="s">
        <v>2956</v>
      </c>
      <c r="F36" s="123">
        <f>SUMIF(109:109,E36,110:110)-SUMIF(109:109,C36,110:110)+100</f>
        <v>100</v>
      </c>
      <c r="G36" s="56" t="s">
        <v>2956</v>
      </c>
      <c r="H36" s="102">
        <f>SUMIF(109:109,G36,110:110)-SUMIF(109:109,C36,110:110)+100</f>
        <v>100</v>
      </c>
      <c r="I36" s="55" t="s">
        <v>2956</v>
      </c>
      <c r="J36" s="102">
        <f>SUMIF(109:109,I36,110:110)-SUMIF(109:109,C36,110:110)+100</f>
        <v>100</v>
      </c>
      <c r="K36" s="624"/>
      <c r="L36" s="2168"/>
      <c r="M36" s="2163"/>
      <c r="N36" s="2163"/>
      <c r="O36" s="2163"/>
      <c r="P36" s="3487"/>
      <c r="Q36" s="1145" t="str">
        <f t="shared" si="11"/>
        <v>公共部分装修</v>
      </c>
      <c r="R36" s="1146" t="s">
        <v>99</v>
      </c>
      <c r="S36" s="1147">
        <f t="shared" si="12"/>
        <v>100</v>
      </c>
      <c r="T36" s="1146" t="s">
        <v>99</v>
      </c>
      <c r="U36" s="1147">
        <f t="shared" si="13"/>
        <v>100</v>
      </c>
      <c r="V36" s="1146" t="s">
        <v>99</v>
      </c>
      <c r="W36" s="1147">
        <f t="shared" si="14"/>
        <v>100</v>
      </c>
      <c r="X36" s="1133"/>
      <c r="Y36" s="3489"/>
      <c r="Z36" s="1148" t="str">
        <f t="shared" si="15"/>
        <v>公共部分装修</v>
      </c>
      <c r="AA36" s="1149">
        <f t="shared" si="3"/>
        <v>1</v>
      </c>
      <c r="AB36" s="1149">
        <f t="shared" si="4"/>
        <v>1</v>
      </c>
      <c r="AC36" s="1149">
        <f t="shared" si="5"/>
        <v>1</v>
      </c>
    </row>
    <row r="37" spans="1:29" s="11" customFormat="1" ht="15">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87"/>
      <c r="Q37" s="2" t="str">
        <f t="shared" si="11"/>
        <v>成新度</v>
      </c>
      <c r="R37" s="1135" t="s">
        <v>99</v>
      </c>
      <c r="S37" s="1136">
        <f t="shared" si="12"/>
        <v>100</v>
      </c>
      <c r="T37" s="1135" t="s">
        <v>99</v>
      </c>
      <c r="U37" s="1136">
        <f t="shared" si="13"/>
        <v>100</v>
      </c>
      <c r="V37" s="1135" t="s">
        <v>99</v>
      </c>
      <c r="W37" s="1136">
        <f t="shared" si="14"/>
        <v>100</v>
      </c>
      <c r="X37" s="184"/>
      <c r="Y37" s="3489"/>
      <c r="Z37" s="185" t="str">
        <f t="shared" si="15"/>
        <v>成新度</v>
      </c>
      <c r="AA37" s="1137">
        <f t="shared" si="3"/>
        <v>1</v>
      </c>
      <c r="AB37" s="1137">
        <f t="shared" si="4"/>
        <v>1</v>
      </c>
      <c r="AC37" s="1137">
        <f t="shared" si="5"/>
        <v>1</v>
      </c>
    </row>
    <row r="38" spans="1:29" ht="15">
      <c r="A38" s="111"/>
      <c r="B38" s="4" t="s">
        <v>76</v>
      </c>
      <c r="C38" s="56" t="s">
        <v>2957</v>
      </c>
      <c r="D38" s="102">
        <v>100</v>
      </c>
      <c r="E38" s="55" t="s">
        <v>2957</v>
      </c>
      <c r="F38" s="123">
        <f>SUMIF(114:114,E38,115:115)-SUMIF(114:114,C38,115:115)+100</f>
        <v>100</v>
      </c>
      <c r="G38" s="56" t="s">
        <v>2957</v>
      </c>
      <c r="H38" s="102">
        <f>SUMIF(114:114,G38,115:115)-SUMIF(114:114,C38,115:115)+100</f>
        <v>100</v>
      </c>
      <c r="I38" s="55" t="s">
        <v>2957</v>
      </c>
      <c r="J38" s="102">
        <f>SUMIF(114:114,I38,115:115)-SUMIF(114:114,C38,115:115)+100</f>
        <v>100</v>
      </c>
      <c r="K38" s="624"/>
      <c r="L38" s="2168"/>
      <c r="M38" s="2163"/>
      <c r="N38" s="2163"/>
      <c r="O38" s="2163"/>
      <c r="P38" s="3487" t="s">
        <v>66</v>
      </c>
      <c r="Q38" s="1145" t="str">
        <f t="shared" si="11"/>
        <v>物业管理</v>
      </c>
      <c r="R38" s="1146" t="s">
        <v>99</v>
      </c>
      <c r="S38" s="1147">
        <f t="shared" si="12"/>
        <v>100</v>
      </c>
      <c r="T38" s="1146" t="s">
        <v>99</v>
      </c>
      <c r="U38" s="1147">
        <f t="shared" si="13"/>
        <v>100</v>
      </c>
      <c r="V38" s="1146" t="s">
        <v>99</v>
      </c>
      <c r="W38" s="1147">
        <f t="shared" si="14"/>
        <v>100</v>
      </c>
      <c r="X38" s="1133"/>
      <c r="Y38" s="3489" t="s">
        <v>66</v>
      </c>
      <c r="Z38" s="1148" t="str">
        <f t="shared" si="15"/>
        <v>物业管理</v>
      </c>
      <c r="AA38" s="1149">
        <f t="shared" si="3"/>
        <v>1</v>
      </c>
      <c r="AB38" s="1149">
        <f t="shared" si="4"/>
        <v>1</v>
      </c>
      <c r="AC38" s="1149">
        <f t="shared" si="5"/>
        <v>1</v>
      </c>
    </row>
    <row r="39" spans="1:29" ht="15">
      <c r="A39" s="111"/>
      <c r="B39" s="4" t="s">
        <v>2536</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c r="L39" s="2168"/>
      <c r="M39" s="2163"/>
      <c r="N39" s="2163"/>
      <c r="O39" s="2163"/>
      <c r="P39" s="3487"/>
      <c r="Q39" s="1145" t="str">
        <f t="shared" si="11"/>
        <v>市政基础设施</v>
      </c>
      <c r="R39" s="1146" t="s">
        <v>99</v>
      </c>
      <c r="S39" s="1147">
        <f t="shared" si="12"/>
        <v>100</v>
      </c>
      <c r="T39" s="1146" t="s">
        <v>99</v>
      </c>
      <c r="U39" s="1147">
        <f t="shared" si="13"/>
        <v>100</v>
      </c>
      <c r="V39" s="1146" t="s">
        <v>99</v>
      </c>
      <c r="W39" s="1147">
        <f t="shared" si="14"/>
        <v>100</v>
      </c>
      <c r="X39" s="1133"/>
      <c r="Y39" s="3489"/>
      <c r="Z39" s="1148" t="str">
        <f t="shared" si="15"/>
        <v>市政基础设施</v>
      </c>
      <c r="AA39" s="1149">
        <f t="shared" si="3"/>
        <v>1</v>
      </c>
      <c r="AB39" s="1149">
        <f t="shared" si="4"/>
        <v>1</v>
      </c>
      <c r="AC39" s="1149">
        <f t="shared" si="5"/>
        <v>1</v>
      </c>
    </row>
    <row r="40" spans="1:29" ht="15">
      <c r="A40" s="111"/>
      <c r="B40" s="4" t="s">
        <v>77</v>
      </c>
      <c r="C40" s="56" t="s">
        <v>2951</v>
      </c>
      <c r="D40" s="102">
        <v>100</v>
      </c>
      <c r="E40" s="55" t="s">
        <v>2951</v>
      </c>
      <c r="F40" s="123">
        <f>SUMIF(118:118,E40,119:119)-SUMIF(118:118,C40,119:119)+100</f>
        <v>100</v>
      </c>
      <c r="G40" s="56" t="s">
        <v>2951</v>
      </c>
      <c r="H40" s="102">
        <f>SUMIF(118:118,G40,119:119)-SUMIF(118:118,C40,119:119)+100</f>
        <v>100</v>
      </c>
      <c r="I40" s="55" t="s">
        <v>2959</v>
      </c>
      <c r="J40" s="102">
        <f>SUMIF(118:118,I40,119:119)-SUMIF(118:118,C40,119:119)+100</f>
        <v>100</v>
      </c>
      <c r="K40" s="624"/>
      <c r="L40" s="2168"/>
      <c r="M40" s="2163"/>
      <c r="N40" s="2163"/>
      <c r="O40" s="2163"/>
      <c r="P40" s="3487"/>
      <c r="Q40" s="1145" t="str">
        <f t="shared" si="11"/>
        <v>房型</v>
      </c>
      <c r="R40" s="1146" t="s">
        <v>99</v>
      </c>
      <c r="S40" s="1147">
        <f t="shared" si="12"/>
        <v>100</v>
      </c>
      <c r="T40" s="1146" t="s">
        <v>99</v>
      </c>
      <c r="U40" s="1147">
        <f t="shared" si="13"/>
        <v>100</v>
      </c>
      <c r="V40" s="1146" t="s">
        <v>99</v>
      </c>
      <c r="W40" s="1147">
        <f t="shared" si="14"/>
        <v>100</v>
      </c>
      <c r="X40" s="1133"/>
      <c r="Y40" s="3489"/>
      <c r="Z40" s="1148" t="str">
        <f t="shared" si="15"/>
        <v>房型</v>
      </c>
      <c r="AA40" s="1149">
        <f t="shared" si="3"/>
        <v>1</v>
      </c>
      <c r="AB40" s="1149">
        <f t="shared" si="4"/>
        <v>1</v>
      </c>
      <c r="AC40" s="1149">
        <f t="shared" si="5"/>
        <v>1</v>
      </c>
    </row>
    <row r="41" spans="1:29" s="898" customFormat="1" ht="27">
      <c r="A41" s="902"/>
      <c r="B41" s="4" t="s">
        <v>100</v>
      </c>
      <c r="C41" s="1152">
        <v>347.31</v>
      </c>
      <c r="D41" s="883">
        <v>100</v>
      </c>
      <c r="E41" s="887">
        <v>318.45999999999998</v>
      </c>
      <c r="F41" s="1144">
        <f>SUMIF(120:120,E41,121:121)-SUMIF(120:120,C41,121:121)+100</f>
        <v>100</v>
      </c>
      <c r="G41" s="886">
        <v>318.45999999999998</v>
      </c>
      <c r="H41" s="883">
        <f>SUMIF(120:120,G41,121:121)-SUMIF(120:120,C41,121:121)+100</f>
        <v>100</v>
      </c>
      <c r="I41" s="61">
        <v>347.31</v>
      </c>
      <c r="J41" s="102">
        <f>SUMIF(120:120,I41,121:121)-SUMIF(120:120,C41,121:121)+100</f>
        <v>100</v>
      </c>
      <c r="K41" s="100"/>
      <c r="L41" s="2167"/>
      <c r="M41" s="2169"/>
      <c r="N41" s="2169"/>
      <c r="O41" s="2169"/>
      <c r="P41" s="3487"/>
      <c r="Q41" s="1153" t="str">
        <f t="shared" si="11"/>
        <v>单套/主力户型建筑面积</v>
      </c>
      <c r="R41" s="1154" t="s">
        <v>99</v>
      </c>
      <c r="S41" s="1155">
        <f t="shared" si="12"/>
        <v>100</v>
      </c>
      <c r="T41" s="1154" t="s">
        <v>99</v>
      </c>
      <c r="U41" s="1155">
        <f t="shared" si="13"/>
        <v>100</v>
      </c>
      <c r="V41" s="1154" t="s">
        <v>99</v>
      </c>
      <c r="W41" s="1155">
        <f t="shared" si="14"/>
        <v>100</v>
      </c>
      <c r="X41" s="1156"/>
      <c r="Y41" s="3489"/>
      <c r="Z41" s="1157" t="str">
        <f t="shared" si="15"/>
        <v>单套/主力户型建筑面积</v>
      </c>
      <c r="AA41" s="1149">
        <f t="shared" si="3"/>
        <v>1</v>
      </c>
      <c r="AB41" s="1149">
        <f t="shared" si="4"/>
        <v>1</v>
      </c>
      <c r="AC41" s="1149">
        <f t="shared" si="5"/>
        <v>1</v>
      </c>
    </row>
    <row r="42" spans="1:29" ht="15">
      <c r="A42" s="111"/>
      <c r="B42" s="4" t="s">
        <v>78</v>
      </c>
      <c r="C42" s="56" t="s">
        <v>2955</v>
      </c>
      <c r="D42" s="102">
        <v>100</v>
      </c>
      <c r="E42" s="55" t="s">
        <v>2956</v>
      </c>
      <c r="F42" s="123">
        <f>SUMIF(122:122,E42,123:123)-SUMIF(122:122,C42,123:123)+100</f>
        <v>100</v>
      </c>
      <c r="G42" s="56" t="s">
        <v>2956</v>
      </c>
      <c r="H42" s="102">
        <f>SUMIF(122:122,G42,123:123)-SUMIF(122:122,C42,123:123)+100</f>
        <v>100</v>
      </c>
      <c r="I42" s="55" t="s">
        <v>2956</v>
      </c>
      <c r="J42" s="102">
        <f>SUMIF(122:122,I42,123:123)-SUMIF(122:122,C42,123:123)+100</f>
        <v>100</v>
      </c>
      <c r="K42" s="624"/>
      <c r="L42" s="2168"/>
      <c r="M42" s="2163"/>
      <c r="N42" s="2163"/>
      <c r="O42" s="2163"/>
      <c r="P42" s="3487"/>
      <c r="Q42" s="1145" t="str">
        <f t="shared" si="11"/>
        <v>内部装修</v>
      </c>
      <c r="R42" s="1146" t="s">
        <v>99</v>
      </c>
      <c r="S42" s="1147">
        <f t="shared" si="12"/>
        <v>100</v>
      </c>
      <c r="T42" s="1146" t="s">
        <v>99</v>
      </c>
      <c r="U42" s="1147">
        <f t="shared" si="13"/>
        <v>100</v>
      </c>
      <c r="V42" s="1146" t="s">
        <v>99</v>
      </c>
      <c r="W42" s="1147">
        <f t="shared" si="14"/>
        <v>100</v>
      </c>
      <c r="X42" s="1133"/>
      <c r="Y42" s="3489"/>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87"/>
      <c r="Q43" s="1145" t="str">
        <f t="shared" si="11"/>
        <v>内部装修维护情况</v>
      </c>
      <c r="R43" s="1146" t="s">
        <v>99</v>
      </c>
      <c r="S43" s="1147">
        <f t="shared" si="12"/>
        <v>100</v>
      </c>
      <c r="T43" s="1146" t="s">
        <v>99</v>
      </c>
      <c r="U43" s="1147">
        <f t="shared" si="13"/>
        <v>100</v>
      </c>
      <c r="V43" s="1146" t="s">
        <v>99</v>
      </c>
      <c r="W43" s="1147">
        <f t="shared" si="14"/>
        <v>100</v>
      </c>
      <c r="X43" s="1133"/>
      <c r="Y43" s="3489"/>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87"/>
      <c r="Q44" s="2">
        <f t="shared" si="11"/>
        <v>111</v>
      </c>
      <c r="R44" s="1135" t="s">
        <v>99</v>
      </c>
      <c r="S44" s="1136">
        <f t="shared" si="12"/>
        <v>100</v>
      </c>
      <c r="T44" s="1135" t="s">
        <v>99</v>
      </c>
      <c r="U44" s="1136">
        <f t="shared" si="13"/>
        <v>100</v>
      </c>
      <c r="V44" s="1135" t="s">
        <v>99</v>
      </c>
      <c r="W44" s="1136">
        <f t="shared" si="14"/>
        <v>100</v>
      </c>
      <c r="X44" s="184"/>
      <c r="Y44" s="3489"/>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87"/>
      <c r="Q45" s="1145">
        <f t="shared" si="11"/>
        <v>111</v>
      </c>
      <c r="R45" s="1146" t="s">
        <v>99</v>
      </c>
      <c r="S45" s="1147">
        <f t="shared" si="12"/>
        <v>100</v>
      </c>
      <c r="T45" s="1146" t="s">
        <v>99</v>
      </c>
      <c r="U45" s="1147">
        <f t="shared" si="13"/>
        <v>100</v>
      </c>
      <c r="V45" s="1146" t="s">
        <v>99</v>
      </c>
      <c r="W45" s="1147">
        <f t="shared" si="14"/>
        <v>100</v>
      </c>
      <c r="X45" s="1133"/>
      <c r="Y45" s="3489"/>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88"/>
      <c r="Q46" s="1145">
        <f t="shared" si="11"/>
        <v>111</v>
      </c>
      <c r="R46" s="1146" t="s">
        <v>98</v>
      </c>
      <c r="S46" s="1147">
        <f t="shared" si="12"/>
        <v>100</v>
      </c>
      <c r="T46" s="1146" t="s">
        <v>98</v>
      </c>
      <c r="U46" s="1147">
        <f t="shared" si="13"/>
        <v>100</v>
      </c>
      <c r="V46" s="1146" t="s">
        <v>98</v>
      </c>
      <c r="W46" s="1147">
        <f t="shared" si="14"/>
        <v>100</v>
      </c>
      <c r="X46" s="1133"/>
      <c r="Y46" s="3490"/>
      <c r="Z46" s="1148">
        <f t="shared" si="15"/>
        <v>111</v>
      </c>
      <c r="AA46" s="1149">
        <f t="shared" si="3"/>
        <v>1</v>
      </c>
      <c r="AB46" s="1149">
        <f t="shared" si="4"/>
        <v>1</v>
      </c>
      <c r="AC46" s="1149">
        <f t="shared" si="5"/>
        <v>1</v>
      </c>
    </row>
    <row r="47" spans="1:29" ht="15">
      <c r="A47" s="113" t="s">
        <v>97</v>
      </c>
      <c r="B47" s="114"/>
      <c r="C47" s="2608" t="s">
        <v>96</v>
      </c>
      <c r="D47" s="2609"/>
      <c r="E47" s="2610">
        <v>53687</v>
      </c>
      <c r="F47" s="2611"/>
      <c r="G47" s="2612">
        <v>53145</v>
      </c>
      <c r="H47" s="2613"/>
      <c r="I47" s="2610">
        <v>55000</v>
      </c>
      <c r="J47" s="2613"/>
      <c r="K47" s="1158"/>
      <c r="L47" s="2170"/>
      <c r="M47" s="2171"/>
      <c r="N47" s="2163"/>
      <c r="O47" s="2171"/>
      <c r="P47" s="3495" t="str">
        <f>A47</f>
        <v>成交单价（元/平方米）</v>
      </c>
      <c r="Q47" s="3495"/>
      <c r="R47" s="3496">
        <f>E47</f>
        <v>53687</v>
      </c>
      <c r="S47" s="3496"/>
      <c r="T47" s="3496">
        <f>G47</f>
        <v>53145</v>
      </c>
      <c r="U47" s="3496"/>
      <c r="V47" s="3496">
        <f>I47</f>
        <v>55000</v>
      </c>
      <c r="W47" s="3496"/>
      <c r="X47" s="1159"/>
      <c r="Y47" s="1160"/>
      <c r="Z47" s="1159"/>
      <c r="AA47" s="1159"/>
      <c r="AB47" s="1159"/>
      <c r="AC47" s="1159"/>
    </row>
    <row r="48" spans="1:29" ht="15.75" thickBot="1">
      <c r="A48" s="115" t="s">
        <v>95</v>
      </c>
      <c r="B48" s="116"/>
      <c r="C48" s="2614">
        <f>R49</f>
        <v>55175</v>
      </c>
      <c r="D48" s="2615"/>
      <c r="E48" s="2616">
        <f>R48</f>
        <v>55924</v>
      </c>
      <c r="F48" s="2616"/>
      <c r="G48" s="2614">
        <f>T48</f>
        <v>55359</v>
      </c>
      <c r="H48" s="2615"/>
      <c r="I48" s="2616">
        <f>V48</f>
        <v>54241</v>
      </c>
      <c r="J48" s="2615"/>
      <c r="K48" s="1161"/>
      <c r="L48" s="2170"/>
      <c r="M48" s="2171"/>
      <c r="N48" s="2171"/>
      <c r="O48" s="2171"/>
      <c r="P48" s="3495" t="str">
        <f>A48</f>
        <v>比较价值（元/平方米）</v>
      </c>
      <c r="Q48" s="3495"/>
      <c r="R48" s="3496">
        <f>IF(E1="售价",ROUND(PRODUCT(R47,AA7:AA46),0),ROUND(PRODUCT(R47,AA7:AA46),1))</f>
        <v>55924</v>
      </c>
      <c r="S48" s="3496"/>
      <c r="T48" s="3499">
        <f>IF(E1="售价",ROUND(PRODUCT(T47,AB7:AB46),0),ROUND(PRODUCT(T47,AB7:AB46),1))</f>
        <v>55359</v>
      </c>
      <c r="U48" s="3500"/>
      <c r="V48" s="3496">
        <f>IF(E1="售价",ROUND(PRODUCT(V47,AC7:AC46),0),ROUND(PRODUCT(V47,AC7:AC46),1))</f>
        <v>54241</v>
      </c>
      <c r="W48" s="3496"/>
      <c r="X48" s="1159"/>
      <c r="Y48" s="1159"/>
      <c r="Z48" s="1159"/>
      <c r="AA48" s="1159"/>
      <c r="AB48" s="1159"/>
      <c r="AC48" s="1159"/>
    </row>
    <row r="49" spans="1:29" ht="15.75" thickBot="1">
      <c r="A49" s="62" t="s">
        <v>2882</v>
      </c>
      <c r="B49" s="63"/>
      <c r="C49" s="2617">
        <f>R49</f>
        <v>55175</v>
      </c>
      <c r="D49" s="2618"/>
      <c r="E49" s="2618"/>
      <c r="F49" s="2618"/>
      <c r="G49" s="2618"/>
      <c r="H49" s="2618"/>
      <c r="I49" s="2618"/>
      <c r="J49" s="2618"/>
      <c r="K49" s="1162"/>
      <c r="L49" s="2170"/>
      <c r="M49" s="2171"/>
      <c r="N49" s="2171"/>
      <c r="O49" s="2171"/>
      <c r="P49" s="3501" t="str">
        <f>A49</f>
        <v>估价对象XX用房的比较价值（楼面单价，元/平方米）</v>
      </c>
      <c r="Q49" s="3502"/>
      <c r="R49" s="3503">
        <f>IF(E1="售价",ROUND(AVERAGE(R48:V48),0),ROUND(AVERAGE(R48:V48),1))</f>
        <v>55175</v>
      </c>
      <c r="S49" s="3503"/>
      <c r="T49" s="3503"/>
      <c r="U49" s="3503"/>
      <c r="V49" s="3503"/>
      <c r="W49" s="350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915</v>
      </c>
      <c r="D52" s="697"/>
      <c r="E52" s="698">
        <f>IF(E47&lt;E48,E48/E47-1,E47/E48-1)</f>
        <v>4.166744277013068E-2</v>
      </c>
      <c r="F52" s="699" t="str">
        <f>IF(OR(E52&gt;=0.3,E52&lt;=-0.3),"超过30%","")</f>
        <v/>
      </c>
      <c r="G52" s="698">
        <f>IF(G47&lt;G48,G48/G47-1,G47/G48-1)</f>
        <v>4.165961049957656E-2</v>
      </c>
      <c r="H52" s="699" t="str">
        <f>IF(OR(G52&gt;=0.3,G52&lt;=-0.3),"超过30%","")</f>
        <v/>
      </c>
      <c r="I52" s="698">
        <f>IF(I47&lt;I48,I48/I47-1,I47/I48-1)</f>
        <v>1.3993104846887094E-2</v>
      </c>
      <c r="J52" s="699" t="str">
        <f>IF(OR(I52&gt;=0.3,I52&lt;=-0.3),"超过30%","")</f>
        <v/>
      </c>
      <c r="K52" s="2176"/>
      <c r="L52" s="2172"/>
      <c r="M52" s="2171"/>
      <c r="N52" s="2171"/>
      <c r="O52" s="2171"/>
    </row>
    <row r="53" spans="1:29" ht="13.5" customHeight="1">
      <c r="A53" s="2171"/>
      <c r="B53" s="2171"/>
      <c r="C53" s="696" t="s">
        <v>916</v>
      </c>
      <c r="D53" s="700"/>
      <c r="E53" s="698">
        <f>IF(E48&lt;G48,G48/E48-1,E48/G48-1)</f>
        <v>1.0206109214400572E-2</v>
      </c>
      <c r="F53" s="699" t="str">
        <f>IF(OR(E53&gt;=0.2,E53&lt;=-0.2),"超过20%","")</f>
        <v/>
      </c>
      <c r="G53" s="698">
        <f>IF(G48&lt;I48,I48/G48-1,G48/I48-1)</f>
        <v>2.0611714385796676E-2</v>
      </c>
      <c r="H53" s="699" t="str">
        <f>IF(OR(G53&gt;=0.2,G53&lt;=-0.2),"超过20%","")</f>
        <v/>
      </c>
      <c r="I53" s="698">
        <f>IF(I48&lt;E48,E48/I48-1,I48/E48-1)</f>
        <v>3.1028189008314833E-2</v>
      </c>
      <c r="J53" s="699" t="str">
        <f>IF(OR(I53&gt;=0.2,I53&lt;=-0.2),"超过20%","")</f>
        <v/>
      </c>
      <c r="K53" s="2176"/>
      <c r="L53" s="2172"/>
      <c r="M53" s="2171"/>
      <c r="N53" s="2171"/>
      <c r="O53" s="2171"/>
    </row>
    <row r="54" spans="1:29" s="66" customFormat="1" ht="13.5" customHeight="1">
      <c r="A54" s="2173"/>
      <c r="B54" s="2173"/>
      <c r="C54" s="696" t="s">
        <v>917</v>
      </c>
      <c r="D54" s="700"/>
      <c r="E54" s="698">
        <f>IF(E47&lt;G47,G47/E47-1,E47/G47-1)</f>
        <v>1.0198513500799589E-2</v>
      </c>
      <c r="F54" s="699" t="str">
        <f>IF(OR(E54&gt;=0.3,E54&lt;=-0.3),"超过30%","")</f>
        <v/>
      </c>
      <c r="G54" s="698">
        <f>IF(G47&lt;I47,I47/G47-1,G47/I47-1)</f>
        <v>3.4904506538714797E-2</v>
      </c>
      <c r="H54" s="699" t="str">
        <f>IF(OR(G54&gt;=0.3,G54&lt;=-0.3),"超过30%","")</f>
        <v/>
      </c>
      <c r="I54" s="698">
        <f>IF(I47&lt;E47,E47/I47-1,I47/E47-1)</f>
        <v>2.4456572354573769E-2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3123" t="s">
        <v>60</v>
      </c>
      <c r="B58" s="3124"/>
      <c r="C58" s="3125" t="str">
        <f>YEAR(C7)&amp;"-"&amp;MONTH(C7)</f>
        <v>2009-7</v>
      </c>
      <c r="D58" s="3126">
        <f>EDATE(C58,-1)</f>
        <v>39965</v>
      </c>
      <c r="E58" s="3126">
        <f t="shared" ref="E58:O58" si="16">EDATE(D58,-1)</f>
        <v>39934</v>
      </c>
      <c r="F58" s="3126">
        <f t="shared" si="16"/>
        <v>39904</v>
      </c>
      <c r="G58" s="3126">
        <f t="shared" si="16"/>
        <v>39873</v>
      </c>
      <c r="H58" s="3126">
        <f t="shared" si="16"/>
        <v>39845</v>
      </c>
      <c r="I58" s="3126">
        <f t="shared" si="16"/>
        <v>39814</v>
      </c>
      <c r="J58" s="3126">
        <f t="shared" si="16"/>
        <v>39783</v>
      </c>
      <c r="K58" s="3126">
        <f t="shared" si="16"/>
        <v>39753</v>
      </c>
      <c r="L58" s="3126">
        <f t="shared" si="16"/>
        <v>39722</v>
      </c>
      <c r="M58" s="3127">
        <v>40118</v>
      </c>
      <c r="N58" s="3126">
        <f t="shared" si="16"/>
        <v>40087</v>
      </c>
      <c r="O58" s="3126">
        <f t="shared" si="16"/>
        <v>40057</v>
      </c>
      <c r="P58" s="1171"/>
    </row>
    <row r="59" spans="1:29" s="11" customFormat="1" ht="14.25">
      <c r="A59" s="908"/>
      <c r="B59" s="909"/>
      <c r="C59" s="841">
        <v>100</v>
      </c>
      <c r="D59" s="711">
        <f>C59-1.5</f>
        <v>98.5</v>
      </c>
      <c r="E59" s="711">
        <f t="shared" ref="E59:J59" si="17">D59-1.5</f>
        <v>97</v>
      </c>
      <c r="F59" s="711">
        <f t="shared" si="17"/>
        <v>95.5</v>
      </c>
      <c r="G59" s="711">
        <f t="shared" si="17"/>
        <v>94</v>
      </c>
      <c r="H59" s="711">
        <f t="shared" si="17"/>
        <v>92.5</v>
      </c>
      <c r="I59" s="711">
        <f t="shared" si="17"/>
        <v>91</v>
      </c>
      <c r="J59" s="711">
        <f t="shared" si="17"/>
        <v>89.5</v>
      </c>
      <c r="K59" s="711"/>
      <c r="L59" s="711"/>
      <c r="M59" s="3122">
        <v>104</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8">C66-$K10</f>
        <v>100</v>
      </c>
      <c r="E66" s="745">
        <f t="shared" si="18"/>
        <v>100</v>
      </c>
      <c r="F66" s="745">
        <f t="shared" si="18"/>
        <v>100</v>
      </c>
      <c r="G66" s="745">
        <f t="shared" si="18"/>
        <v>100</v>
      </c>
      <c r="H66" s="745">
        <f t="shared" si="18"/>
        <v>100</v>
      </c>
      <c r="I66" s="745">
        <f t="shared" si="18"/>
        <v>100</v>
      </c>
      <c r="J66" s="745"/>
      <c r="K66" s="745"/>
      <c r="L66" s="745"/>
      <c r="M66" s="746"/>
      <c r="N66" s="1185"/>
      <c r="O66" s="1185"/>
      <c r="P66" s="1174"/>
      <c r="Q66" s="68"/>
    </row>
    <row r="67" spans="1:17" ht="15" thickTop="1">
      <c r="A67" s="125"/>
      <c r="B67" s="919" t="s">
        <v>88</v>
      </c>
      <c r="C67" s="748" t="str">
        <f>C68&amp;"（含）"&amp;"-"&amp;D68</f>
        <v>0（含）-1</v>
      </c>
      <c r="D67" s="748" t="str">
        <f t="shared" ref="D67:L67" si="19">D68&amp;"（含）"&amp;"-"&amp;E68</f>
        <v>1（含）-2</v>
      </c>
      <c r="E67" s="748" t="str">
        <f t="shared" si="19"/>
        <v>2（含）-3</v>
      </c>
      <c r="F67" s="748" t="str">
        <f t="shared" si="19"/>
        <v>3（含）-4</v>
      </c>
      <c r="G67" s="748" t="str">
        <f t="shared" si="19"/>
        <v>4（含）-5</v>
      </c>
      <c r="H67" s="748" t="str">
        <f t="shared" si="19"/>
        <v>5（含）-</v>
      </c>
      <c r="I67" s="748" t="str">
        <f t="shared" si="19"/>
        <v>（含）-</v>
      </c>
      <c r="J67" s="748" t="str">
        <f t="shared" si="19"/>
        <v>（含）-</v>
      </c>
      <c r="K67" s="748" t="str">
        <f t="shared" si="19"/>
        <v>（含）-</v>
      </c>
      <c r="L67" s="748" t="str">
        <f t="shared" si="19"/>
        <v>（含）-</v>
      </c>
      <c r="M67" s="645" t="str">
        <f>M68&amp;"（含）"&amp;"-"&amp;P68</f>
        <v>（含）-</v>
      </c>
      <c r="N67" s="1185"/>
      <c r="O67" s="1185"/>
      <c r="P67" s="1174"/>
      <c r="Q67" s="68"/>
    </row>
    <row r="68" spans="1:17" ht="14.25">
      <c r="A68" s="125"/>
      <c r="B68" s="920"/>
      <c r="C68" s="750">
        <v>0</v>
      </c>
      <c r="D68" s="750">
        <v>1</v>
      </c>
      <c r="E68" s="750">
        <v>2</v>
      </c>
      <c r="F68" s="750">
        <v>3</v>
      </c>
      <c r="G68" s="750">
        <v>4</v>
      </c>
      <c r="H68" s="750">
        <v>5</v>
      </c>
      <c r="I68" s="750"/>
      <c r="J68" s="750"/>
      <c r="K68" s="751"/>
      <c r="L68" s="752"/>
      <c r="M68" s="753"/>
      <c r="N68" s="1184"/>
      <c r="O68" s="1184"/>
      <c r="P68" s="1174"/>
      <c r="Q68" s="68"/>
    </row>
    <row r="69" spans="1:17" ht="15" thickBot="1">
      <c r="A69" s="125"/>
      <c r="B69" s="916"/>
      <c r="C69" s="745">
        <v>100</v>
      </c>
      <c r="D69" s="745">
        <f t="shared" ref="D69:M69" si="20">C69-$K11</f>
        <v>100</v>
      </c>
      <c r="E69" s="745">
        <f t="shared" si="20"/>
        <v>100</v>
      </c>
      <c r="F69" s="745">
        <f t="shared" si="20"/>
        <v>100</v>
      </c>
      <c r="G69" s="745">
        <f t="shared" si="20"/>
        <v>100</v>
      </c>
      <c r="H69" s="745">
        <f t="shared" si="20"/>
        <v>100</v>
      </c>
      <c r="I69" s="745">
        <f t="shared" si="20"/>
        <v>100</v>
      </c>
      <c r="J69" s="745">
        <f t="shared" si="20"/>
        <v>100</v>
      </c>
      <c r="K69" s="745">
        <f t="shared" si="20"/>
        <v>100</v>
      </c>
      <c r="L69" s="745">
        <f t="shared" si="20"/>
        <v>100</v>
      </c>
      <c r="M69" s="746">
        <f t="shared" si="20"/>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98</v>
      </c>
      <c r="E77" s="745">
        <f>D77-$K15</f>
        <v>96</v>
      </c>
      <c r="F77" s="745">
        <f>E77-$K15</f>
        <v>94</v>
      </c>
      <c r="G77" s="745">
        <f>F77-$K15</f>
        <v>92</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2535</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2189</v>
      </c>
      <c r="C86" s="86">
        <v>11</v>
      </c>
      <c r="D86" s="86">
        <v>10</v>
      </c>
      <c r="E86" s="86">
        <v>9</v>
      </c>
      <c r="F86" s="86">
        <v>8</v>
      </c>
      <c r="G86" s="86">
        <v>7</v>
      </c>
      <c r="H86" s="86">
        <v>6</v>
      </c>
      <c r="I86" s="86">
        <v>5</v>
      </c>
      <c r="J86" s="86">
        <v>4</v>
      </c>
      <c r="K86" s="86">
        <v>3</v>
      </c>
      <c r="L86" s="86">
        <v>2</v>
      </c>
      <c r="M86" s="1180"/>
      <c r="N86" s="1183"/>
      <c r="O86" s="1183"/>
      <c r="P86" s="1174"/>
      <c r="Q86" s="68"/>
    </row>
    <row r="87" spans="1:17" s="11" customFormat="1" ht="15" thickBot="1">
      <c r="A87" s="935"/>
      <c r="B87" s="918"/>
      <c r="C87" s="784">
        <v>100</v>
      </c>
      <c r="D87" s="745">
        <f>$C$87-($C$86-D86)*$K$25</f>
        <v>99.5</v>
      </c>
      <c r="E87" s="745">
        <f t="shared" ref="E87:M87" si="21">$C$87-($C$86-E86)*$K$25</f>
        <v>99</v>
      </c>
      <c r="F87" s="745">
        <f t="shared" si="21"/>
        <v>98.5</v>
      </c>
      <c r="G87" s="745">
        <f t="shared" si="21"/>
        <v>98</v>
      </c>
      <c r="H87" s="745">
        <f t="shared" si="21"/>
        <v>97.5</v>
      </c>
      <c r="I87" s="745">
        <f t="shared" si="21"/>
        <v>97</v>
      </c>
      <c r="J87" s="745">
        <f t="shared" si="21"/>
        <v>96.5</v>
      </c>
      <c r="K87" s="745">
        <f t="shared" si="21"/>
        <v>96</v>
      </c>
      <c r="L87" s="745">
        <f t="shared" si="21"/>
        <v>95.5</v>
      </c>
      <c r="M87" s="745">
        <f t="shared" si="21"/>
        <v>94.5</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2">C89-$K26</f>
        <v>100</v>
      </c>
      <c r="E89" s="745">
        <f t="shared" si="22"/>
        <v>100</v>
      </c>
      <c r="F89" s="745">
        <f t="shared" si="22"/>
        <v>100</v>
      </c>
      <c r="G89" s="745">
        <f t="shared" si="22"/>
        <v>100</v>
      </c>
      <c r="H89" s="745">
        <f t="shared" si="22"/>
        <v>100</v>
      </c>
      <c r="I89" s="745">
        <f t="shared" si="22"/>
        <v>100</v>
      </c>
      <c r="J89" s="745">
        <f t="shared" si="22"/>
        <v>100</v>
      </c>
      <c r="K89" s="745">
        <f t="shared" si="22"/>
        <v>100</v>
      </c>
      <c r="L89" s="745">
        <f t="shared" si="22"/>
        <v>100</v>
      </c>
      <c r="M89" s="745">
        <f t="shared" si="22"/>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1185"/>
      <c r="O101" s="1185"/>
      <c r="P101" s="1174"/>
      <c r="Q101" s="68"/>
    </row>
    <row r="102" spans="1:17" ht="27.75" customHeight="1" thickTop="1">
      <c r="A102" s="125"/>
      <c r="B102" s="917" t="s">
        <v>91</v>
      </c>
      <c r="C102" s="780" t="str">
        <f>C103&amp;"(含)"&amp;"-"&amp;D103</f>
        <v>0(含)-50000</v>
      </c>
      <c r="D102" s="780" t="str">
        <f t="shared" ref="D102:L102" si="24">D103&amp;"(含)"&amp;"-"&amp;E103</f>
        <v>50000(含)-100000</v>
      </c>
      <c r="E102" s="780" t="str">
        <f t="shared" si="24"/>
        <v>100000(含)-150000</v>
      </c>
      <c r="F102" s="780" t="str">
        <f t="shared" si="24"/>
        <v>150000(含)-200000</v>
      </c>
      <c r="G102" s="780" t="str">
        <f t="shared" si="24"/>
        <v>200000(含)-</v>
      </c>
      <c r="H102" s="780" t="str">
        <f t="shared" si="24"/>
        <v>(含)-</v>
      </c>
      <c r="I102" s="780" t="str">
        <f t="shared" si="24"/>
        <v>(含)-</v>
      </c>
      <c r="J102" s="780" t="str">
        <f t="shared" si="24"/>
        <v>(含)-</v>
      </c>
      <c r="K102" s="780" t="str">
        <f t="shared" si="24"/>
        <v>(含)-</v>
      </c>
      <c r="L102" s="780" t="str">
        <f t="shared" si="24"/>
        <v>(含)-</v>
      </c>
      <c r="M102" s="780" t="str">
        <f>M103&amp;"(含)"&amp;"-"&amp;P103</f>
        <v>(含)-</v>
      </c>
      <c r="N102" s="1183"/>
      <c r="O102" s="1183"/>
      <c r="P102" s="1174"/>
      <c r="Q102" s="68"/>
    </row>
    <row r="103" spans="1:17" s="898" customFormat="1" ht="14.25">
      <c r="A103" s="936"/>
      <c r="B103" s="937"/>
      <c r="C103" s="797">
        <v>0</v>
      </c>
      <c r="D103" s="797">
        <v>50000</v>
      </c>
      <c r="E103" s="797">
        <v>100000</v>
      </c>
      <c r="F103" s="797">
        <v>150000</v>
      </c>
      <c r="G103" s="797">
        <v>200000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5">C106-$K34</f>
        <v>100</v>
      </c>
      <c r="E106" s="745">
        <f t="shared" si="25"/>
        <v>100</v>
      </c>
      <c r="F106" s="745">
        <f t="shared" si="25"/>
        <v>100</v>
      </c>
      <c r="G106" s="745">
        <f t="shared" si="25"/>
        <v>100</v>
      </c>
      <c r="H106" s="745">
        <f t="shared" si="25"/>
        <v>100</v>
      </c>
      <c r="I106" s="745">
        <f t="shared" si="25"/>
        <v>100</v>
      </c>
      <c r="J106" s="745">
        <f t="shared" si="25"/>
        <v>100</v>
      </c>
      <c r="K106" s="745">
        <f t="shared" si="25"/>
        <v>100</v>
      </c>
      <c r="L106" s="745">
        <f t="shared" si="25"/>
        <v>100</v>
      </c>
      <c r="M106" s="745">
        <f t="shared" si="25"/>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6">C108-$K35</f>
        <v>100</v>
      </c>
      <c r="E108" s="745">
        <f t="shared" si="26"/>
        <v>100</v>
      </c>
      <c r="F108" s="745">
        <f t="shared" si="26"/>
        <v>100</v>
      </c>
      <c r="G108" s="745">
        <f t="shared" si="26"/>
        <v>100</v>
      </c>
      <c r="H108" s="745">
        <f t="shared" si="26"/>
        <v>100</v>
      </c>
      <c r="I108" s="745">
        <f t="shared" si="26"/>
        <v>100</v>
      </c>
      <c r="J108" s="745">
        <f t="shared" si="26"/>
        <v>100</v>
      </c>
      <c r="K108" s="745">
        <f t="shared" si="26"/>
        <v>100</v>
      </c>
      <c r="L108" s="745">
        <f t="shared" si="26"/>
        <v>100</v>
      </c>
      <c r="M108" s="745">
        <f t="shared" si="26"/>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7">C110-$K36</f>
        <v>100</v>
      </c>
      <c r="E110" s="745">
        <f t="shared" si="27"/>
        <v>100</v>
      </c>
      <c r="F110" s="745">
        <f t="shared" si="27"/>
        <v>100</v>
      </c>
      <c r="G110" s="745">
        <f t="shared" si="27"/>
        <v>100</v>
      </c>
      <c r="H110" s="745">
        <f t="shared" si="27"/>
        <v>100</v>
      </c>
      <c r="I110" s="745">
        <f t="shared" si="27"/>
        <v>100</v>
      </c>
      <c r="J110" s="745">
        <f t="shared" si="27"/>
        <v>100</v>
      </c>
      <c r="K110" s="745">
        <f t="shared" si="27"/>
        <v>100</v>
      </c>
      <c r="L110" s="745">
        <f t="shared" si="27"/>
        <v>100</v>
      </c>
      <c r="M110" s="745">
        <f t="shared" si="27"/>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8">C115-$K38</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5">
        <f t="shared" si="28"/>
        <v>100</v>
      </c>
      <c r="N115" s="1185"/>
      <c r="O115" s="1185"/>
      <c r="P115" s="1174"/>
      <c r="Q115" s="68"/>
    </row>
    <row r="116" spans="1:17" ht="14.25" thickTop="1">
      <c r="A116" s="127"/>
      <c r="B116" s="917" t="s">
        <v>2537</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9">C119-$K40</f>
        <v>100</v>
      </c>
      <c r="E119" s="745">
        <f t="shared" si="29"/>
        <v>100</v>
      </c>
      <c r="F119" s="745">
        <f t="shared" si="29"/>
        <v>100</v>
      </c>
      <c r="G119" s="745">
        <f t="shared" si="29"/>
        <v>100</v>
      </c>
      <c r="H119" s="745">
        <f t="shared" si="29"/>
        <v>100</v>
      </c>
      <c r="I119" s="745">
        <f t="shared" si="29"/>
        <v>100</v>
      </c>
      <c r="J119" s="745">
        <f t="shared" si="29"/>
        <v>100</v>
      </c>
      <c r="K119" s="745">
        <f t="shared" si="29"/>
        <v>100</v>
      </c>
      <c r="L119" s="745">
        <f t="shared" si="29"/>
        <v>100</v>
      </c>
      <c r="M119" s="745">
        <f t="shared" si="29"/>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30">C123-$K42</f>
        <v>100</v>
      </c>
      <c r="E123" s="745">
        <f t="shared" si="30"/>
        <v>100</v>
      </c>
      <c r="F123" s="745">
        <f t="shared" si="30"/>
        <v>100</v>
      </c>
      <c r="G123" s="745">
        <f t="shared" si="30"/>
        <v>100</v>
      </c>
      <c r="H123" s="745">
        <f t="shared" si="30"/>
        <v>100</v>
      </c>
      <c r="I123" s="745">
        <f t="shared" si="30"/>
        <v>100</v>
      </c>
      <c r="J123" s="745">
        <f t="shared" si="30"/>
        <v>100</v>
      </c>
      <c r="K123" s="745">
        <f t="shared" si="30"/>
        <v>100</v>
      </c>
      <c r="L123" s="745">
        <f t="shared" si="30"/>
        <v>100</v>
      </c>
      <c r="M123" s="745">
        <f t="shared" si="30"/>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2191</v>
      </c>
    </row>
    <row r="137" spans="1:17" ht="14.25">
      <c r="B137" s="2180" t="s">
        <v>2172</v>
      </c>
      <c r="C137" s="2181"/>
      <c r="D137" s="2181"/>
      <c r="E137" s="2181"/>
      <c r="F137" s="2181"/>
      <c r="G137" s="2182"/>
      <c r="H137" s="2183"/>
      <c r="I137" s="2184" t="s">
        <v>2173</v>
      </c>
      <c r="J137" s="2181"/>
      <c r="K137" s="2185"/>
    </row>
    <row r="138" spans="1:17" ht="14.25">
      <c r="B138" s="1935"/>
      <c r="C138" s="1611" t="s">
        <v>2174</v>
      </c>
      <c r="D138" s="1611" t="s">
        <v>2175</v>
      </c>
      <c r="E138" s="1939" t="s">
        <v>2176</v>
      </c>
      <c r="F138" s="1940" t="s">
        <v>2177</v>
      </c>
      <c r="G138" s="1611" t="s">
        <v>2175</v>
      </c>
      <c r="H138" s="1941" t="s">
        <v>2176</v>
      </c>
      <c r="I138" s="1942"/>
      <c r="J138" s="1611" t="s">
        <v>2178</v>
      </c>
      <c r="K138" s="1941" t="s">
        <v>2179</v>
      </c>
    </row>
    <row r="139" spans="1:17" ht="15">
      <c r="B139" s="1936">
        <v>6</v>
      </c>
      <c r="C139" s="1956">
        <v>96</v>
      </c>
      <c r="D139" s="1957" t="s">
        <v>2180</v>
      </c>
      <c r="E139" s="1958">
        <v>100</v>
      </c>
      <c r="F139" s="1959">
        <v>102.5</v>
      </c>
      <c r="G139" s="1957" t="s">
        <v>2180</v>
      </c>
      <c r="H139" s="1960">
        <v>105</v>
      </c>
      <c r="I139" s="1943" t="s">
        <v>2181</v>
      </c>
      <c r="J139" s="1956">
        <v>20</v>
      </c>
      <c r="K139" s="1946">
        <f>C145/(J139-2)</f>
        <v>4.0555555555555553E-3</v>
      </c>
    </row>
    <row r="140" spans="1:17" ht="15">
      <c r="B140" s="1937">
        <v>5</v>
      </c>
      <c r="C140" s="1961">
        <v>100</v>
      </c>
      <c r="D140" s="1962"/>
      <c r="E140" s="1963"/>
      <c r="F140" s="1964">
        <v>102</v>
      </c>
      <c r="G140" s="1962"/>
      <c r="H140" s="1965"/>
      <c r="I140" s="1944" t="s">
        <v>2182</v>
      </c>
      <c r="J140" s="434">
        <f>ROUNDUP((J139-1)/2,0)</f>
        <v>10</v>
      </c>
      <c r="K140" s="1947">
        <v>100</v>
      </c>
    </row>
    <row r="141" spans="1:17" ht="15">
      <c r="B141" s="1937">
        <v>4</v>
      </c>
      <c r="C141" s="1961">
        <v>102</v>
      </c>
      <c r="D141" s="1962"/>
      <c r="E141" s="1963"/>
      <c r="F141" s="1964">
        <v>101.5</v>
      </c>
      <c r="G141" s="1962"/>
      <c r="H141" s="1965"/>
      <c r="I141" s="1944" t="s">
        <v>2183</v>
      </c>
      <c r="J141" s="434">
        <v>1</v>
      </c>
      <c r="K141" s="1948">
        <f>ROUND(100+(J141-J140)*K139*100,1)</f>
        <v>96.4</v>
      </c>
    </row>
    <row r="142" spans="1:17" ht="15">
      <c r="B142" s="1937">
        <v>3</v>
      </c>
      <c r="C142" s="1961">
        <v>103</v>
      </c>
      <c r="D142" s="1962"/>
      <c r="E142" s="1963"/>
      <c r="F142" s="1964">
        <v>101</v>
      </c>
      <c r="G142" s="1962"/>
      <c r="H142" s="1965"/>
      <c r="I142" s="1944" t="s">
        <v>2184</v>
      </c>
      <c r="J142" s="434">
        <f>J139</f>
        <v>20</v>
      </c>
      <c r="K142" s="1967">
        <v>95</v>
      </c>
    </row>
    <row r="143" spans="1:17" ht="15">
      <c r="B143" s="1937">
        <v>2</v>
      </c>
      <c r="C143" s="1961">
        <v>100</v>
      </c>
      <c r="D143" s="1962"/>
      <c r="E143" s="1963"/>
      <c r="F143" s="1964">
        <v>100.5</v>
      </c>
      <c r="G143" s="1962"/>
      <c r="H143" s="1965"/>
      <c r="I143" s="1944" t="s">
        <v>2185</v>
      </c>
      <c r="J143" s="1961">
        <v>15</v>
      </c>
      <c r="K143" s="1948">
        <f>ROUND(100+(J143-J140)*K139*100,1)</f>
        <v>102</v>
      </c>
    </row>
    <row r="144" spans="1:17" ht="15">
      <c r="B144" s="1937">
        <v>1</v>
      </c>
      <c r="C144" s="1961">
        <v>98</v>
      </c>
      <c r="D144" s="1022" t="s">
        <v>2186</v>
      </c>
      <c r="E144" s="1963">
        <v>102</v>
      </c>
      <c r="F144" s="1966">
        <v>100</v>
      </c>
      <c r="G144" s="1022" t="s">
        <v>2186</v>
      </c>
      <c r="H144" s="1965">
        <v>105</v>
      </c>
      <c r="I144" s="1944" t="s">
        <v>2185</v>
      </c>
      <c r="J144" s="1961">
        <v>18</v>
      </c>
      <c r="K144" s="1948">
        <f>ROUND(100+(J144-J140)*K139*100,1)</f>
        <v>103.2</v>
      </c>
    </row>
    <row r="145" spans="2:11" ht="15.75" thickBot="1">
      <c r="B145" s="1938" t="s">
        <v>2187</v>
      </c>
      <c r="C145" s="1950">
        <f>ROUND(MAX(C139:C144)/MIN(C139:C144)-1,3)</f>
        <v>7.2999999999999995E-2</v>
      </c>
      <c r="D145" s="1951"/>
      <c r="E145" s="1952"/>
      <c r="F145" s="1953" t="s">
        <v>2190</v>
      </c>
      <c r="G145" s="1954"/>
      <c r="H145" s="1955"/>
      <c r="I145" s="1945" t="s">
        <v>2185</v>
      </c>
      <c r="J145" s="1968">
        <v>8</v>
      </c>
      <c r="K145" s="1949">
        <f>ROUND(100+(J145-J140)*K139*100,1)</f>
        <v>99.2</v>
      </c>
    </row>
    <row r="147" spans="2:11">
      <c r="B147" s="1934" t="s">
        <v>2210</v>
      </c>
    </row>
    <row r="148" spans="2:11">
      <c r="B148" s="1934" t="s">
        <v>2211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C36" sqref="C36"/>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t="s">
        <v>217</v>
      </c>
      <c r="C1" s="379"/>
      <c r="D1" s="379"/>
      <c r="E1" s="379"/>
      <c r="F1" s="379"/>
      <c r="G1" s="380"/>
    </row>
    <row r="2" spans="1:7" s="381" customFormat="1" ht="18" customHeight="1">
      <c r="A2" s="382" t="s">
        <v>730</v>
      </c>
      <c r="B2" s="383">
        <f ca="1">IF(D2="——",IF(C2="元",C52,ROUND(C52/10000,0)),IF(C2="元",C52,ROUND(C52/10000,0))-E2)</f>
        <v>16173536</v>
      </c>
      <c r="C2" s="32" t="str">
        <f>'数据-取费表'!B3</f>
        <v>元</v>
      </c>
      <c r="D2" s="2654" t="s">
        <v>2896</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46328</v>
      </c>
      <c r="C3" s="32" t="s">
        <v>770</v>
      </c>
      <c r="D3" s="380"/>
      <c r="E3" s="380"/>
      <c r="F3" s="380"/>
      <c r="G3" s="380"/>
    </row>
    <row r="4" spans="1:7" s="389" customFormat="1" ht="15.75">
      <c r="A4" s="386" t="s">
        <v>732</v>
      </c>
      <c r="B4" s="387"/>
      <c r="C4" s="387"/>
      <c r="D4" s="387"/>
      <c r="E4" s="387"/>
      <c r="F4" s="387"/>
      <c r="G4" s="388"/>
    </row>
    <row r="5" spans="1:7" s="392" customFormat="1" ht="13.5" customHeight="1">
      <c r="A5" s="421" t="s">
        <v>2241</v>
      </c>
      <c r="B5" s="390" t="s">
        <v>733</v>
      </c>
      <c r="C5" s="412">
        <f>C6+C7+C8</f>
        <v>5948956</v>
      </c>
      <c r="D5" s="412" t="s">
        <v>734</v>
      </c>
      <c r="E5" s="2638" t="s">
        <v>735</v>
      </c>
      <c r="F5" s="2638" t="s">
        <v>736</v>
      </c>
      <c r="G5" s="391"/>
    </row>
    <row r="6" spans="1:7" s="392" customFormat="1" ht="13.5" customHeight="1">
      <c r="A6" s="393" t="s">
        <v>2252</v>
      </c>
      <c r="B6" s="394" t="s">
        <v>737</v>
      </c>
      <c r="C6" s="2637">
        <f>'土地比较法-住宅、综合'!B2</f>
        <v>5772883</v>
      </c>
      <c r="D6" s="2639"/>
      <c r="E6" s="2640"/>
      <c r="F6" s="2640"/>
      <c r="G6" s="396"/>
    </row>
    <row r="7" spans="1:7" s="392" customFormat="1" ht="13.5" customHeight="1">
      <c r="A7" s="393" t="s">
        <v>2253</v>
      </c>
      <c r="B7" s="394" t="s">
        <v>361</v>
      </c>
      <c r="C7" s="416">
        <f>ROUND(C6*F7,0)</f>
        <v>176073</v>
      </c>
      <c r="D7" s="416"/>
      <c r="E7" s="2640"/>
      <c r="F7" s="2641">
        <f>'数据-取费表'!E36+'数据-取费表'!E37</f>
        <v>3.0499999999999999E-2</v>
      </c>
      <c r="G7" s="396"/>
    </row>
    <row r="8" spans="1:7" s="397" customFormat="1">
      <c r="A8" s="393" t="s">
        <v>2254</v>
      </c>
      <c r="B8" s="394" t="s">
        <v>738</v>
      </c>
      <c r="C8" s="416" t="str">
        <f>IF(G8="已包含在土地购买价格中","0",'数据-取费表'!E13)</f>
        <v>0</v>
      </c>
      <c r="D8" s="2642"/>
      <c r="E8" s="416"/>
      <c r="F8" s="2641"/>
      <c r="G8" s="31" t="s">
        <v>3361</v>
      </c>
    </row>
    <row r="9" spans="1:7" s="392" customFormat="1" ht="13.5" customHeight="1">
      <c r="A9" s="2284" t="s">
        <v>2257</v>
      </c>
      <c r="B9" s="398" t="s">
        <v>739</v>
      </c>
      <c r="C9" s="2643">
        <f>ROUND(D9*E9,0)</f>
        <v>55858</v>
      </c>
      <c r="D9" s="2644">
        <f>IF('数据-取费表'!B10="住宅",IF(B1="仅计算典型户型",'数据-取费表'!E5,'数据-取费表'!B5),0)</f>
        <v>349.11</v>
      </c>
      <c r="E9" s="2643">
        <f>'数据-取费表'!E11</f>
        <v>160</v>
      </c>
      <c r="F9" s="2641"/>
      <c r="G9" s="399"/>
    </row>
    <row r="10" spans="1:7" s="392" customFormat="1" ht="13.5" customHeight="1">
      <c r="A10" s="2284" t="s">
        <v>2258</v>
      </c>
      <c r="B10" s="398" t="s">
        <v>740</v>
      </c>
      <c r="C10" s="2643">
        <f>ROUND(D10*E10,0)</f>
        <v>0</v>
      </c>
      <c r="D10" s="2644">
        <f>IF('数据-取费表'!B10&lt;&gt;"住宅",IF(B1="仅计算典型户型",'数据-取费表'!E5,'数据-取费表'!B5),0)</f>
        <v>0</v>
      </c>
      <c r="E10" s="2643">
        <f>'数据-取费表'!E12</f>
        <v>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2242</v>
      </c>
      <c r="B19" s="390" t="s">
        <v>1851</v>
      </c>
      <c r="C19" s="412" t="str">
        <f>IF(G19="已包含在土地取得成本中","0",ROUND(D19*E19,0))</f>
        <v>0</v>
      </c>
      <c r="D19" s="2647">
        <f>IF(B1="仅计算典型户型",'数据-取费表'!E5,'数据-取费表'!B5)</f>
        <v>349.11</v>
      </c>
      <c r="E19" s="412">
        <f>'数据-取费表'!E15</f>
        <v>200</v>
      </c>
      <c r="F19" s="413"/>
      <c r="G19" s="31" t="s">
        <v>3360</v>
      </c>
    </row>
    <row r="20" spans="1:7" s="392" customFormat="1" ht="13.5" customHeight="1">
      <c r="A20" s="421" t="s">
        <v>2243</v>
      </c>
      <c r="B20" s="390" t="s">
        <v>750</v>
      </c>
      <c r="C20" s="400">
        <f>ROUND((C5+C19)*F20,0)</f>
        <v>118979</v>
      </c>
      <c r="D20" s="400"/>
      <c r="E20" s="400"/>
      <c r="F20" s="404">
        <f>'数据-取费表'!E25</f>
        <v>0.02</v>
      </c>
      <c r="G20" s="2436" t="s">
        <v>2426</v>
      </c>
    </row>
    <row r="21" spans="1:7" s="392" customFormat="1" ht="13.5" customHeight="1">
      <c r="A21" s="421" t="s">
        <v>2244</v>
      </c>
      <c r="B21" s="390" t="s">
        <v>751</v>
      </c>
      <c r="C21" s="402">
        <f>F21</f>
        <v>0.02</v>
      </c>
      <c r="D21" s="403" t="s">
        <v>767</v>
      </c>
      <c r="E21" s="400"/>
      <c r="F21" s="404">
        <f>'数据-取费表'!E26</f>
        <v>0.02</v>
      </c>
      <c r="G21" s="401" t="s">
        <v>752</v>
      </c>
    </row>
    <row r="22" spans="1:7" s="392" customFormat="1" ht="13.5" customHeight="1">
      <c r="A22" s="421" t="s">
        <v>2245</v>
      </c>
      <c r="B22" s="390" t="s">
        <v>753</v>
      </c>
      <c r="C22" s="422">
        <f ca="1">ROUND(SUM(C23:C25),0)</f>
        <v>666259</v>
      </c>
      <c r="D22" s="402">
        <f ca="1">C26</f>
        <v>1.1000000000000001E-3</v>
      </c>
      <c r="E22" s="403" t="s">
        <v>767</v>
      </c>
      <c r="F22" s="404">
        <f ca="1">'数据-取费表'!E27</f>
        <v>5.4000000000000006E-2</v>
      </c>
      <c r="G22" s="2436" t="str">
        <f>IF('数据-取费表'!B23&lt;=1,"单利计息。","复利计息。")</f>
        <v>复利计息。</v>
      </c>
    </row>
    <row r="23" spans="1:7" s="392" customFormat="1" ht="13.5" customHeight="1">
      <c r="A23" s="393" t="s">
        <v>2252</v>
      </c>
      <c r="B23" s="394" t="s">
        <v>2422</v>
      </c>
      <c r="C23" s="2527">
        <f ca="1">ROUND(IF('数据-取费表'!B23&lt;=1,C5*F22*'数据-取费表'!B24,C5*(POWER((1+F22),'数据-取费表'!B24)-1)),0)</f>
        <v>659834</v>
      </c>
      <c r="D23" s="405"/>
      <c r="E23" s="405"/>
      <c r="F23" s="406"/>
      <c r="G23" s="407" t="s">
        <v>754</v>
      </c>
    </row>
    <row r="24" spans="1:7" s="392" customFormat="1" ht="13.5" customHeight="1">
      <c r="A24" s="393" t="s">
        <v>2253</v>
      </c>
      <c r="B24" s="394" t="s">
        <v>2423</v>
      </c>
      <c r="C24" s="2527">
        <f ca="1">ROUND(IF('数据-取费表'!B23&lt;=1,C19*F22*('数据-取费表'!B20/2+'数据-取费表'!B22),C19*(POWER((1+F22),('数据-取费表'!B20/2+'数据-取费表'!B22))-1)),0)</f>
        <v>0</v>
      </c>
      <c r="D24" s="405"/>
      <c r="E24" s="405"/>
      <c r="F24" s="406"/>
      <c r="G24" s="407" t="s">
        <v>755</v>
      </c>
    </row>
    <row r="25" spans="1:7" s="392" customFormat="1" ht="24">
      <c r="A25" s="393" t="s">
        <v>2254</v>
      </c>
      <c r="B25" s="394" t="s">
        <v>2424</v>
      </c>
      <c r="C25" s="2527">
        <f ca="1">ROUND(IF('数据-取费表'!B23&lt;=1,C20*F22*'数据-取费表'!B24/2,C20*(POWER((1+F22),'数据-取费表'!B24/2)-1)),0)</f>
        <v>6425</v>
      </c>
      <c r="D25" s="405"/>
      <c r="E25" s="408"/>
      <c r="F25" s="406"/>
      <c r="G25" s="409" t="s">
        <v>756</v>
      </c>
    </row>
    <row r="26" spans="1:7" s="392" customFormat="1">
      <c r="A26" s="393" t="s">
        <v>2255</v>
      </c>
      <c r="B26" s="394" t="s">
        <v>2425</v>
      </c>
      <c r="C26" s="405">
        <f ca="1">ROUND(IF('数据-取费表'!B23&lt;=1,F21*F22*'数据-取费表'!B24/2,F21*(POWER((1+F22),'数据-取费表'!B24/2)-1)),4)</f>
        <v>1.1000000000000001E-3</v>
      </c>
      <c r="D26" s="405"/>
      <c r="E26" s="408"/>
      <c r="F26" s="406"/>
      <c r="G26" s="410"/>
    </row>
    <row r="27" spans="1:7" s="392" customFormat="1" ht="25.5">
      <c r="A27" s="2285" t="s">
        <v>2246</v>
      </c>
      <c r="B27" s="411" t="s">
        <v>757</v>
      </c>
      <c r="C27" s="412">
        <f>C28</f>
        <v>1516984</v>
      </c>
      <c r="D27" s="402">
        <f>C29</f>
        <v>5.0000000000000001E-3</v>
      </c>
      <c r="E27" s="403" t="s">
        <v>767</v>
      </c>
      <c r="F27" s="413">
        <f>'数据-取费表'!E28</f>
        <v>0.25</v>
      </c>
      <c r="G27" s="414" t="s">
        <v>2427</v>
      </c>
    </row>
    <row r="28" spans="1:7" s="392" customFormat="1" ht="13.5" customHeight="1">
      <c r="A28" s="393" t="s">
        <v>2252</v>
      </c>
      <c r="B28" s="415" t="s">
        <v>2429</v>
      </c>
      <c r="C28" s="416">
        <f>ROUND((C5+C19+C20)*F27*'数据-取费表'!B22/'数据-取费表'!B21,0)</f>
        <v>1516984</v>
      </c>
      <c r="D28" s="402"/>
      <c r="E28" s="403"/>
      <c r="F28" s="413"/>
      <c r="G28" s="414"/>
    </row>
    <row r="29" spans="1:7" s="392" customFormat="1" ht="13.5" customHeight="1">
      <c r="A29" s="393" t="s">
        <v>2253</v>
      </c>
      <c r="B29" s="415" t="s">
        <v>2430</v>
      </c>
      <c r="C29" s="405">
        <f>ROUND(C21*F27*'数据-取费表'!B22/'数据-取费表'!B21,4)</f>
        <v>5.0000000000000001E-3</v>
      </c>
      <c r="D29" s="402"/>
      <c r="E29" s="403"/>
      <c r="F29" s="413"/>
      <c r="G29" s="414"/>
    </row>
    <row r="30" spans="1:7" s="392" customFormat="1" ht="13.5" customHeight="1">
      <c r="A30" s="2285" t="s">
        <v>2247</v>
      </c>
      <c r="B30" s="390" t="s">
        <v>362</v>
      </c>
      <c r="C30" s="402">
        <f>ROUND(F30/(1+'数据-取费表'!F30),4)</f>
        <v>5.6000000000000001E-2</v>
      </c>
      <c r="D30" s="403" t="s">
        <v>2797</v>
      </c>
      <c r="E30" s="408"/>
      <c r="F30" s="404">
        <f>'数据-取费表'!E29</f>
        <v>5.6000000000000001E-2</v>
      </c>
      <c r="G30" s="2436" t="s">
        <v>2798</v>
      </c>
    </row>
    <row r="31" spans="1:7" ht="16.5" customHeight="1">
      <c r="A31" s="421">
        <v>1</v>
      </c>
      <c r="B31" s="390" t="s">
        <v>768</v>
      </c>
      <c r="C31" s="412">
        <f ca="1">ROUND((C5+C19+C20+C22+C27)/(1-C21-D22-D27-C30),0)</f>
        <v>8989191</v>
      </c>
      <c r="D31" s="2647"/>
      <c r="E31" s="412"/>
      <c r="F31" s="2648"/>
      <c r="G31" s="2436" t="s">
        <v>2428</v>
      </c>
    </row>
    <row r="32" spans="1:7" s="389" customFormat="1" ht="15.75">
      <c r="A32" s="418" t="s">
        <v>758</v>
      </c>
      <c r="B32" s="419"/>
      <c r="C32" s="2649"/>
      <c r="D32" s="2649"/>
      <c r="E32" s="2649"/>
      <c r="F32" s="2649"/>
      <c r="G32" s="420"/>
    </row>
    <row r="33" spans="1:7" s="392" customFormat="1" ht="13.5" customHeight="1">
      <c r="A33" s="421" t="s">
        <v>2248</v>
      </c>
      <c r="B33" s="390" t="s">
        <v>759</v>
      </c>
      <c r="C33" s="422">
        <f>SUM(C34:C38)</f>
        <v>4957979</v>
      </c>
      <c r="D33" s="400"/>
      <c r="E33" s="2638"/>
      <c r="F33" s="408"/>
      <c r="G33" s="401"/>
    </row>
    <row r="34" spans="1:7" s="423" customFormat="1" ht="13.5" customHeight="1">
      <c r="A34" s="393" t="s">
        <v>2252</v>
      </c>
      <c r="B34" s="394" t="s">
        <v>363</v>
      </c>
      <c r="C34" s="416">
        <f>IF(B1="仅计算典型户型",'数据-取费表'!F18,'数据-取费表'!E18)</f>
        <v>4464070</v>
      </c>
      <c r="D34" s="2639"/>
      <c r="E34" s="416"/>
      <c r="F34" s="2650" t="str">
        <f>IF('数据-取费表'!B25=0,"",'数据-取费表'!E20)</f>
        <v/>
      </c>
      <c r="G34" s="396"/>
    </row>
    <row r="35" spans="1:7" ht="13.5" customHeight="1">
      <c r="A35" s="393" t="s">
        <v>2253</v>
      </c>
      <c r="B35" s="394" t="s">
        <v>364</v>
      </c>
      <c r="C35" s="416">
        <f>ROUND(C34*F35,0)</f>
        <v>133922</v>
      </c>
      <c r="D35" s="416"/>
      <c r="E35" s="416"/>
      <c r="F35" s="2651">
        <f>'数据-取费表'!E21</f>
        <v>0.03</v>
      </c>
      <c r="G35" s="396" t="s">
        <v>760</v>
      </c>
    </row>
    <row r="36" spans="1:7" ht="24">
      <c r="A36" s="393" t="s">
        <v>2254</v>
      </c>
      <c r="B36" s="394" t="s">
        <v>365</v>
      </c>
      <c r="C36" s="416">
        <f>ROUND(IF('数据-取费表'!B10="住宅",C34*F36,0),0)</f>
        <v>223204</v>
      </c>
      <c r="D36" s="416"/>
      <c r="E36" s="416"/>
      <c r="F36" s="2651">
        <f>'数据-取费表'!E22</f>
        <v>0.05</v>
      </c>
      <c r="G36" s="424" t="s">
        <v>366</v>
      </c>
    </row>
    <row r="37" spans="1:7" s="423" customFormat="1" ht="13.5" customHeight="1">
      <c r="A37" s="393" t="s">
        <v>2255</v>
      </c>
      <c r="B37" s="394" t="s">
        <v>761</v>
      </c>
      <c r="C37" s="416">
        <f>ROUND(E37*D37,0)</f>
        <v>69822</v>
      </c>
      <c r="D37" s="2639">
        <f>IF(B1="仅计算典型户型",'数据-取费表'!E5,'数据-取费表'!B5)</f>
        <v>349.11</v>
      </c>
      <c r="E37" s="416">
        <f>'数据-取费表'!E23</f>
        <v>200</v>
      </c>
      <c r="F37" s="2651"/>
      <c r="G37" s="425" t="s">
        <v>762</v>
      </c>
    </row>
    <row r="38" spans="1:7" ht="13.5" customHeight="1">
      <c r="A38" s="393" t="s">
        <v>2256</v>
      </c>
      <c r="B38" s="394" t="s">
        <v>367</v>
      </c>
      <c r="C38" s="416">
        <f>ROUND(C34*F38,0)</f>
        <v>66961</v>
      </c>
      <c r="D38" s="416"/>
      <c r="E38" s="416"/>
      <c r="F38" s="2651">
        <f>'数据-取费表'!E24</f>
        <v>1.4999999999999999E-2</v>
      </c>
      <c r="G38" s="396" t="s">
        <v>760</v>
      </c>
    </row>
    <row r="39" spans="1:7" s="392" customFormat="1" ht="13.5" customHeight="1">
      <c r="A39" s="421" t="s">
        <v>2242</v>
      </c>
      <c r="B39" s="390" t="s">
        <v>750</v>
      </c>
      <c r="C39" s="400">
        <f>ROUND(C33*F20,0)</f>
        <v>99160</v>
      </c>
      <c r="D39" s="400"/>
      <c r="E39" s="400"/>
      <c r="F39" s="404"/>
      <c r="G39" s="2436" t="s">
        <v>2433</v>
      </c>
    </row>
    <row r="40" spans="1:7" s="392" customFormat="1" ht="13.5" customHeight="1">
      <c r="A40" s="421" t="s">
        <v>2243</v>
      </c>
      <c r="B40" s="390" t="s">
        <v>751</v>
      </c>
      <c r="C40" s="3001">
        <f>F21</f>
        <v>0.02</v>
      </c>
      <c r="D40" s="403" t="s">
        <v>769</v>
      </c>
      <c r="E40" s="400"/>
      <c r="F40" s="404"/>
      <c r="G40" s="401" t="s">
        <v>763</v>
      </c>
    </row>
    <row r="41" spans="1:7" s="392" customFormat="1" ht="13.5" customHeight="1">
      <c r="A41" s="421" t="s">
        <v>2244</v>
      </c>
      <c r="B41" s="390" t="s">
        <v>753</v>
      </c>
      <c r="C41" s="400">
        <f ca="1">ROUND(SUM(C42:C43),0)</f>
        <v>273086</v>
      </c>
      <c r="D41" s="402">
        <f ca="1">C44</f>
        <v>1.1000000000000001E-3</v>
      </c>
      <c r="E41" s="403" t="s">
        <v>769</v>
      </c>
      <c r="F41" s="404"/>
      <c r="G41" s="2436" t="str">
        <f>IF('数据-取费表'!B23&lt;=1,"单利计息。","复利计息。")</f>
        <v>复利计息。</v>
      </c>
    </row>
    <row r="42" spans="1:7" ht="13.5" customHeight="1">
      <c r="A42" s="393" t="s">
        <v>2252</v>
      </c>
      <c r="B42" s="394" t="s">
        <v>2422</v>
      </c>
      <c r="C42" s="405">
        <f ca="1">ROUND(IF('数据-取费表'!B23&lt;=1,C33*F22*'数据-取费表'!B22/2,C33*(POWER((1+F22),'数据-取费表'!B22/2)-1)),0)</f>
        <v>267731</v>
      </c>
      <c r="D42" s="405"/>
      <c r="E42" s="405"/>
      <c r="F42" s="406"/>
      <c r="G42" s="3504" t="s">
        <v>2516</v>
      </c>
    </row>
    <row r="43" spans="1:7" ht="13.5" customHeight="1">
      <c r="A43" s="393" t="s">
        <v>2253</v>
      </c>
      <c r="B43" s="394" t="s">
        <v>2423</v>
      </c>
      <c r="C43" s="405">
        <f ca="1">ROUND(IF('数据-取费表'!B23&lt;=1,C39*F22*'数据-取费表'!B22/2,C39*(POWER((1+F22),'数据-取费表'!B22/2)-1)),0)</f>
        <v>5355</v>
      </c>
      <c r="D43" s="405"/>
      <c r="E43" s="405"/>
      <c r="F43" s="406"/>
      <c r="G43" s="3505"/>
    </row>
    <row r="44" spans="1:7" ht="13.5" customHeight="1">
      <c r="A44" s="393" t="s">
        <v>2254</v>
      </c>
      <c r="B44" s="394" t="s">
        <v>2424</v>
      </c>
      <c r="C44" s="405">
        <f ca="1">ROUND(IF('数据-取费表'!B23&lt;=1,C40*F22*'数据-取费表'!B22/2,C40*(POWER((1+F22),'数据-取费表'!B22/2)-1)),4)</f>
        <v>1.1000000000000001E-3</v>
      </c>
      <c r="D44" s="405"/>
      <c r="E44" s="405"/>
      <c r="F44" s="406"/>
      <c r="G44" s="3506"/>
    </row>
    <row r="45" spans="1:7" s="392" customFormat="1" ht="13.5" customHeight="1">
      <c r="A45" s="421" t="s">
        <v>2245</v>
      </c>
      <c r="B45" s="411" t="s">
        <v>757</v>
      </c>
      <c r="C45" s="412">
        <f>C46</f>
        <v>1264285</v>
      </c>
      <c r="D45" s="402">
        <f>C47</f>
        <v>5.0000000000000001E-3</v>
      </c>
      <c r="E45" s="403" t="s">
        <v>769</v>
      </c>
      <c r="F45" s="413"/>
      <c r="G45" s="414" t="s">
        <v>2434</v>
      </c>
    </row>
    <row r="46" spans="1:7" s="392" customFormat="1" ht="13.5" customHeight="1">
      <c r="A46" s="393" t="s">
        <v>2252</v>
      </c>
      <c r="B46" s="415" t="s">
        <v>2431</v>
      </c>
      <c r="C46" s="416">
        <f>ROUND((C33+C39)*F27,0)</f>
        <v>1264285</v>
      </c>
      <c r="D46" s="426"/>
      <c r="E46" s="403"/>
      <c r="F46" s="413"/>
      <c r="G46" s="414"/>
    </row>
    <row r="47" spans="1:7" s="392" customFormat="1" ht="13.5" customHeight="1">
      <c r="A47" s="393" t="s">
        <v>2253</v>
      </c>
      <c r="B47" s="415" t="s">
        <v>2432</v>
      </c>
      <c r="C47" s="405">
        <f>ROUND(C40*F27,4)</f>
        <v>5.0000000000000001E-3</v>
      </c>
      <c r="D47" s="426"/>
      <c r="E47" s="403"/>
      <c r="F47" s="413"/>
      <c r="G47" s="414"/>
    </row>
    <row r="48" spans="1:7" s="392" customFormat="1" ht="13.5" customHeight="1">
      <c r="A48" s="2285" t="s">
        <v>2246</v>
      </c>
      <c r="B48" s="390" t="s">
        <v>764</v>
      </c>
      <c r="C48" s="3001">
        <f>ROUND(F30/(1+'数据-取费表'!F30),4)</f>
        <v>5.6000000000000001E-2</v>
      </c>
      <c r="D48" s="403" t="s">
        <v>2799</v>
      </c>
      <c r="E48" s="400"/>
      <c r="F48" s="404"/>
      <c r="G48" s="2436" t="s">
        <v>2800</v>
      </c>
    </row>
    <row r="49" spans="1:7" ht="16.5" customHeight="1">
      <c r="A49" s="2285" t="s">
        <v>2249</v>
      </c>
      <c r="B49" s="390" t="s">
        <v>1850</v>
      </c>
      <c r="C49" s="400">
        <f ca="1">ROUND((C33+C39+C41+C45)/(1-C40-D41-D45-C48),0)</f>
        <v>7184345</v>
      </c>
      <c r="D49" s="400"/>
      <c r="E49" s="400"/>
      <c r="F49" s="427"/>
      <c r="G49" s="2436" t="s">
        <v>2435</v>
      </c>
    </row>
    <row r="50" spans="1:7" s="423" customFormat="1" ht="24">
      <c r="A50" s="2285" t="s">
        <v>2250</v>
      </c>
      <c r="B50" s="390" t="s">
        <v>765</v>
      </c>
      <c r="C50" s="400"/>
      <c r="D50" s="400"/>
      <c r="E50" s="400"/>
      <c r="F50" s="427">
        <f>IF('数据-取费表'!B25=0,'数据-取费表'!E20,1)</f>
        <v>1</v>
      </c>
      <c r="G50" s="414" t="s">
        <v>766</v>
      </c>
    </row>
    <row r="51" spans="1:7" ht="16.5" customHeight="1">
      <c r="A51" s="2285" t="s">
        <v>2251</v>
      </c>
      <c r="B51" s="390" t="s">
        <v>1852</v>
      </c>
      <c r="C51" s="400">
        <f ca="1">ROUND(C49*F50,0)</f>
        <v>7184345</v>
      </c>
      <c r="D51" s="400"/>
      <c r="E51" s="400"/>
      <c r="F51" s="427"/>
      <c r="G51" s="401" t="s">
        <v>368</v>
      </c>
    </row>
    <row r="52" spans="1:7" s="389" customFormat="1" ht="16.5" thickBot="1">
      <c r="A52" s="428" t="s">
        <v>369</v>
      </c>
      <c r="B52" s="429"/>
      <c r="C52" s="430">
        <f ca="1">C31+C51</f>
        <v>16173536</v>
      </c>
      <c r="D52" s="429"/>
      <c r="E52" s="429"/>
      <c r="F52" s="429"/>
      <c r="G52" s="431"/>
    </row>
    <row r="55" spans="1:7" ht="15">
      <c r="B55" s="433" t="s">
        <v>370</v>
      </c>
      <c r="C55" s="434"/>
    </row>
    <row r="56" spans="1:7">
      <c r="B56" s="436" t="s">
        <v>371</v>
      </c>
      <c r="C56" s="437">
        <f ca="1">ROUND(C51/C52,3)</f>
        <v>0.44400000000000001</v>
      </c>
    </row>
    <row r="57" spans="1:7">
      <c r="B57" s="436" t="s">
        <v>372</v>
      </c>
      <c r="C57" s="438">
        <f ca="1">1-C56</f>
        <v>0.55600000000000005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2286</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2259</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2260</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2261</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2807</v>
      </c>
      <c r="B11" s="463" t="s">
        <v>783</v>
      </c>
      <c r="C11" s="464">
        <f>IF(C1="仅计算典型户型",'数据-取费表'!F18,'数据-取费表'!E18)</f>
        <v>0</v>
      </c>
      <c r="D11" s="465"/>
      <c r="E11" s="287"/>
      <c r="F11" s="466">
        <f>1-'数据-取费表'!E20</f>
        <v>0</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2808</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2809</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2810</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2811</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2812</v>
      </c>
      <c r="B16" s="3016" t="s">
        <v>2813</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2814</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2815</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2264</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2265</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2259</v>
      </c>
      <c r="B21" s="478" t="s">
        <v>798</v>
      </c>
      <c r="C21" s="479">
        <f>C16+C17+C18</f>
        <v>0</v>
      </c>
      <c r="D21" s="480"/>
      <c r="E21" s="481"/>
      <c r="F21" s="481"/>
      <c r="G21" s="448" t="s">
        <v>2816</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2260</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7" t="s">
        <v>2261</v>
      </c>
      <c r="B23" s="478" t="s">
        <v>801</v>
      </c>
      <c r="C23" s="479">
        <f>ROUND(C4*F23*F11,0)</f>
        <v>0</v>
      </c>
      <c r="D23" s="481"/>
      <c r="E23" s="481"/>
      <c r="F23" s="482">
        <f>'数据-取费表'!E26</f>
        <v>0.02</v>
      </c>
      <c r="G23" s="457" t="s">
        <v>802</v>
      </c>
      <c r="H23" s="460"/>
      <c r="I23" s="460"/>
      <c r="J23" s="460"/>
      <c r="K23" s="461"/>
    </row>
    <row r="24" spans="1:33" s="467" customFormat="1" ht="13.5" customHeight="1">
      <c r="A24" s="2287" t="s">
        <v>2266</v>
      </c>
      <c r="B24" s="478" t="s">
        <v>803</v>
      </c>
      <c r="C24" s="484">
        <f>ROUND(F24/(1+'数据-取费表'!F30),4)</f>
        <v>3.0499999999999999E-2</v>
      </c>
      <c r="D24" s="485" t="s">
        <v>35</v>
      </c>
      <c r="E24" s="485"/>
      <c r="F24" s="482">
        <f>'数据-取费表'!E36+'数据-取费表'!E37</f>
        <v>3.0499999999999999E-2</v>
      </c>
      <c r="G24" s="3015" t="s">
        <v>2806</v>
      </c>
      <c r="H24" s="487"/>
      <c r="I24" s="487"/>
      <c r="J24" s="487"/>
      <c r="K24" s="488"/>
    </row>
    <row r="25" spans="1:33" s="483" customFormat="1" ht="13.5" customHeight="1">
      <c r="A25" s="2287" t="s">
        <v>2267</v>
      </c>
      <c r="B25" s="480" t="s">
        <v>804</v>
      </c>
      <c r="C25" s="489">
        <f ca="1">C27</f>
        <v>0</v>
      </c>
      <c r="D25" s="484">
        <f ca="1">C26</f>
        <v>0</v>
      </c>
      <c r="E25" s="490" t="s">
        <v>35</v>
      </c>
      <c r="F25" s="491">
        <f ca="1">'数据-取费表'!E27</f>
        <v>5.4000000000000006E-2</v>
      </c>
      <c r="G25" s="448" t="s">
        <v>816</v>
      </c>
      <c r="H25" s="487"/>
      <c r="I25" s="487"/>
      <c r="J25" s="487"/>
      <c r="K25" s="488"/>
    </row>
    <row r="26" spans="1:33" s="497" customFormat="1" ht="13.5" customHeight="1">
      <c r="A26" s="2289" t="s">
        <v>2262</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2263</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2268</v>
      </c>
      <c r="B28" s="499" t="s">
        <v>808</v>
      </c>
      <c r="C28" s="500">
        <f>C30</f>
        <v>0</v>
      </c>
      <c r="D28" s="484">
        <f>C29</f>
        <v>0.2576</v>
      </c>
      <c r="E28" s="490" t="s">
        <v>35</v>
      </c>
      <c r="F28" s="501">
        <f>'数据-取费表'!E28</f>
        <v>0.25</v>
      </c>
      <c r="G28" s="486"/>
      <c r="H28" s="487"/>
      <c r="I28" s="487"/>
      <c r="J28" s="487"/>
      <c r="K28" s="488"/>
    </row>
    <row r="29" spans="1:33" s="505" customFormat="1" ht="13.5" customHeight="1">
      <c r="A29" s="2289" t="s">
        <v>2262</v>
      </c>
      <c r="B29" s="503" t="s">
        <v>809</v>
      </c>
      <c r="C29" s="494">
        <f>ROUND((1+C24)*F28,4)</f>
        <v>0.2576</v>
      </c>
      <c r="D29" s="494"/>
      <c r="E29" s="495"/>
      <c r="F29" s="504"/>
      <c r="G29" s="448" t="s">
        <v>810</v>
      </c>
      <c r="H29" s="471"/>
      <c r="I29" s="471"/>
      <c r="J29" s="471"/>
      <c r="K29" s="472"/>
    </row>
    <row r="30" spans="1:33" s="505" customFormat="1" ht="13.5" customHeight="1">
      <c r="A30" s="2289" t="s">
        <v>2263</v>
      </c>
      <c r="B30" s="503" t="s">
        <v>811</v>
      </c>
      <c r="C30" s="506">
        <f>ROUND((C21+C22+C23)*F28,0)</f>
        <v>0</v>
      </c>
      <c r="D30" s="494"/>
      <c r="E30" s="507"/>
      <c r="F30" s="504"/>
      <c r="G30" s="448"/>
      <c r="H30" s="471"/>
      <c r="I30" s="471"/>
      <c r="J30" s="471"/>
      <c r="K30" s="472"/>
    </row>
    <row r="31" spans="1:33" s="483" customFormat="1" ht="13.5" customHeight="1" thickBot="1">
      <c r="A31" s="2290" t="s">
        <v>2269</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2205</v>
      </c>
      <c r="B8" s="2025" t="s">
        <v>2204</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2205</v>
      </c>
      <c r="B11" s="2025" t="s">
        <v>2206</v>
      </c>
      <c r="C11" s="1745"/>
    </row>
    <row r="12" spans="1:7">
      <c r="A12" s="2023"/>
      <c r="B12" s="1859" t="str">
        <f>项目基本情况!B4</f>
        <v>江西省检察院</v>
      </c>
      <c r="C12" s="1745"/>
    </row>
    <row r="13" spans="1:7">
      <c r="A13" s="2023"/>
      <c r="B13" s="1859"/>
      <c r="C13" s="1745"/>
    </row>
    <row r="14" spans="1:7">
      <c r="A14" s="2026" t="s">
        <v>2205</v>
      </c>
      <c r="B14" s="2025" t="s">
        <v>2207</v>
      </c>
      <c r="C14" s="1745"/>
    </row>
    <row r="15" spans="1:7">
      <c r="A15" s="2023"/>
      <c r="B15" s="1859" t="s">
        <v>1941</v>
      </c>
      <c r="C15" s="1745"/>
    </row>
    <row r="16" spans="1:7">
      <c r="A16" s="2023"/>
      <c r="B16" s="1859"/>
      <c r="C16" s="1745"/>
    </row>
    <row r="17" spans="1:5">
      <c r="A17" s="2026" t="s">
        <v>2205</v>
      </c>
      <c r="B17" s="2025" t="s">
        <v>2208</v>
      </c>
      <c r="C17" s="1745"/>
    </row>
    <row r="18" spans="1:5" s="1749" customFormat="1">
      <c r="A18" s="2024"/>
      <c r="B18" s="1859" t="str">
        <f ca="1">CONCATENATE(项目基本情况!B3,"（注册号:",项目基本情况!C3,"）、",项目基本情况!D3,"（注册号:",项目基本情况!E3,")")</f>
        <v>刘梅（注册号:1120140022）、吴薇（注册号:1419970001)</v>
      </c>
      <c r="C18" s="1748"/>
      <c r="E18" s="1748"/>
    </row>
    <row r="19" spans="1:5">
      <c r="A19" s="2023"/>
      <c r="B19" s="1859"/>
      <c r="C19" s="1745"/>
    </row>
    <row r="20" spans="1:5">
      <c r="A20" s="2026" t="s">
        <v>2205</v>
      </c>
      <c r="B20" s="2025" t="s">
        <v>2209</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4.4771526833016601E+48</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1.2824475618864101E+46</v>
      </c>
      <c r="C3" s="1090" t="s">
        <v>1012</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0</v>
      </c>
      <c r="D5" s="2453" t="s">
        <v>2447</v>
      </c>
      <c r="E5" s="2130"/>
      <c r="F5" s="2444"/>
      <c r="G5" s="2154"/>
      <c r="H5" s="534">
        <v>1</v>
      </c>
      <c r="I5" s="535" t="s">
        <v>824</v>
      </c>
      <c r="J5" s="536">
        <f ca="1">J6+J10+J12</f>
        <v>0</v>
      </c>
      <c r="K5" s="2453" t="s">
        <v>2447</v>
      </c>
      <c r="L5" s="2130"/>
      <c r="M5" s="2444"/>
    </row>
    <row r="6" spans="1:37" ht="18" customHeight="1">
      <c r="A6" s="2445" t="s">
        <v>2226</v>
      </c>
      <c r="B6" s="1813" t="s">
        <v>2505</v>
      </c>
      <c r="C6" s="536">
        <f>ROUND(F6*F8*F7*(1-F9),0)</f>
        <v>0</v>
      </c>
      <c r="D6" s="2451" t="s">
        <v>2445</v>
      </c>
      <c r="E6" s="537" t="s">
        <v>826</v>
      </c>
      <c r="F6" s="538">
        <f>'数据-取费表'!B29</f>
        <v>0</v>
      </c>
      <c r="G6" s="2154"/>
      <c r="H6" s="2445" t="s">
        <v>2509</v>
      </c>
      <c r="I6" s="1813" t="s">
        <v>2506</v>
      </c>
      <c r="J6" s="536">
        <f>ROUND(M6*M8*M7*(1-M9),0)</f>
        <v>0</v>
      </c>
      <c r="K6" s="297" t="s">
        <v>825</v>
      </c>
      <c r="L6" s="537" t="s">
        <v>826</v>
      </c>
      <c r="M6" s="538">
        <f>'数据-取费表'!B36</f>
        <v>0</v>
      </c>
    </row>
    <row r="7" spans="1:37" ht="18" customHeight="1">
      <c r="A7" s="2517"/>
      <c r="B7" s="2443"/>
      <c r="C7" s="541"/>
      <c r="D7" s="2442"/>
      <c r="E7" s="537" t="s">
        <v>827</v>
      </c>
      <c r="F7" s="538">
        <f>IF('数据-取费表'!B41="",IF(D1="仅计算典型户型",'数据-取费表'!E5,'数据-取费表'!B5),'数据-取费表'!B41)</f>
        <v>349.11</v>
      </c>
      <c r="G7" s="2154"/>
      <c r="H7" s="539"/>
      <c r="I7" s="2443"/>
      <c r="J7" s="541"/>
      <c r="K7" s="542"/>
      <c r="L7" s="537" t="s">
        <v>827</v>
      </c>
      <c r="M7" s="538">
        <f>IF('数据-取费表'!B41="",IF(D1="仅计算典型户型",'数据-取费表'!E5,'数据-取费表'!B5),'数据-取费表'!B41)</f>
        <v>349.11</v>
      </c>
    </row>
    <row r="8" spans="1:37" ht="18" customHeight="1">
      <c r="A8" s="2517"/>
      <c r="B8" s="2443"/>
      <c r="C8" s="541"/>
      <c r="D8" s="2442"/>
      <c r="E8" s="1665" t="s">
        <v>2287</v>
      </c>
      <c r="F8" s="538">
        <f>'数据-取费表'!B42</f>
        <v>0</v>
      </c>
      <c r="G8" s="2154"/>
      <c r="H8" s="539"/>
      <c r="I8" s="2443"/>
      <c r="J8" s="541"/>
      <c r="K8" s="542"/>
      <c r="L8" s="537" t="s">
        <v>828</v>
      </c>
      <c r="M8" s="538">
        <f>'数据-取费表'!B42</f>
        <v>0</v>
      </c>
    </row>
    <row r="9" spans="1:37" ht="18" customHeight="1">
      <c r="A9" s="2517"/>
      <c r="B9" s="2443"/>
      <c r="C9" s="541"/>
      <c r="D9" s="2452"/>
      <c r="E9" s="537" t="s">
        <v>829</v>
      </c>
      <c r="F9" s="547">
        <f>'数据-取费表'!B32</f>
        <v>0</v>
      </c>
      <c r="G9" s="2154"/>
      <c r="H9" s="539"/>
      <c r="I9" s="2443"/>
      <c r="J9" s="2450"/>
      <c r="K9" s="312"/>
      <c r="L9" s="548" t="s">
        <v>829</v>
      </c>
      <c r="M9" s="547">
        <f>'数据-取费表'!B38</f>
        <v>0</v>
      </c>
    </row>
    <row r="10" spans="1:37" ht="18" customHeight="1">
      <c r="A10" s="2445" t="s">
        <v>2507</v>
      </c>
      <c r="B10" s="2448" t="s">
        <v>2440</v>
      </c>
      <c r="C10" s="2447">
        <f ca="1">ROUND(IF(F10="押一",F6*F7*F8/12*F11,IF(F10="押二",F6*F7*F8/12*2*F11,IF(F10="押三",F6*F7*F8/12*3*F11,C11*F11))),0)</f>
        <v>0</v>
      </c>
      <c r="D10" s="2446" t="s">
        <v>2443</v>
      </c>
      <c r="E10" s="2441" t="s">
        <v>2444</v>
      </c>
      <c r="F10" s="2449" t="s">
        <v>2895</v>
      </c>
      <c r="G10" s="2154"/>
      <c r="H10" s="2445" t="s">
        <v>2510</v>
      </c>
      <c r="I10" s="2448" t="s">
        <v>2440</v>
      </c>
      <c r="J10" s="2447">
        <f ca="1">ROUND(IF(M10="押一",M6*M8*M7/12*M11,IF(M10="押二",M6*M8*M7/12*2*M11,IF(M10="押三",M6*M8*M7/12*3*M11,J11*M11))),0)</f>
        <v>0</v>
      </c>
      <c r="K10" s="2451" t="s">
        <v>2443</v>
      </c>
      <c r="L10" s="2441" t="s">
        <v>2444</v>
      </c>
      <c r="M10" s="2449"/>
    </row>
    <row r="11" spans="1:37" s="559" customFormat="1" ht="18" customHeight="1">
      <c r="A11" s="566"/>
      <c r="B11" s="2454" t="s">
        <v>2504</v>
      </c>
      <c r="C11" s="2486"/>
      <c r="D11" s="2442"/>
      <c r="E11" s="2441" t="s">
        <v>2442</v>
      </c>
      <c r="F11" s="549">
        <f ca="1">'数据-取费表'!B30</f>
        <v>2.2499999999999999E-2</v>
      </c>
      <c r="G11" s="2155"/>
      <c r="H11" s="543"/>
      <c r="I11" s="2454" t="s">
        <v>2569</v>
      </c>
      <c r="J11" s="2486"/>
      <c r="K11" s="2442"/>
      <c r="L11" s="2441" t="s">
        <v>2442</v>
      </c>
      <c r="M11" s="549">
        <f ca="1">'数据-取费表'!B30</f>
        <v>2.2499999999999999E-2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2508</v>
      </c>
      <c r="B12" s="2493" t="s">
        <v>2446</v>
      </c>
      <c r="C12" s="2494"/>
      <c r="D12" s="2495"/>
      <c r="E12" s="1829"/>
      <c r="F12" s="2496"/>
      <c r="G12" s="2154"/>
      <c r="H12" s="2492" t="s">
        <v>2511</v>
      </c>
      <c r="I12" s="2493" t="s">
        <v>2446</v>
      </c>
      <c r="J12" s="2494"/>
      <c r="K12" s="2511"/>
      <c r="L12" s="1829"/>
      <c r="M12" s="2512"/>
    </row>
    <row r="13" spans="1:37" s="559" customFormat="1" ht="18" customHeight="1" thickTop="1">
      <c r="A13" s="2488">
        <v>2</v>
      </c>
      <c r="B13" s="2489" t="s">
        <v>830</v>
      </c>
      <c r="C13" s="545">
        <f ca="1">ROUND(C29*F13,0)</f>
        <v>7184345</v>
      </c>
      <c r="D13" s="2490" t="s">
        <v>831</v>
      </c>
      <c r="E13" s="2490" t="s">
        <v>832</v>
      </c>
      <c r="F13" s="2491">
        <f>'数据-取费表'!E20</f>
        <v>1</v>
      </c>
      <c r="G13" s="2155"/>
      <c r="H13" s="2488">
        <v>2</v>
      </c>
      <c r="I13" s="2489" t="s">
        <v>830</v>
      </c>
      <c r="J13" s="2450">
        <f ca="1">ROUND(J14*J15,0)</f>
        <v>0</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2234</v>
      </c>
      <c r="B14" s="537" t="s">
        <v>373</v>
      </c>
      <c r="C14" s="556">
        <f>IF(D1="仅计算典型户型",'数据-取费表'!F18,'数据-取费表'!E18)</f>
        <v>4464070</v>
      </c>
      <c r="D14" s="2437" t="s">
        <v>833</v>
      </c>
      <c r="E14" s="2438"/>
      <c r="F14" s="1634"/>
      <c r="G14" s="2155"/>
      <c r="H14" s="555" t="s">
        <v>2226</v>
      </c>
      <c r="I14" s="537" t="s">
        <v>834</v>
      </c>
      <c r="J14" s="197">
        <f ca="1">C29</f>
        <v>7184345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2235</v>
      </c>
      <c r="B15" s="537" t="s">
        <v>374</v>
      </c>
      <c r="C15" s="197">
        <f>ROUND(C14*F15,0)</f>
        <v>133922</v>
      </c>
      <c r="D15" s="557" t="s">
        <v>835</v>
      </c>
      <c r="E15" s="557" t="s">
        <v>836</v>
      </c>
      <c r="F15" s="558">
        <f>'数据-取费表'!E21</f>
        <v>0.03</v>
      </c>
      <c r="G15" s="2154"/>
      <c r="H15" s="2500" t="s">
        <v>2240</v>
      </c>
      <c r="I15" s="2501" t="s">
        <v>832</v>
      </c>
      <c r="J15" s="2513">
        <f>'数据-取费表'!B39</f>
        <v>0</v>
      </c>
      <c r="K15" s="2514"/>
      <c r="L15" s="2515"/>
      <c r="M15" s="2516"/>
    </row>
    <row r="16" spans="1:37" s="559" customFormat="1" ht="18" customHeight="1" thickTop="1">
      <c r="A16" s="555" t="s">
        <v>2236</v>
      </c>
      <c r="B16" s="537" t="s">
        <v>375</v>
      </c>
      <c r="C16" s="197">
        <f>ROUND(C14*F16,0)</f>
        <v>223204</v>
      </c>
      <c r="D16" s="537" t="s">
        <v>835</v>
      </c>
      <c r="E16" s="537" t="s">
        <v>836</v>
      </c>
      <c r="F16" s="560">
        <f>IF('数据-取费表'!B10="住宅",'数据-取费表'!E22,0)</f>
        <v>0.05</v>
      </c>
      <c r="G16" s="2155"/>
      <c r="H16" s="2488" t="s">
        <v>38</v>
      </c>
      <c r="I16" s="2489" t="s">
        <v>837</v>
      </c>
      <c r="J16" s="545">
        <f ca="1">ROUND(J17+J22+J23+J24,0)</f>
        <v>60349</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2237</v>
      </c>
      <c r="B17" s="537" t="s">
        <v>376</v>
      </c>
      <c r="C17" s="197">
        <f>ROUND(F17*IF(D1="仅计算典型户型",'数据-取费表'!E5,'数据-取费表'!B5),0)</f>
        <v>69822</v>
      </c>
      <c r="D17" s="537" t="s">
        <v>839</v>
      </c>
      <c r="E17" s="537" t="s">
        <v>840</v>
      </c>
      <c r="F17" s="199">
        <f>'数据-取费表'!E23</f>
        <v>200</v>
      </c>
      <c r="G17" s="2155"/>
      <c r="H17" s="555" t="s">
        <v>2232</v>
      </c>
      <c r="I17" s="537" t="s">
        <v>377</v>
      </c>
      <c r="J17" s="197">
        <f ca="1">ROUND(IF(项目基本情况!B7="自然人",J5*M17,J18+J19+J20),0)</f>
        <v>60349</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2238</v>
      </c>
      <c r="B18" s="537" t="s">
        <v>378</v>
      </c>
      <c r="C18" s="197">
        <f>ROUND(C14*F18,0)</f>
        <v>66961</v>
      </c>
      <c r="D18" s="537" t="s">
        <v>835</v>
      </c>
      <c r="E18" s="537" t="s">
        <v>836</v>
      </c>
      <c r="F18" s="560">
        <f>'数据-取费表'!E24</f>
        <v>1.4999999999999999E-2</v>
      </c>
      <c r="G18" s="2154"/>
      <c r="H18" s="555" t="s">
        <v>2234</v>
      </c>
      <c r="I18" s="537" t="s">
        <v>843</v>
      </c>
      <c r="J18" s="197">
        <f ca="1">IF(项目基本情况!B7="自然人","——",ROUND(J5*M18/(1+'数据-取费表'!F30),0))</f>
        <v>0</v>
      </c>
      <c r="K18" s="2068" t="s">
        <v>844</v>
      </c>
      <c r="L18" s="537" t="s">
        <v>836</v>
      </c>
      <c r="M18" s="560">
        <f>'数据-取费表'!E29</f>
        <v>5.6000000000000001E-2</v>
      </c>
    </row>
    <row r="19" spans="1:37" s="559" customFormat="1" ht="18" customHeight="1">
      <c r="A19" s="555" t="s">
        <v>2436</v>
      </c>
      <c r="B19" s="537" t="s">
        <v>380</v>
      </c>
      <c r="C19" s="197">
        <f>SUM(C14:C18)</f>
        <v>4957979</v>
      </c>
      <c r="D19" s="272" t="s">
        <v>845</v>
      </c>
      <c r="E19" s="2440"/>
      <c r="F19" s="199"/>
      <c r="G19" s="2155"/>
      <c r="H19" s="555" t="s">
        <v>2235</v>
      </c>
      <c r="I19" s="537" t="s">
        <v>846</v>
      </c>
      <c r="J19" s="197">
        <f ca="1">IF(项目基本情况!B7="自然人","——",IF(K19="按租金收入计税",ROUND(J5*M19,1),ROUND(C29*M19*0.7,1)))</f>
        <v>60348.5</v>
      </c>
      <c r="K19" s="1091" t="s">
        <v>2217</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2437</v>
      </c>
      <c r="B20" s="537" t="s">
        <v>381</v>
      </c>
      <c r="C20" s="197">
        <f>ROUND(C19*F20,0)</f>
        <v>99160</v>
      </c>
      <c r="D20" s="562" t="s">
        <v>847</v>
      </c>
      <c r="E20" s="537" t="s">
        <v>836</v>
      </c>
      <c r="F20" s="560">
        <f>'数据-取费表'!E25</f>
        <v>0.02</v>
      </c>
      <c r="G20" s="2155"/>
      <c r="H20" s="555" t="s">
        <v>2236</v>
      </c>
      <c r="I20" s="297" t="s">
        <v>848</v>
      </c>
      <c r="J20" s="198">
        <f>IF(项目基本情况!B7="自然人","——",ROUND(M20*M21,0))</f>
        <v>0</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2227</v>
      </c>
      <c r="B21" s="537" t="s">
        <v>851</v>
      </c>
      <c r="C21" s="991">
        <f>F21</f>
        <v>0.02</v>
      </c>
      <c r="D21" s="562" t="s">
        <v>852</v>
      </c>
      <c r="E21" s="537" t="s">
        <v>853</v>
      </c>
      <c r="F21" s="560">
        <f>'数据-取费表'!E26</f>
        <v>0.02</v>
      </c>
      <c r="G21" s="2154"/>
      <c r="H21" s="566"/>
      <c r="I21" s="546"/>
      <c r="J21" s="202"/>
      <c r="K21" s="567"/>
      <c r="L21" s="537" t="s">
        <v>854</v>
      </c>
      <c r="M21" s="538">
        <f>IF(D1="仅计算典型户型",'数据-取费表'!E6,'数据-取费表'!B6)</f>
        <v>0</v>
      </c>
    </row>
    <row r="22" spans="1:37" ht="18" customHeight="1">
      <c r="A22" s="555" t="s">
        <v>2228</v>
      </c>
      <c r="B22" s="537" t="s">
        <v>855</v>
      </c>
      <c r="C22" s="197"/>
      <c r="D22" s="2528" t="str">
        <f>IF(F23&lt;=1,"单利计息。","复利计息。")&amp;"建造成本、管理费用、销售费用产生的利息。"</f>
        <v>复利计息。建造成本、管理费用、销售费用产生的利息。</v>
      </c>
      <c r="E22" s="2440"/>
      <c r="F22" s="199"/>
      <c r="G22" s="2154"/>
      <c r="H22" s="555" t="s">
        <v>2233</v>
      </c>
      <c r="I22" s="537" t="s">
        <v>856</v>
      </c>
      <c r="J22" s="197">
        <f ca="1">ROUND(J14*M22,0)</f>
        <v>0</v>
      </c>
      <c r="K22" s="2068" t="s">
        <v>857</v>
      </c>
      <c r="L22" s="537" t="s">
        <v>836</v>
      </c>
      <c r="M22" s="568">
        <f>'数据-取费表'!B44</f>
        <v>0</v>
      </c>
    </row>
    <row r="23" spans="1:37" ht="18" customHeight="1">
      <c r="A23" s="555" t="s">
        <v>2234</v>
      </c>
      <c r="B23" s="537" t="s">
        <v>2438</v>
      </c>
      <c r="C23" s="197">
        <f ca="1">IF('数据-取费表'!B23&lt;=1,ROUND(C19*F24*F23/2,0)+ROUND(C20*F24*F23/2,0),ROUND(C19*(POWER((1+F24),F23/2)-1),0)+ROUND(C20*(POWER((1+F24),F23/2)-1),0))</f>
        <v>273086</v>
      </c>
      <c r="D23" s="1658" t="str">
        <f>IF(F23&lt;=1,"(建造成本+管理费用)×利率×(建设周期÷2)","(建造成本+管理费用)×((1+利率)^(建设周期÷2)-1)")</f>
        <v>(建造成本+管理费用)×((1+利率)^(建设周期÷2)-1)</v>
      </c>
      <c r="E23" s="537" t="s">
        <v>858</v>
      </c>
      <c r="F23" s="565">
        <f>'数据-取费表'!B21</f>
        <v>2</v>
      </c>
      <c r="G23" s="2154"/>
      <c r="H23" s="555" t="s">
        <v>2227</v>
      </c>
      <c r="I23" s="537" t="s">
        <v>382</v>
      </c>
      <c r="J23" s="197">
        <f ca="1">ROUND(J13*M23,0)</f>
        <v>0</v>
      </c>
      <c r="K23" s="2068" t="s">
        <v>859</v>
      </c>
      <c r="L23" s="537" t="s">
        <v>836</v>
      </c>
      <c r="M23" s="569">
        <f>'数据-取费表'!B45</f>
        <v>0</v>
      </c>
    </row>
    <row r="24" spans="1:37" s="559" customFormat="1" ht="18" customHeight="1" thickBot="1">
      <c r="A24" s="555" t="s">
        <v>2239</v>
      </c>
      <c r="B24" s="537" t="s">
        <v>860</v>
      </c>
      <c r="C24" s="197">
        <f ca="1">ROUND(IF('数据-取费表'!B23&lt;=1,F21*F24*F23/2,F21*(POWER((1+F24),F23/2)-1)),4)</f>
        <v>1.1000000000000001E-3</v>
      </c>
      <c r="D24" s="1658" t="str">
        <f>IF(F23&lt;=1,"销售费用×利率×(建设周期÷2)","销售费用×((1+利率)^(建设周期÷2)-1)")</f>
        <v>销售费用×((1+利率)^(建设周期÷2)-1)</v>
      </c>
      <c r="E24" s="537" t="s">
        <v>861</v>
      </c>
      <c r="F24" s="570">
        <f ca="1">'数据-取费表'!E27</f>
        <v>5.4000000000000006E-2</v>
      </c>
      <c r="G24" s="2155"/>
      <c r="H24" s="2500" t="s">
        <v>2228</v>
      </c>
      <c r="I24" s="2501" t="s">
        <v>381</v>
      </c>
      <c r="J24" s="2502">
        <f ca="1">ROUND(J5*M24,0)</f>
        <v>0</v>
      </c>
      <c r="K24" s="2503" t="s">
        <v>862</v>
      </c>
      <c r="L24" s="2501" t="s">
        <v>836</v>
      </c>
      <c r="M24" s="2496">
        <f>'数据-取费表'!B46</f>
        <v>0</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2229</v>
      </c>
      <c r="B25" s="537" t="s">
        <v>386</v>
      </c>
      <c r="C25" s="197"/>
      <c r="D25" s="272" t="s">
        <v>863</v>
      </c>
      <c r="E25" s="2440"/>
      <c r="F25" s="199"/>
      <c r="G25" s="2155"/>
      <c r="H25" s="2488" t="s">
        <v>46</v>
      </c>
      <c r="I25" s="2505" t="s">
        <v>864</v>
      </c>
      <c r="J25" s="545">
        <f ca="1">J5-J16</f>
        <v>-60349</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2234</v>
      </c>
      <c r="B26" s="537" t="s">
        <v>2439</v>
      </c>
      <c r="C26" s="197">
        <f>ROUND((C19+C20)*F26,0)</f>
        <v>1264285</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2239</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2230</v>
      </c>
      <c r="B28" s="537" t="s">
        <v>390</v>
      </c>
      <c r="C28" s="197">
        <f>ROUND(F28/(1+'数据-取费表'!F30),4)</f>
        <v>5.6000000000000001E-2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0" t="s">
        <v>2231</v>
      </c>
      <c r="B29" s="2501" t="s">
        <v>881</v>
      </c>
      <c r="C29" s="2502">
        <f ca="1">ROUND((C19+C20+C23+C26)/(1-F21-C24-C27-C28),0)</f>
        <v>7184345</v>
      </c>
      <c r="D29" s="2503"/>
      <c r="E29" s="2501"/>
      <c r="F29" s="2504"/>
      <c r="G29" s="1268"/>
      <c r="H29" s="574" t="s">
        <v>48</v>
      </c>
      <c r="I29" s="575" t="s">
        <v>872</v>
      </c>
      <c r="J29" s="576">
        <f ca="1">ROUND(J26/(1+F40)^F41,0)</f>
        <v>0</v>
      </c>
      <c r="K29" s="577" t="s">
        <v>873</v>
      </c>
      <c r="L29" s="578"/>
      <c r="M29" s="579">
        <f>IF(D1="仅计算典型户型",'数据-取费表'!E5,'数据-取费表'!B5)</f>
        <v>349.11</v>
      </c>
    </row>
    <row r="30" spans="1:37" ht="18" customHeight="1" thickTop="1">
      <c r="A30" s="2488" t="s">
        <v>38</v>
      </c>
      <c r="B30" s="2489" t="s">
        <v>837</v>
      </c>
      <c r="C30" s="545">
        <f ca="1">ROUND(C31+C36+C37+C38,0)</f>
        <v>60349</v>
      </c>
      <c r="D30" s="2497" t="s">
        <v>838</v>
      </c>
      <c r="E30" s="2498"/>
      <c r="F30" s="2499"/>
      <c r="G30" s="1268"/>
      <c r="H30" s="2134"/>
      <c r="I30" s="2135"/>
      <c r="J30" s="2136"/>
      <c r="K30" s="2137"/>
      <c r="L30" s="2138"/>
      <c r="M30" s="2139"/>
    </row>
    <row r="31" spans="1:37" ht="18" customHeight="1">
      <c r="A31" s="555" t="s">
        <v>2232</v>
      </c>
      <c r="B31" s="537" t="s">
        <v>377</v>
      </c>
      <c r="C31" s="197">
        <f ca="1">ROUND(IF(项目基本情况!B7="自然人",C5*F31,C32+C33+C34),1)</f>
        <v>60348.5</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2234</v>
      </c>
      <c r="B32" s="537" t="s">
        <v>843</v>
      </c>
      <c r="C32" s="197">
        <f ca="1">IF(项目基本情况!B7="自然人","——",ROUND(C5*F32/(1+'数据-取费表'!F30),0))</f>
        <v>0</v>
      </c>
      <c r="D32" s="2439" t="s">
        <v>844</v>
      </c>
      <c r="E32" s="537" t="s">
        <v>836</v>
      </c>
      <c r="F32" s="570">
        <f>'数据-取费表'!E29</f>
        <v>5.6000000000000001E-2</v>
      </c>
      <c r="G32" s="1268"/>
      <c r="H32" s="2140"/>
      <c r="I32" s="2141"/>
      <c r="J32" s="2142"/>
      <c r="K32" s="2143"/>
      <c r="L32" s="2144"/>
      <c r="M32" s="2145"/>
    </row>
    <row r="33" spans="1:18" ht="18" customHeight="1">
      <c r="A33" s="555" t="s">
        <v>2235</v>
      </c>
      <c r="B33" s="537" t="s">
        <v>846</v>
      </c>
      <c r="C33" s="197">
        <f ca="1">IF(项目基本情况!B7="自然人","——",IF(D33="按租金收入计税",ROUND(C5*F33,1),IF(D33="按房产原值计税",ROUND(C29*F33*0.7,1),'数据-取费表'!B43)))</f>
        <v>60348.5</v>
      </c>
      <c r="D33" s="1091" t="s">
        <v>2217</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2236</v>
      </c>
      <c r="B34" s="297" t="s">
        <v>883</v>
      </c>
      <c r="C34" s="198">
        <f>IF(项目基本情况!B7="自然人","——",ROUND(F34*F35,0))</f>
        <v>0</v>
      </c>
      <c r="D34" s="564" t="s">
        <v>884</v>
      </c>
      <c r="E34" s="537" t="s">
        <v>885</v>
      </c>
      <c r="F34" s="565">
        <f>'数据-取费表'!E40</f>
        <v>0</v>
      </c>
      <c r="G34" s="1268"/>
      <c r="H34" s="2134"/>
      <c r="I34" s="583" t="s">
        <v>886</v>
      </c>
      <c r="J34" s="584">
        <f ca="1">ROUND(C13*J35,0)</f>
        <v>610669</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8.5000000000000006E-2</v>
      </c>
      <c r="K35" s="2147"/>
      <c r="L35" s="2146"/>
      <c r="M35" s="2146"/>
    </row>
    <row r="36" spans="1:18" ht="18" customHeight="1">
      <c r="A36" s="2455" t="s">
        <v>2233</v>
      </c>
      <c r="B36" s="537" t="s">
        <v>856</v>
      </c>
      <c r="C36" s="197">
        <f ca="1">ROUND(C29*F36,0)</f>
        <v>0</v>
      </c>
      <c r="D36" s="2439" t="s">
        <v>888</v>
      </c>
      <c r="E36" s="537" t="s">
        <v>889</v>
      </c>
      <c r="F36" s="568">
        <f>'数据-取费表'!B44</f>
        <v>0</v>
      </c>
      <c r="G36" s="1268"/>
      <c r="H36" s="2146"/>
      <c r="I36" s="587" t="s">
        <v>890</v>
      </c>
      <c r="J36" s="588"/>
      <c r="K36" s="2150"/>
      <c r="L36" s="2146"/>
      <c r="M36" s="2146"/>
    </row>
    <row r="37" spans="1:18" ht="18" customHeight="1">
      <c r="A37" s="555" t="s">
        <v>2227</v>
      </c>
      <c r="B37" s="537" t="s">
        <v>382</v>
      </c>
      <c r="C37" s="197">
        <f ca="1">ROUND(C13*F37,0)</f>
        <v>0</v>
      </c>
      <c r="D37" s="2439" t="s">
        <v>383</v>
      </c>
      <c r="E37" s="537" t="s">
        <v>384</v>
      </c>
      <c r="F37" s="569">
        <f>'数据-取费表'!B45</f>
        <v>0</v>
      </c>
      <c r="G37" s="1268"/>
      <c r="H37" s="2146"/>
      <c r="I37" s="433" t="s">
        <v>874</v>
      </c>
      <c r="J37" s="589"/>
      <c r="K37" s="2150"/>
      <c r="L37" s="2146"/>
      <c r="M37" s="2146"/>
    </row>
    <row r="38" spans="1:18" ht="18" customHeight="1" thickBot="1">
      <c r="A38" s="2500" t="s">
        <v>2228</v>
      </c>
      <c r="B38" s="2501" t="s">
        <v>381</v>
      </c>
      <c r="C38" s="2502">
        <f ca="1">ROUND(C5*F38,0)</f>
        <v>0</v>
      </c>
      <c r="D38" s="2503" t="s">
        <v>385</v>
      </c>
      <c r="E38" s="2501" t="s">
        <v>384</v>
      </c>
      <c r="F38" s="2496">
        <f>'数据-取费表'!B46</f>
        <v>0</v>
      </c>
      <c r="G38" s="1268"/>
      <c r="H38" s="2146"/>
      <c r="I38" s="583" t="s">
        <v>875</v>
      </c>
      <c r="J38" s="437">
        <f ca="1">ROUND(J34/C39,3)</f>
        <v>-10.119</v>
      </c>
      <c r="K38" s="2151"/>
      <c r="L38" s="2146"/>
      <c r="M38" s="2146"/>
    </row>
    <row r="39" spans="1:18" ht="18" customHeight="1" thickTop="1">
      <c r="A39" s="2488" t="s">
        <v>46</v>
      </c>
      <c r="B39" s="2505" t="s">
        <v>391</v>
      </c>
      <c r="C39" s="545">
        <f ca="1">C5-C30</f>
        <v>-60349</v>
      </c>
      <c r="D39" s="2506" t="s">
        <v>392</v>
      </c>
      <c r="E39" s="2507"/>
      <c r="F39" s="2508"/>
      <c r="G39" s="1268"/>
      <c r="H39" s="2146"/>
      <c r="I39" s="583" t="s">
        <v>876</v>
      </c>
      <c r="J39" s="437">
        <f ca="1">1-J38</f>
        <v>11.119</v>
      </c>
      <c r="K39" s="2151"/>
      <c r="L39" s="2146"/>
      <c r="M39" s="2146"/>
    </row>
    <row r="40" spans="1:18" s="1268" customFormat="1" ht="18" customHeight="1">
      <c r="A40" s="534" t="s">
        <v>47</v>
      </c>
      <c r="B40" s="535" t="s">
        <v>393</v>
      </c>
      <c r="C40" s="536">
        <f ca="1">ROUND(C39*(1-((1+F42)/(1+F40))^F41)/(F40-F42),0)</f>
        <v>4.4771526833016601E+48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2801</v>
      </c>
      <c r="F41" s="573">
        <f>IF('数据-取费表'!B28="租赁期内按合同租金",'数据-取费表'!B34,IF(E41="收益年期(n)",'数据-取费表'!B33,'数据-取费表'!B13))</f>
        <v>-2009</v>
      </c>
      <c r="H41" s="2153"/>
      <c r="I41" s="436" t="s">
        <v>371</v>
      </c>
      <c r="J41" s="437">
        <f ca="1">ROUND(C13/C40,3)</f>
        <v>0</v>
      </c>
      <c r="K41" s="2150"/>
      <c r="L41" s="2153"/>
      <c r="M41" s="2153"/>
      <c r="Q41" s="1272"/>
    </row>
    <row r="42" spans="1:18" s="1268" customFormat="1" ht="18" customHeight="1">
      <c r="A42" s="543"/>
      <c r="B42" s="544"/>
      <c r="C42" s="545"/>
      <c r="D42" s="567"/>
      <c r="E42" s="537" t="s">
        <v>396</v>
      </c>
      <c r="F42" s="547">
        <f>'数据-取费表'!B31</f>
        <v>0</v>
      </c>
      <c r="H42" s="2153"/>
      <c r="I42" s="436" t="s">
        <v>372</v>
      </c>
      <c r="J42" s="438">
        <f ca="1">1-J41</f>
        <v>1</v>
      </c>
      <c r="K42" s="2150"/>
      <c r="L42" s="2153"/>
      <c r="M42" s="2153"/>
      <c r="Q42" s="1272"/>
    </row>
    <row r="43" spans="1:18" s="1268" customFormat="1" ht="18" customHeight="1" thickBot="1">
      <c r="A43" s="574" t="s">
        <v>48</v>
      </c>
      <c r="B43" s="575" t="s">
        <v>397</v>
      </c>
      <c r="C43" s="576">
        <f ca="1">ROUND(C40/F43,0)</f>
        <v>1.2824475618864101E+46</v>
      </c>
      <c r="D43" s="577" t="s">
        <v>398</v>
      </c>
      <c r="E43" s="578" t="s">
        <v>399</v>
      </c>
      <c r="F43" s="579">
        <f>IF(D1="仅计算典型户型",'数据-取费表'!E5,'数据-取费表'!B5)</f>
        <v>349.11</v>
      </c>
      <c r="G43" s="1270"/>
      <c r="H43" s="2153"/>
      <c r="I43" s="2153"/>
      <c r="J43" s="2153"/>
      <c r="K43" s="2150"/>
      <c r="L43" s="2153"/>
      <c r="M43" s="2153"/>
      <c r="O43" s="2390" t="s">
        <v>2336</v>
      </c>
      <c r="P43" s="2391"/>
      <c r="Q43" s="2387"/>
      <c r="R43" s="2391"/>
    </row>
    <row r="44" spans="1:18" s="1268" customFormat="1" ht="18" customHeight="1" thickBot="1">
      <c r="A44" s="1224"/>
      <c r="B44" s="1224"/>
      <c r="C44" s="1267"/>
      <c r="D44" s="1224"/>
      <c r="E44" s="1224"/>
      <c r="F44" s="1224"/>
      <c r="G44" s="1270"/>
      <c r="K44" s="1269"/>
      <c r="O44" s="2392" t="s">
        <v>2337</v>
      </c>
      <c r="P44" s="2393" t="s">
        <v>2338</v>
      </c>
      <c r="Q44" s="2394" t="s">
        <v>2339</v>
      </c>
      <c r="R44" s="2395" t="s">
        <v>2340</v>
      </c>
    </row>
    <row r="45" spans="1:18" s="1268" customFormat="1" ht="18" customHeight="1" thickBot="1">
      <c r="A45" s="1224"/>
      <c r="B45" s="1224"/>
      <c r="C45" s="1267"/>
      <c r="D45" s="1224"/>
      <c r="E45" s="1224"/>
      <c r="F45" s="1224"/>
      <c r="G45" s="1271"/>
      <c r="K45" s="1269"/>
      <c r="O45" s="2396" t="s">
        <v>2341</v>
      </c>
      <c r="P45" s="2405" t="s">
        <v>2367</v>
      </c>
      <c r="Q45" s="2398">
        <f ca="1">C40+J29</f>
        <v>4.4771526833016601E+48</v>
      </c>
      <c r="R45" s="2399" t="s">
        <v>2342</v>
      </c>
    </row>
    <row r="46" spans="1:18" s="1268" customFormat="1" ht="18" customHeight="1" thickBot="1">
      <c r="A46" s="1224"/>
      <c r="D46" s="1224"/>
      <c r="E46" s="1224"/>
      <c r="F46" s="1224"/>
      <c r="K46" s="1269"/>
      <c r="O46" s="2396" t="s">
        <v>2343</v>
      </c>
      <c r="P46" s="2405" t="s">
        <v>2368</v>
      </c>
      <c r="Q46" s="2398" t="str">
        <f>J61</f>
        <v>0</v>
      </c>
      <c r="R46" s="2399" t="s">
        <v>2344</v>
      </c>
    </row>
    <row r="47" spans="1:18" s="1268" customFormat="1" ht="21" thickBot="1">
      <c r="A47" s="2273" t="s">
        <v>2225</v>
      </c>
      <c r="B47" s="2270"/>
      <c r="C47" s="2282">
        <f ca="1">IF(C2="元",C69-C40,ROUND((C69-C40)/10000,0))</f>
        <v>-4.4771526833010059E+48</v>
      </c>
      <c r="D47" s="2283" t="str">
        <f>C2</f>
        <v>元</v>
      </c>
      <c r="E47" s="1224"/>
      <c r="F47" s="1224"/>
      <c r="I47" s="2358" t="s">
        <v>2307</v>
      </c>
      <c r="J47" s="2359"/>
      <c r="K47" s="2360"/>
      <c r="L47" s="2386">
        <f>IF(M48="住宅",0,IF(L49&gt;J52,L61,J61))</f>
        <v>0</v>
      </c>
      <c r="O47" s="2400" t="s">
        <v>2345</v>
      </c>
      <c r="P47" s="2405" t="s">
        <v>2369</v>
      </c>
      <c r="Q47" s="2398">
        <f ca="1">C29</f>
        <v>7184345</v>
      </c>
      <c r="R47" s="2399" t="s">
        <v>2342</v>
      </c>
    </row>
    <row r="48" spans="1:18" s="1268" customFormat="1" ht="15.75" thickBot="1">
      <c r="A48" s="530" t="s">
        <v>819</v>
      </c>
      <c r="B48" s="531" t="s">
        <v>820</v>
      </c>
      <c r="C48" s="531" t="s">
        <v>821</v>
      </c>
      <c r="D48" s="531" t="s">
        <v>822</v>
      </c>
      <c r="E48" s="2276" t="s">
        <v>823</v>
      </c>
      <c r="F48" s="2277"/>
      <c r="H48" s="2351"/>
      <c r="I48" s="2361" t="s">
        <v>2308</v>
      </c>
      <c r="J48" s="2362"/>
      <c r="K48" s="2363" t="s">
        <v>2309</v>
      </c>
      <c r="L48" s="2364">
        <f>'数据-取费表'!B11</f>
        <v>70</v>
      </c>
      <c r="M48" s="2387" t="str">
        <f>IF('数据-取费表'!B10="住宅","住宅","非住宅")</f>
        <v>住宅</v>
      </c>
      <c r="O48" s="2400" t="s">
        <v>2346</v>
      </c>
      <c r="P48" s="2397" t="s">
        <v>2347</v>
      </c>
      <c r="Q48" s="2401" t="e">
        <f>J59</f>
        <v>#VALUE!</v>
      </c>
      <c r="R48" s="2399"/>
    </row>
    <row r="49" spans="1:18" s="1268" customFormat="1" ht="15.75" thickBot="1">
      <c r="A49" s="2531" t="s">
        <v>2517</v>
      </c>
      <c r="B49" s="535" t="s">
        <v>824</v>
      </c>
      <c r="C49" s="2532">
        <f ca="1">C50+C54+C56</f>
        <v>0</v>
      </c>
      <c r="D49" s="2533"/>
      <c r="E49" s="318"/>
      <c r="F49" s="199"/>
      <c r="H49" s="2351"/>
      <c r="I49" s="2354" t="s">
        <v>2310</v>
      </c>
      <c r="J49" s="2365"/>
      <c r="K49" s="2366" t="s">
        <v>2311</v>
      </c>
      <c r="L49" s="1947">
        <f>'数据-取费表'!B13</f>
        <v>68.63</v>
      </c>
      <c r="O49" s="2400" t="s">
        <v>2348</v>
      </c>
      <c r="P49" s="2397" t="s">
        <v>2349</v>
      </c>
      <c r="Q49" s="2401">
        <f>J53</f>
        <v>0</v>
      </c>
      <c r="R49" s="2399"/>
    </row>
    <row r="50" spans="1:18" s="1268" customFormat="1" ht="15.75" thickBot="1">
      <c r="A50" s="563" t="s">
        <v>2519</v>
      </c>
      <c r="B50" s="1813" t="s">
        <v>2518</v>
      </c>
      <c r="C50" s="536">
        <f>ROUND(F50*F52*F51*(1-F53),0)</f>
        <v>0</v>
      </c>
      <c r="D50" s="310" t="s">
        <v>825</v>
      </c>
      <c r="E50" s="2275" t="s">
        <v>2224</v>
      </c>
      <c r="F50" s="2278">
        <v>5</v>
      </c>
      <c r="H50" s="2351"/>
      <c r="I50" s="2354" t="s">
        <v>2312</v>
      </c>
      <c r="J50" s="1947">
        <f>'数据-取费表'!B26</f>
        <v>0</v>
      </c>
      <c r="K50" s="2367" t="s">
        <v>2313</v>
      </c>
      <c r="L50" s="2368"/>
      <c r="O50" s="2400" t="s">
        <v>2350</v>
      </c>
      <c r="P50" s="2397" t="s">
        <v>2351</v>
      </c>
      <c r="Q50" s="2398">
        <f>J54</f>
        <v>-2009</v>
      </c>
      <c r="R50" s="2399" t="s">
        <v>2352</v>
      </c>
    </row>
    <row r="51" spans="1:18" s="1268" customFormat="1" ht="15.75" thickBot="1">
      <c r="A51" s="539"/>
      <c r="B51" s="540"/>
      <c r="C51" s="541"/>
      <c r="D51" s="542"/>
      <c r="E51" s="557" t="s">
        <v>827</v>
      </c>
      <c r="F51" s="2274">
        <f>F7</f>
        <v>349.11</v>
      </c>
      <c r="H51" s="2351"/>
      <c r="I51" s="2354" t="s">
        <v>2314</v>
      </c>
      <c r="J51" s="2369">
        <f>SUMPRODUCT((I64:I66=J48)*(J63:L63=J49)*(J64:L66))</f>
        <v>0</v>
      </c>
      <c r="K51" s="2367" t="s">
        <v>2315</v>
      </c>
      <c r="L51" s="2368"/>
      <c r="O51" s="2396" t="s">
        <v>2353</v>
      </c>
      <c r="P51" s="2397" t="str">
        <f>IF(C2="元","收益价值(元)","收益价值(万元)")</f>
        <v>收益价值(元)</v>
      </c>
      <c r="Q51" s="2398">
        <f ca="1">ROUND(IF(C2="元",Q45+Q46,(Q45+Q46)/10000),0)</f>
        <v>4.4771526833016601E+48</v>
      </c>
      <c r="R51" s="2399" t="s">
        <v>2354</v>
      </c>
    </row>
    <row r="52" spans="1:18" s="1268" customFormat="1" ht="16.5" thickBot="1">
      <c r="A52" s="539"/>
      <c r="B52" s="540"/>
      <c r="C52" s="541"/>
      <c r="D52" s="542"/>
      <c r="E52" s="537" t="s">
        <v>828</v>
      </c>
      <c r="F52" s="538">
        <f>F8</f>
        <v>0</v>
      </c>
      <c r="H52" s="2351"/>
      <c r="I52" s="2370" t="s">
        <v>2316</v>
      </c>
      <c r="J52" s="2371">
        <f>IF(J50="",J51,J50+J51-YEAR('数据-取费表'!B2))</f>
        <v>-2009</v>
      </c>
      <c r="K52" s="2372" t="s">
        <v>2317</v>
      </c>
      <c r="L52" s="2373">
        <f ca="1">ROUND(-PV('数据-取费表'!B15,L49,(C40-C13*J35)),0)</f>
        <v>9.4641202505581404E+49</v>
      </c>
      <c r="O52" s="2390" t="s">
        <v>2355</v>
      </c>
      <c r="P52" s="2391"/>
      <c r="Q52" s="2387"/>
      <c r="R52" s="2391"/>
    </row>
    <row r="53" spans="1:18" s="1268" customFormat="1" ht="15.75" thickBot="1">
      <c r="A53" s="543"/>
      <c r="B53" s="544"/>
      <c r="C53" s="545"/>
      <c r="D53" s="546"/>
      <c r="E53" s="537" t="s">
        <v>829</v>
      </c>
      <c r="F53" s="2385">
        <v>0.15</v>
      </c>
      <c r="H53" s="2351"/>
      <c r="I53" s="2374" t="s">
        <v>2318</v>
      </c>
      <c r="J53" s="2375"/>
      <c r="K53" s="2374" t="s">
        <v>2319</v>
      </c>
      <c r="L53" s="2375"/>
      <c r="O53" s="2392" t="s">
        <v>2337</v>
      </c>
      <c r="P53" s="2393" t="s">
        <v>2338</v>
      </c>
      <c r="Q53" s="2394" t="s">
        <v>2339</v>
      </c>
      <c r="R53" s="2395" t="s">
        <v>2340</v>
      </c>
    </row>
    <row r="54" spans="1:18" s="1268" customFormat="1" ht="29.25" thickBot="1">
      <c r="A54" s="2445" t="s">
        <v>2233</v>
      </c>
      <c r="B54" s="2448" t="s">
        <v>2440</v>
      </c>
      <c r="C54" s="2447">
        <f ca="1">ROUND(IF(F54="押一",F50*F51*F52/12*F11,IF(F54="押二",F50*F51*F52/12*2*F11,IF(F54="押三",F50*F51*F52/12*3*F11,C55*F11))),0)</f>
        <v>0</v>
      </c>
      <c r="D54" s="2446" t="s">
        <v>2443</v>
      </c>
      <c r="E54" s="2441" t="s">
        <v>2444</v>
      </c>
      <c r="F54" s="2449"/>
      <c r="H54" s="2351"/>
      <c r="I54" s="2376" t="s">
        <v>2320</v>
      </c>
      <c r="J54" s="2377">
        <f>IF(M48="住宅",J52,MIN(J52,L49))</f>
        <v>-2009</v>
      </c>
      <c r="K54" s="35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08"/>
      <c r="O54" s="2396" t="s">
        <v>2341</v>
      </c>
      <c r="P54" s="2405" t="s">
        <v>2367</v>
      </c>
      <c r="Q54" s="2398">
        <f ca="1">C40+J29</f>
        <v>4.4771526833016601E+48</v>
      </c>
      <c r="R54" s="2399" t="s">
        <v>2342</v>
      </c>
    </row>
    <row r="55" spans="1:18" s="1268" customFormat="1" ht="20.25" thickBot="1">
      <c r="A55" s="2445"/>
      <c r="B55" s="2603" t="s">
        <v>2569</v>
      </c>
      <c r="C55" s="2486"/>
      <c r="D55" s="2602"/>
      <c r="E55" s="2534"/>
      <c r="F55" s="2279"/>
      <c r="H55" s="2351"/>
      <c r="I55" s="2152"/>
      <c r="J55" s="2378"/>
      <c r="K55" s="2378"/>
      <c r="L55" s="2378"/>
      <c r="O55" s="2396" t="s">
        <v>2343</v>
      </c>
      <c r="P55" s="2405" t="s">
        <v>2370</v>
      </c>
      <c r="Q55" s="2398">
        <f>L61</f>
        <v>0</v>
      </c>
      <c r="R55" s="2399" t="s">
        <v>2356</v>
      </c>
    </row>
    <row r="56" spans="1:18" s="1268" customFormat="1" ht="20.25" thickBot="1">
      <c r="A56" s="2492" t="s">
        <v>2508</v>
      </c>
      <c r="B56" s="2493" t="s">
        <v>2446</v>
      </c>
      <c r="C56" s="2494"/>
      <c r="D56" s="2605"/>
      <c r="E56" s="2606"/>
      <c r="F56" s="2607"/>
      <c r="H56" s="2351"/>
      <c r="I56" s="3103" t="s">
        <v>2321</v>
      </c>
      <c r="J56" s="3105" t="e">
        <f>ROUND(IF(J48="钢混",J58/J51,1-(1-2%)*(J51-J58)/J51),3)</f>
        <v>#VALUE!</v>
      </c>
      <c r="K56" s="2379" t="s">
        <v>2322</v>
      </c>
      <c r="L56" s="2380"/>
      <c r="O56" s="2400" t="s">
        <v>2345</v>
      </c>
      <c r="P56" s="2397" t="s">
        <v>2371</v>
      </c>
      <c r="Q56" s="2398">
        <f>IF(L56="比较法",L50,IF(L56="基准地价",L51,0))</f>
        <v>0</v>
      </c>
      <c r="R56" s="2399" t="s">
        <v>2342</v>
      </c>
    </row>
    <row r="57" spans="1:18" s="1268" customFormat="1" ht="44.25" thickTop="1" thickBot="1">
      <c r="A57" s="2488">
        <v>2</v>
      </c>
      <c r="B57" s="2489" t="s">
        <v>830</v>
      </c>
      <c r="C57" s="2604">
        <f ca="1">C13</f>
        <v>7184345</v>
      </c>
      <c r="D57" s="2271"/>
      <c r="E57" s="2272"/>
      <c r="F57" s="2281"/>
      <c r="H57" s="2351"/>
      <c r="I57" s="2352" t="s">
        <v>2323</v>
      </c>
      <c r="J57" s="2384"/>
      <c r="K57" s="2354" t="s">
        <v>2328</v>
      </c>
      <c r="L57" s="1947">
        <f>IF(L49&lt;J52,"——",L49-J52)</f>
        <v>2077.63</v>
      </c>
      <c r="O57" s="2400" t="s">
        <v>2346</v>
      </c>
      <c r="P57" s="2397" t="s">
        <v>2357</v>
      </c>
      <c r="Q57" s="2401">
        <f>L53</f>
        <v>0</v>
      </c>
      <c r="R57" s="2399"/>
    </row>
    <row r="58" spans="1:18" s="1268" customFormat="1" ht="29.25" thickBot="1">
      <c r="A58" s="2280"/>
      <c r="B58" s="537" t="s">
        <v>881</v>
      </c>
      <c r="C58" s="405">
        <f ca="1">C29</f>
        <v>7184345</v>
      </c>
      <c r="D58" s="2271"/>
      <c r="E58" s="2272"/>
      <c r="F58" s="2281"/>
      <c r="H58" s="2351"/>
      <c r="I58" s="2353" t="s">
        <v>2324</v>
      </c>
      <c r="J58" s="2383" t="str">
        <f>IF(OR(M48="住宅",J52&lt;L49,J57="是"),"——",J52-L49)</f>
        <v>——</v>
      </c>
      <c r="K58" s="2354" t="s">
        <v>2329</v>
      </c>
      <c r="L58" s="1947">
        <f ca="1">IF(L49&lt;J52,"——",IF(L56="比较法",L50,IF(L56="基准地价",L51,L52)))</f>
        <v>9.4641202505581404E+49</v>
      </c>
      <c r="O58" s="2400" t="s">
        <v>2348</v>
      </c>
      <c r="P58" s="2397" t="s">
        <v>2358</v>
      </c>
      <c r="Q58" s="2398">
        <f>L59</f>
        <v>0</v>
      </c>
      <c r="R58" s="2399" t="s">
        <v>2359</v>
      </c>
    </row>
    <row r="59" spans="1:18" s="1268" customFormat="1" ht="29.25" thickBot="1">
      <c r="A59" s="550" t="s">
        <v>38</v>
      </c>
      <c r="B59" s="551" t="s">
        <v>837</v>
      </c>
      <c r="C59" s="552">
        <f ca="1">ROUND(C60+C65+C66+C67,0)</f>
        <v>60349</v>
      </c>
      <c r="D59" s="195" t="s">
        <v>838</v>
      </c>
      <c r="E59" s="2269"/>
      <c r="F59" s="199"/>
      <c r="H59" s="2351"/>
      <c r="I59" s="2353" t="s">
        <v>2325</v>
      </c>
      <c r="J59" s="3104" t="e">
        <f>IF(J56&lt;0.4,0.4,J56)</f>
        <v>#VALUE!</v>
      </c>
      <c r="K59" s="2372" t="s">
        <v>2330</v>
      </c>
      <c r="L59" s="1947">
        <f>IF(ISERROR(POWER(1+L53,L48-L49)*(POWER(1+L53,L49)-1)/(POWER(1+L53,L48)-1)),0,POWER(1+L53,L48-L49)*(POWER(1+L53,L49)-1)/(POWER(1+L53,L48)-1))</f>
        <v>0</v>
      </c>
      <c r="O59" s="2400" t="s">
        <v>2350</v>
      </c>
      <c r="P59" s="2397" t="s">
        <v>2360</v>
      </c>
      <c r="Q59" s="2398">
        <f>L60</f>
        <v>0</v>
      </c>
      <c r="R59" s="2399" t="s">
        <v>2361</v>
      </c>
    </row>
    <row r="60" spans="1:18" s="1268" customFormat="1" ht="29.25" thickBot="1">
      <c r="A60" s="555" t="s">
        <v>39</v>
      </c>
      <c r="B60" s="537" t="s">
        <v>377</v>
      </c>
      <c r="C60" s="197">
        <f ca="1">ROUND(IF(项目基本情况!B7="自然人",C49*F60,C61+C62+C63),1)</f>
        <v>60348.5</v>
      </c>
      <c r="D60" s="2266" t="s">
        <v>841</v>
      </c>
      <c r="E60" s="2267" t="s">
        <v>882</v>
      </c>
      <c r="F60" s="561">
        <f>IF(项目基本情况!B7="企业","",IF('数据-取费表'!B10="住宅",5%,IF(F50*F51*F52/12/(1+'数据-取费表'!F30)&gt;20000,12%,7%)))</f>
        <v>0.05</v>
      </c>
      <c r="I60" s="2353" t="s">
        <v>2326</v>
      </c>
      <c r="J60" s="2383" t="str">
        <f>IF(OR(M48="住宅",J52&lt;L49,J57="是"),"——",ROUND(C29*J59,0))</f>
        <v>——</v>
      </c>
      <c r="K60" s="2372" t="s">
        <v>2331</v>
      </c>
      <c r="L60" s="1947">
        <f>IF(ISERROR(POWER(1+L53,L48-J52)*(POWER(1+L53,J52)-1)/(POWER(1+L53,L48)-1)),0,POWER(1+L53,L48-J52)*(POWER(1+L53,J52)-1)/(POWER(1+L53,L48)-1))</f>
        <v>0</v>
      </c>
      <c r="O60" s="2396" t="s">
        <v>2353</v>
      </c>
      <c r="P60" s="2397" t="str">
        <f>IF(C2="元","收益价值(元)","收益价值(万元)")</f>
        <v>收益价值(元)</v>
      </c>
      <c r="Q60" s="2398">
        <f ca="1">ROUND(IF(C2="元",Q54+Q55,(Q54+Q55)/10000),0)</f>
        <v>4.4771526833016601E+48</v>
      </c>
      <c r="R60" s="2399" t="s">
        <v>2354</v>
      </c>
    </row>
    <row r="61" spans="1:18" s="1268" customFormat="1" ht="16.5" thickBot="1">
      <c r="A61" s="555" t="s">
        <v>40</v>
      </c>
      <c r="B61" s="537" t="s">
        <v>843</v>
      </c>
      <c r="C61" s="197">
        <f ca="1">IF(项目基本情况!B7="自然人","——",ROUND(C49*F61/(1+'数据-取费表'!F30),0))</f>
        <v>0</v>
      </c>
      <c r="D61" s="2267" t="s">
        <v>844</v>
      </c>
      <c r="E61" s="537" t="s">
        <v>379</v>
      </c>
      <c r="F61" s="570">
        <f t="shared" ref="F61:F67" si="0">F32</f>
        <v>5.6000000000000001E-2</v>
      </c>
      <c r="I61" s="2355" t="s">
        <v>2327</v>
      </c>
      <c r="J61" s="2382" t="str">
        <f>IF(OR(M48="住宅",J52&lt;L49,J57="是"),"0",ROUND(J60/(1+J53)^J54,0))</f>
        <v>0</v>
      </c>
      <c r="K61" s="2381" t="s">
        <v>2332</v>
      </c>
      <c r="L61" s="2382">
        <f>IF(OR(M48="住宅",L49&lt;J52),0,ROUND(L58*(L59/L60-1),0))</f>
        <v>0</v>
      </c>
      <c r="O61" s="2390" t="s">
        <v>2362</v>
      </c>
      <c r="P61" s="2391"/>
      <c r="Q61" s="2387"/>
      <c r="R61" s="2391"/>
    </row>
    <row r="62" spans="1:18" s="1268" customFormat="1" ht="15.75" thickBot="1">
      <c r="A62" s="555" t="s">
        <v>41</v>
      </c>
      <c r="B62" s="537" t="s">
        <v>846</v>
      </c>
      <c r="C62" s="197">
        <f ca="1">IF(项目基本情况!B7="自然人","——",IF(D62="按租金收入计税",ROUND(C49*F62,1),IF(D62="按房产原值计税",ROUND(C58*F62*0.7,1),'数据-取费表'!B43)))</f>
        <v>60348.5</v>
      </c>
      <c r="D62" s="1091" t="s">
        <v>2217</v>
      </c>
      <c r="E62" s="537" t="s">
        <v>379</v>
      </c>
      <c r="F62" s="560">
        <f t="shared" si="0"/>
        <v>1.2E-2</v>
      </c>
      <c r="O62" s="2392" t="s">
        <v>2337</v>
      </c>
      <c r="P62" s="2393" t="s">
        <v>2338</v>
      </c>
      <c r="Q62" s="2394" t="s">
        <v>2339</v>
      </c>
      <c r="R62" s="2395" t="s">
        <v>2340</v>
      </c>
    </row>
    <row r="63" spans="1:18" s="1268" customFormat="1" ht="15.75" thickBot="1">
      <c r="A63" s="563" t="s">
        <v>42</v>
      </c>
      <c r="B63" s="297" t="s">
        <v>883</v>
      </c>
      <c r="C63" s="198">
        <f>IF(项目基本情况!B7="自然人","——",ROUND(F63*F64,0))</f>
        <v>0</v>
      </c>
      <c r="D63" s="564" t="s">
        <v>884</v>
      </c>
      <c r="E63" s="537" t="s">
        <v>885</v>
      </c>
      <c r="F63" s="565">
        <f t="shared" si="0"/>
        <v>0</v>
      </c>
      <c r="I63" s="2356" t="s">
        <v>2306</v>
      </c>
      <c r="J63" s="2357" t="s">
        <v>2298</v>
      </c>
      <c r="K63" s="2357" t="s">
        <v>2300</v>
      </c>
      <c r="L63" s="2357" t="s">
        <v>2296</v>
      </c>
      <c r="M63" s="3108" t="s">
        <v>2901</v>
      </c>
      <c r="O63" s="2396" t="s">
        <v>2341</v>
      </c>
      <c r="P63" s="2405" t="s">
        <v>2372</v>
      </c>
      <c r="Q63" s="2398">
        <f ca="1">C40+J29</f>
        <v>4.4771526833016601E+48</v>
      </c>
      <c r="R63" s="2399" t="s">
        <v>2342</v>
      </c>
    </row>
    <row r="64" spans="1:18" s="1268" customFormat="1" ht="20.25" thickBot="1">
      <c r="A64" s="566"/>
      <c r="B64" s="546"/>
      <c r="C64" s="202"/>
      <c r="D64" s="567"/>
      <c r="E64" s="537" t="s">
        <v>854</v>
      </c>
      <c r="F64" s="538">
        <f t="shared" si="0"/>
        <v>0</v>
      </c>
      <c r="I64" s="2356" t="s">
        <v>2333</v>
      </c>
      <c r="J64" s="3109">
        <v>70</v>
      </c>
      <c r="K64" s="3109">
        <v>50</v>
      </c>
      <c r="L64" s="3109">
        <v>80</v>
      </c>
      <c r="M64" s="3106">
        <v>0.02</v>
      </c>
      <c r="O64" s="2396" t="s">
        <v>2343</v>
      </c>
      <c r="P64" s="2405" t="s">
        <v>2370</v>
      </c>
      <c r="Q64" s="2398">
        <f>L61</f>
        <v>0</v>
      </c>
      <c r="R64" s="2399" t="s">
        <v>2356</v>
      </c>
    </row>
    <row r="65" spans="1:18" s="1268" customFormat="1" ht="23.25" thickBot="1">
      <c r="A65" s="555" t="s">
        <v>43</v>
      </c>
      <c r="B65" s="537" t="s">
        <v>856</v>
      </c>
      <c r="C65" s="197">
        <f ca="1">ROUND(C58*F65,0)</f>
        <v>0</v>
      </c>
      <c r="D65" s="2267" t="s">
        <v>888</v>
      </c>
      <c r="E65" s="537" t="s">
        <v>889</v>
      </c>
      <c r="F65" s="568">
        <f t="shared" si="0"/>
        <v>0</v>
      </c>
      <c r="I65" s="2356" t="s">
        <v>2334</v>
      </c>
      <c r="J65" s="3109">
        <v>50</v>
      </c>
      <c r="K65" s="3109">
        <v>35</v>
      </c>
      <c r="L65" s="3109">
        <v>60</v>
      </c>
      <c r="M65" s="3107">
        <v>0</v>
      </c>
      <c r="O65" s="2400" t="s">
        <v>2345</v>
      </c>
      <c r="P65" s="2397" t="s">
        <v>2371</v>
      </c>
      <c r="Q65" s="2402">
        <f ca="1">L52</f>
        <v>9.4641202505581404E+49</v>
      </c>
      <c r="R65" s="2403" t="s">
        <v>2376</v>
      </c>
    </row>
    <row r="66" spans="1:18" s="1268" customFormat="1" ht="20.25" thickBot="1">
      <c r="A66" s="555" t="s">
        <v>44</v>
      </c>
      <c r="B66" s="537" t="s">
        <v>382</v>
      </c>
      <c r="C66" s="197">
        <f ca="1">ROUND(C57*F66,0)</f>
        <v>0</v>
      </c>
      <c r="D66" s="2267" t="s">
        <v>383</v>
      </c>
      <c r="E66" s="537" t="s">
        <v>384</v>
      </c>
      <c r="F66" s="569">
        <f t="shared" si="0"/>
        <v>0</v>
      </c>
      <c r="I66" s="2356" t="s">
        <v>2335</v>
      </c>
      <c r="J66" s="3109">
        <v>40</v>
      </c>
      <c r="K66" s="3109">
        <v>30</v>
      </c>
      <c r="L66" s="3109">
        <v>50</v>
      </c>
      <c r="M66" s="3106">
        <v>0.02</v>
      </c>
      <c r="O66" s="2400" t="s">
        <v>2346</v>
      </c>
      <c r="P66" s="2404" t="s">
        <v>2373</v>
      </c>
      <c r="Q66" s="2398">
        <f ca="1">ROUND(Q67-Q68*Q69,0)</f>
        <v>-671018</v>
      </c>
      <c r="R66" s="2399"/>
    </row>
    <row r="67" spans="1:18" s="1268" customFormat="1" ht="15.75" thickBot="1">
      <c r="A67" s="555" t="s">
        <v>45</v>
      </c>
      <c r="B67" s="537" t="s">
        <v>381</v>
      </c>
      <c r="C67" s="197">
        <f ca="1">ROUND(C49*F67,0)</f>
        <v>0</v>
      </c>
      <c r="D67" s="2267" t="s">
        <v>385</v>
      </c>
      <c r="E67" s="537" t="s">
        <v>384</v>
      </c>
      <c r="F67" s="547">
        <f t="shared" si="0"/>
        <v>0</v>
      </c>
      <c r="O67" s="2400" t="s">
        <v>2363</v>
      </c>
      <c r="P67" s="2406" t="s">
        <v>2374</v>
      </c>
      <c r="Q67" s="2398">
        <f ca="1">C39</f>
        <v>-60349</v>
      </c>
      <c r="R67" s="2399" t="s">
        <v>2342</v>
      </c>
    </row>
    <row r="68" spans="1:18" ht="24.75" thickBot="1">
      <c r="A68" s="550" t="s">
        <v>46</v>
      </c>
      <c r="B68" s="306" t="s">
        <v>391</v>
      </c>
      <c r="C68" s="552">
        <f ca="1">C49-C59</f>
        <v>-60349</v>
      </c>
      <c r="D68" s="2266" t="s">
        <v>392</v>
      </c>
      <c r="E68" s="2268"/>
      <c r="F68" s="571"/>
      <c r="H68" s="1268"/>
      <c r="I68" s="1268"/>
      <c r="J68" s="1268"/>
      <c r="K68" s="1268"/>
      <c r="L68" s="1268"/>
      <c r="M68" s="1268"/>
      <c r="O68" s="2400" t="s">
        <v>2364</v>
      </c>
      <c r="P68" s="2406" t="s">
        <v>2375</v>
      </c>
      <c r="Q68" s="2398">
        <f ca="1">C13</f>
        <v>7184345</v>
      </c>
      <c r="R68" s="2399" t="s">
        <v>2342</v>
      </c>
    </row>
    <row r="69" spans="1:18" ht="15.75" thickBot="1">
      <c r="A69" s="534" t="s">
        <v>47</v>
      </c>
      <c r="B69" s="535" t="s">
        <v>393</v>
      </c>
      <c r="C69" s="536">
        <f ca="1">ROUND(C68*(1-((1+F71)/(1+F69))^F70)/(F69-F71),0)</f>
        <v>6.54071139485608E+35</v>
      </c>
      <c r="D69" s="564" t="s">
        <v>387</v>
      </c>
      <c r="E69" s="537" t="s">
        <v>388</v>
      </c>
      <c r="F69" s="547">
        <f>F40</f>
        <v>0.05</v>
      </c>
      <c r="H69" s="1268"/>
      <c r="I69" s="1268"/>
      <c r="J69" s="1268"/>
      <c r="K69" s="1268"/>
      <c r="L69" s="1268"/>
      <c r="M69" s="1268"/>
      <c r="O69" s="2400" t="s">
        <v>2365</v>
      </c>
      <c r="P69" s="2404" t="s">
        <v>2366</v>
      </c>
      <c r="Q69" s="2401">
        <f>J35</f>
        <v>8.5000000000000006E-2</v>
      </c>
      <c r="R69" s="2399"/>
    </row>
    <row r="70" spans="1:18" ht="15.75" thickBot="1">
      <c r="A70" s="539"/>
      <c r="B70" s="540"/>
      <c r="C70" s="541"/>
      <c r="D70" s="572" t="s">
        <v>394</v>
      </c>
      <c r="E70" s="537" t="s">
        <v>395</v>
      </c>
      <c r="F70" s="573">
        <f>F41</f>
        <v>-2009</v>
      </c>
      <c r="H70" s="1268"/>
      <c r="I70" s="1268"/>
      <c r="J70" s="1268"/>
      <c r="K70" s="1268"/>
      <c r="L70" s="1268"/>
      <c r="M70" s="1268"/>
      <c r="O70" s="2400" t="s">
        <v>2348</v>
      </c>
      <c r="P70" s="2397" t="s">
        <v>2357</v>
      </c>
      <c r="Q70" s="2401">
        <f>L53</f>
        <v>0</v>
      </c>
      <c r="R70" s="2399"/>
    </row>
    <row r="71" spans="1:18" ht="20.25" thickBot="1">
      <c r="A71" s="543"/>
      <c r="B71" s="544"/>
      <c r="C71" s="545"/>
      <c r="D71" s="567"/>
      <c r="E71" s="537" t="s">
        <v>396</v>
      </c>
      <c r="F71" s="2385">
        <v>1.4999999999999999E-2</v>
      </c>
      <c r="H71" s="1268"/>
      <c r="M71" s="1268"/>
      <c r="O71" s="2400" t="s">
        <v>2350</v>
      </c>
      <c r="P71" s="2397" t="s">
        <v>2358</v>
      </c>
      <c r="Q71" s="2398">
        <f>L59</f>
        <v>0</v>
      </c>
      <c r="R71" s="2399" t="s">
        <v>2359</v>
      </c>
    </row>
    <row r="72" spans="1:18" ht="20.25" thickBot="1">
      <c r="A72" s="574" t="s">
        <v>48</v>
      </c>
      <c r="B72" s="575" t="s">
        <v>397</v>
      </c>
      <c r="C72" s="576">
        <f ca="1">ROUND(C69/F72,0)</f>
        <v>1.8735388258302799E+33</v>
      </c>
      <c r="D72" s="577" t="s">
        <v>398</v>
      </c>
      <c r="E72" s="578" t="s">
        <v>399</v>
      </c>
      <c r="F72" s="579">
        <f>F43</f>
        <v>349.11</v>
      </c>
      <c r="O72" s="2400" t="s">
        <v>2377</v>
      </c>
      <c r="P72" s="2397" t="s">
        <v>2360</v>
      </c>
      <c r="Q72" s="2398">
        <f>L60</f>
        <v>0</v>
      </c>
      <c r="R72" s="2399" t="s">
        <v>2361</v>
      </c>
    </row>
    <row r="73" spans="1:18" ht="15.75" thickBot="1">
      <c r="A73" s="1268"/>
      <c r="B73" s="1272"/>
      <c r="C73" s="1272"/>
      <c r="D73" s="1268"/>
      <c r="E73" s="1268"/>
      <c r="F73" s="1268"/>
      <c r="O73" s="2396" t="s">
        <v>2353</v>
      </c>
      <c r="P73" s="2397" t="str">
        <f>IF(C2="元","收益价值(元)","收益价值(万元)")</f>
        <v>收益价值(元)</v>
      </c>
      <c r="Q73" s="2398">
        <f ca="1">ROUND(IF(C2="元",Q63+Q64,(Q63+Q64)/10000),0)</f>
        <v>4.4771526833016601E+48</v>
      </c>
      <c r="R73" s="2399" t="s">
        <v>2354</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09" t="s">
        <v>2498</v>
      </c>
      <c r="B1" s="3510"/>
      <c r="C1" s="3511"/>
      <c r="D1" s="3512">
        <f>SUM(I10,I15,I20,I21,I23)</f>
        <v>0</v>
      </c>
      <c r="E1" s="3512"/>
      <c r="F1" s="3512"/>
      <c r="G1" s="3512"/>
      <c r="H1" s="3512"/>
      <c r="I1" s="3513"/>
    </row>
    <row r="2" spans="1:9">
      <c r="A2" s="3514" t="s">
        <v>2499</v>
      </c>
      <c r="B2" s="3515" t="s">
        <v>2448</v>
      </c>
      <c r="C2" s="3515"/>
      <c r="D2" s="2457" t="s">
        <v>2449</v>
      </c>
      <c r="E2" s="2457" t="s">
        <v>2450</v>
      </c>
      <c r="F2" s="2457" t="s">
        <v>2451</v>
      </c>
      <c r="G2" s="2457" t="s">
        <v>2452</v>
      </c>
      <c r="H2" s="2457" t="s">
        <v>2453</v>
      </c>
      <c r="I2" s="2458" t="s">
        <v>2454</v>
      </c>
    </row>
    <row r="3" spans="1:9">
      <c r="A3" s="3514"/>
      <c r="B3" s="3515" t="s">
        <v>2455</v>
      </c>
      <c r="C3" s="3515"/>
      <c r="D3" s="2459"/>
      <c r="E3" s="2457"/>
      <c r="F3" s="2460"/>
      <c r="G3" s="2460"/>
      <c r="H3" s="2461"/>
      <c r="I3" s="2462">
        <f>ROUND(D3*E3*F3*G3*H3/10000,0)</f>
        <v>0</v>
      </c>
    </row>
    <row r="4" spans="1:9">
      <c r="A4" s="3514"/>
      <c r="B4" s="3515" t="s">
        <v>2456</v>
      </c>
      <c r="C4" s="3515"/>
      <c r="D4" s="2459"/>
      <c r="E4" s="2457"/>
      <c r="F4" s="2460"/>
      <c r="G4" s="2460"/>
      <c r="H4" s="2461"/>
      <c r="I4" s="2462">
        <f t="shared" ref="I4:I9" si="0">ROUND(D4*E4*F4*G4*H4/10000,0)</f>
        <v>0</v>
      </c>
    </row>
    <row r="5" spans="1:9">
      <c r="A5" s="3514"/>
      <c r="B5" s="3515" t="s">
        <v>2457</v>
      </c>
      <c r="C5" s="3515"/>
      <c r="D5" s="2459"/>
      <c r="E5" s="2457"/>
      <c r="F5" s="2460"/>
      <c r="G5" s="2460"/>
      <c r="H5" s="2461"/>
      <c r="I5" s="2462">
        <f t="shared" si="0"/>
        <v>0</v>
      </c>
    </row>
    <row r="6" spans="1:9">
      <c r="A6" s="3514"/>
      <c r="B6" s="3515" t="s">
        <v>2458</v>
      </c>
      <c r="C6" s="3515"/>
      <c r="D6" s="2459"/>
      <c r="E6" s="2457"/>
      <c r="F6" s="2460"/>
      <c r="G6" s="2460"/>
      <c r="H6" s="2461"/>
      <c r="I6" s="2462">
        <f t="shared" si="0"/>
        <v>0</v>
      </c>
    </row>
    <row r="7" spans="1:9">
      <c r="A7" s="3514"/>
      <c r="B7" s="3515" t="s">
        <v>2459</v>
      </c>
      <c r="C7" s="3515"/>
      <c r="D7" s="2459"/>
      <c r="E7" s="2457"/>
      <c r="F7" s="2460"/>
      <c r="G7" s="2460"/>
      <c r="H7" s="2461"/>
      <c r="I7" s="2462">
        <f t="shared" si="0"/>
        <v>0</v>
      </c>
    </row>
    <row r="8" spans="1:9">
      <c r="A8" s="3514"/>
      <c r="B8" s="3515" t="s">
        <v>2460</v>
      </c>
      <c r="C8" s="3515"/>
      <c r="D8" s="2459"/>
      <c r="E8" s="2457"/>
      <c r="F8" s="2460"/>
      <c r="G8" s="2460"/>
      <c r="H8" s="2461"/>
      <c r="I8" s="2462">
        <f t="shared" si="0"/>
        <v>0</v>
      </c>
    </row>
    <row r="9" spans="1:9">
      <c r="A9" s="3514"/>
      <c r="B9" s="3515" t="s">
        <v>2461</v>
      </c>
      <c r="C9" s="3515"/>
      <c r="D9" s="2459"/>
      <c r="E9" s="2457"/>
      <c r="F9" s="2460"/>
      <c r="G9" s="2460"/>
      <c r="H9" s="2461"/>
      <c r="I9" s="2462">
        <f t="shared" si="0"/>
        <v>0</v>
      </c>
    </row>
    <row r="10" spans="1:9">
      <c r="A10" s="3514"/>
      <c r="B10" s="3516" t="s">
        <v>2462</v>
      </c>
      <c r="C10" s="3516"/>
      <c r="D10" s="2463">
        <v>527</v>
      </c>
      <c r="E10" s="2463" t="e">
        <f>ROUND(D1*10000/D10/H9,0)</f>
        <v>#DIV/0!</v>
      </c>
      <c r="F10" s="2464"/>
      <c r="G10" s="2464"/>
      <c r="H10" s="2465"/>
      <c r="I10" s="2466">
        <f>SUM(I3:I9)</f>
        <v>0</v>
      </c>
    </row>
    <row r="11" spans="1:9" ht="14.25">
      <c r="A11" s="3514" t="s">
        <v>2500</v>
      </c>
      <c r="B11" s="3515" t="s">
        <v>2463</v>
      </c>
      <c r="C11" s="3515"/>
      <c r="D11" s="2459" t="s">
        <v>2464</v>
      </c>
      <c r="E11" s="2459" t="s">
        <v>2465</v>
      </c>
      <c r="F11" s="2460" t="s">
        <v>2466</v>
      </c>
      <c r="G11" s="2460" t="s">
        <v>2453</v>
      </c>
      <c r="H11" s="2467" t="s">
        <v>2467</v>
      </c>
      <c r="I11" s="2458" t="s">
        <v>2454</v>
      </c>
    </row>
    <row r="12" spans="1:9">
      <c r="A12" s="3514"/>
      <c r="B12" s="3515" t="s">
        <v>2468</v>
      </c>
      <c r="C12" s="3515"/>
      <c r="D12" s="2459"/>
      <c r="E12" s="2459"/>
      <c r="F12" s="2460"/>
      <c r="G12" s="2461"/>
      <c r="H12" s="2468"/>
      <c r="I12" s="2458">
        <f>ROUND(D12*E12*F12*G12/10000,0)</f>
        <v>0</v>
      </c>
    </row>
    <row r="13" spans="1:9">
      <c r="A13" s="3514"/>
      <c r="B13" s="3515" t="s">
        <v>2469</v>
      </c>
      <c r="C13" s="3515"/>
      <c r="D13" s="2459"/>
      <c r="E13" s="2459"/>
      <c r="F13" s="2460"/>
      <c r="G13" s="2461"/>
      <c r="H13" s="2468"/>
      <c r="I13" s="2458">
        <f>ROUND(D13*E13*F13*G13/10000,0)</f>
        <v>0</v>
      </c>
    </row>
    <row r="14" spans="1:9">
      <c r="A14" s="3514"/>
      <c r="B14" s="3515" t="s">
        <v>2470</v>
      </c>
      <c r="C14" s="3515"/>
      <c r="D14" s="2459"/>
      <c r="E14" s="2459"/>
      <c r="F14" s="2460"/>
      <c r="G14" s="2461"/>
      <c r="H14" s="2468"/>
      <c r="I14" s="2458">
        <f>ROUND(D14*E14*F14*G14/10000,0)</f>
        <v>0</v>
      </c>
    </row>
    <row r="15" spans="1:9">
      <c r="A15" s="3514"/>
      <c r="B15" s="3516" t="s">
        <v>2462</v>
      </c>
      <c r="C15" s="3516"/>
      <c r="D15" s="2463"/>
      <c r="E15" s="2463">
        <f>SUM(E12:E14)</f>
        <v>0</v>
      </c>
      <c r="F15" s="2464"/>
      <c r="G15" s="2461"/>
      <c r="H15" s="2468"/>
      <c r="I15" s="2469">
        <f>SUM(I12:I14)</f>
        <v>0</v>
      </c>
    </row>
    <row r="16" spans="1:9" ht="24">
      <c r="A16" s="3514" t="s">
        <v>2501</v>
      </c>
      <c r="B16" s="3515" t="s">
        <v>2471</v>
      </c>
      <c r="C16" s="3515"/>
      <c r="D16" s="2459" t="s">
        <v>2449</v>
      </c>
      <c r="E16" s="2470" t="s">
        <v>2472</v>
      </c>
      <c r="F16" s="2460" t="s">
        <v>2473</v>
      </c>
      <c r="G16" s="2461" t="s">
        <v>2453</v>
      </c>
      <c r="H16" s="2467" t="s">
        <v>2467</v>
      </c>
      <c r="I16" s="2458" t="s">
        <v>2454</v>
      </c>
    </row>
    <row r="17" spans="1:9" ht="14.25">
      <c r="A17" s="3514"/>
      <c r="B17" s="3515" t="s">
        <v>2474</v>
      </c>
      <c r="C17" s="3515"/>
      <c r="D17" s="2459"/>
      <c r="E17" s="2459"/>
      <c r="F17" s="2460"/>
      <c r="G17" s="2461"/>
      <c r="H17" s="2471"/>
      <c r="I17" s="2472">
        <f>ROUND(D17*E17*F17*G17/10000,0)</f>
        <v>0</v>
      </c>
    </row>
    <row r="18" spans="1:9" ht="14.25">
      <c r="A18" s="3514"/>
      <c r="B18" s="3515" t="s">
        <v>2475</v>
      </c>
      <c r="C18" s="3515"/>
      <c r="D18" s="2459"/>
      <c r="E18" s="2459"/>
      <c r="F18" s="2460"/>
      <c r="G18" s="2461"/>
      <c r="H18" s="2471"/>
      <c r="I18" s="2472">
        <f>ROUND(D18*E18*F18*G18/10000,0)</f>
        <v>0</v>
      </c>
    </row>
    <row r="19" spans="1:9" ht="14.25">
      <c r="A19" s="3514"/>
      <c r="B19" s="3515" t="s">
        <v>2476</v>
      </c>
      <c r="C19" s="3515"/>
      <c r="D19" s="2459"/>
      <c r="E19" s="2459"/>
      <c r="F19" s="2460"/>
      <c r="G19" s="2461"/>
      <c r="H19" s="2471"/>
      <c r="I19" s="2472">
        <f>ROUND(D19*E19*F19*G19/10000,0)</f>
        <v>0</v>
      </c>
    </row>
    <row r="20" spans="1:9">
      <c r="A20" s="3514"/>
      <c r="B20" s="3516" t="s">
        <v>2462</v>
      </c>
      <c r="C20" s="3516"/>
      <c r="D20" s="2463">
        <f>SUM(D17:D19)</f>
        <v>0</v>
      </c>
      <c r="E20" s="2463"/>
      <c r="F20" s="2464"/>
      <c r="G20" s="2461"/>
      <c r="H20" s="2468"/>
      <c r="I20" s="2469">
        <f>SUM(I17:I19)</f>
        <v>0</v>
      </c>
    </row>
    <row r="21" spans="1:9">
      <c r="A21" s="3514" t="s">
        <v>2502</v>
      </c>
      <c r="B21" s="3518"/>
      <c r="C21" s="3518"/>
      <c r="D21" s="3518"/>
      <c r="E21" s="3518"/>
      <c r="F21" s="3518"/>
      <c r="G21" s="3518"/>
      <c r="H21" s="2473">
        <v>0.1</v>
      </c>
      <c r="I21" s="2466">
        <f>ROUND(I10*H21,0)</f>
        <v>0</v>
      </c>
    </row>
    <row r="22" spans="1:9" ht="14.25">
      <c r="A22" s="3519" t="s">
        <v>2503</v>
      </c>
      <c r="B22" s="3520"/>
      <c r="C22" s="3521"/>
      <c r="D22" s="2474" t="s">
        <v>2477</v>
      </c>
      <c r="E22" s="2474" t="s">
        <v>2478</v>
      </c>
      <c r="F22" s="2475" t="s">
        <v>2453</v>
      </c>
      <c r="G22" s="2475" t="s">
        <v>2479</v>
      </c>
      <c r="H22" s="2467" t="s">
        <v>2467</v>
      </c>
      <c r="I22" s="2458" t="s">
        <v>2454</v>
      </c>
    </row>
    <row r="23" spans="1:9" ht="14.25" thickBot="1">
      <c r="A23" s="3522"/>
      <c r="B23" s="3523"/>
      <c r="C23" s="3524"/>
      <c r="D23" s="2476"/>
      <c r="E23" s="2476"/>
      <c r="F23" s="2476"/>
      <c r="G23" s="2477"/>
      <c r="H23" s="2478"/>
      <c r="I23" s="2479">
        <f>ROUND(E23*D23*F23*(1-G23)/10000,0)</f>
        <v>0</v>
      </c>
    </row>
    <row r="26" spans="1:9">
      <c r="A26" s="2480" t="s">
        <v>2480</v>
      </c>
      <c r="B26" s="2480"/>
      <c r="C26" s="2480"/>
      <c r="D26" s="2480"/>
      <c r="E26" s="3525">
        <f>C27-C30-C31-C32</f>
        <v>0</v>
      </c>
      <c r="F26" s="3525"/>
      <c r="G26" s="3525"/>
      <c r="H26" s="3014" t="s">
        <v>2805</v>
      </c>
    </row>
    <row r="27" spans="1:9">
      <c r="A27" s="2481">
        <v>1</v>
      </c>
      <c r="B27" s="2482" t="s">
        <v>2481</v>
      </c>
      <c r="C27" s="2482">
        <f>C28+C29</f>
        <v>0</v>
      </c>
      <c r="D27" s="2482"/>
      <c r="E27" s="3526"/>
      <c r="F27" s="3526"/>
      <c r="G27" s="3526"/>
    </row>
    <row r="28" spans="1:9">
      <c r="A28" s="2483" t="s">
        <v>2482</v>
      </c>
      <c r="B28" s="2482" t="s">
        <v>2483</v>
      </c>
      <c r="C28" s="2482"/>
      <c r="D28" s="2482"/>
      <c r="E28" s="3526"/>
      <c r="F28" s="3526"/>
      <c r="G28" s="3526"/>
    </row>
    <row r="29" spans="1:9">
      <c r="A29" s="2483" t="s">
        <v>2484</v>
      </c>
      <c r="B29" s="2482" t="s">
        <v>2485</v>
      </c>
      <c r="C29" s="2482"/>
      <c r="D29" s="2482"/>
      <c r="E29" s="2482" t="s">
        <v>2486</v>
      </c>
      <c r="F29" s="2482"/>
      <c r="G29" s="2482"/>
    </row>
    <row r="30" spans="1:9">
      <c r="A30" s="2481">
        <v>2</v>
      </c>
      <c r="B30" s="2482" t="s">
        <v>2487</v>
      </c>
      <c r="C30" s="2482">
        <f>C27*D30</f>
        <v>0</v>
      </c>
      <c r="D30" s="2484">
        <v>0.2</v>
      </c>
      <c r="E30" s="2482" t="s">
        <v>2488</v>
      </c>
      <c r="F30" s="2482"/>
      <c r="G30" s="2482"/>
    </row>
    <row r="31" spans="1:9">
      <c r="A31" s="2481">
        <v>3</v>
      </c>
      <c r="B31" s="2482" t="s">
        <v>2489</v>
      </c>
      <c r="C31" s="2482">
        <f>C25*D31</f>
        <v>0</v>
      </c>
      <c r="D31" s="2484">
        <v>0.15</v>
      </c>
      <c r="E31" s="2482" t="s">
        <v>2490</v>
      </c>
      <c r="F31" s="2482"/>
      <c r="G31" s="2482"/>
    </row>
    <row r="32" spans="1:9">
      <c r="A32" s="2481">
        <v>4</v>
      </c>
      <c r="B32" s="2482" t="s">
        <v>2491</v>
      </c>
      <c r="C32" s="2482">
        <f>C27*D32</f>
        <v>0</v>
      </c>
      <c r="D32" s="2484">
        <v>0.05</v>
      </c>
      <c r="E32" s="3517"/>
      <c r="F32" s="3517"/>
      <c r="G32" s="3517"/>
    </row>
    <row r="33" spans="1:7" hidden="1">
      <c r="A33" s="3527" t="s">
        <v>2492</v>
      </c>
      <c r="B33" s="3528"/>
      <c r="C33" s="3528"/>
      <c r="D33" s="3529"/>
      <c r="E33" s="3525"/>
      <c r="F33" s="3525"/>
      <c r="G33" s="3525"/>
    </row>
    <row r="34" spans="1:7" hidden="1">
      <c r="A34" s="2485">
        <v>1</v>
      </c>
      <c r="B34" s="2482" t="s">
        <v>2493</v>
      </c>
      <c r="C34" s="2482"/>
      <c r="D34" s="2482"/>
      <c r="E34" s="3526"/>
      <c r="F34" s="3526"/>
      <c r="G34" s="3526"/>
    </row>
    <row r="35" spans="1:7" hidden="1">
      <c r="A35" s="2485">
        <v>2</v>
      </c>
      <c r="B35" s="2482" t="s">
        <v>2494</v>
      </c>
      <c r="C35" s="2482"/>
      <c r="D35" s="2482"/>
      <c r="E35" s="3526"/>
      <c r="F35" s="3526"/>
      <c r="G35" s="3526"/>
    </row>
    <row r="36" spans="1:7" hidden="1">
      <c r="A36" s="2485">
        <v>3</v>
      </c>
      <c r="B36" s="2482" t="s">
        <v>2495</v>
      </c>
      <c r="C36" s="2482"/>
      <c r="D36" s="2482"/>
      <c r="E36" s="3526"/>
      <c r="F36" s="3526"/>
      <c r="G36" s="3526"/>
    </row>
    <row r="37" spans="1:7" hidden="1">
      <c r="A37" s="2485">
        <v>4</v>
      </c>
      <c r="B37" s="2482" t="s">
        <v>2496</v>
      </c>
      <c r="C37" s="2482"/>
      <c r="D37" s="2482"/>
      <c r="E37" s="3526"/>
      <c r="F37" s="3526"/>
      <c r="G37" s="3526"/>
    </row>
    <row r="38" spans="1:7" hidden="1">
      <c r="A38" s="3527" t="s">
        <v>2497</v>
      </c>
      <c r="B38" s="3528"/>
      <c r="C38" s="3528"/>
      <c r="D38" s="3529"/>
      <c r="E38" s="3525"/>
      <c r="F38" s="3525"/>
      <c r="G38" s="352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2195</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2203</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533" t="s">
        <v>534</v>
      </c>
      <c r="D4" s="3534"/>
      <c r="E4" s="3534"/>
      <c r="F4" s="3534"/>
      <c r="G4" s="3534"/>
      <c r="H4" s="3534"/>
      <c r="I4" s="3534"/>
      <c r="J4" s="3534"/>
      <c r="K4" s="3534"/>
      <c r="L4" s="3534"/>
      <c r="M4" s="3534"/>
      <c r="N4" s="3534"/>
      <c r="O4" s="3534"/>
      <c r="P4" s="3534"/>
      <c r="Q4" s="3534"/>
      <c r="R4" s="3534"/>
      <c r="S4" s="3535"/>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2218</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2219</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2220</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2221</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2291</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2292</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2290</v>
      </c>
      <c r="B20" s="2327" t="s">
        <v>2289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2910</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2201</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2202</v>
      </c>
      <c r="B24" s="526" t="e">
        <f>R25</f>
        <v>#DIV/0!</v>
      </c>
      <c r="C24" s="1969"/>
      <c r="D24" s="301"/>
      <c r="E24" s="301"/>
      <c r="F24" s="301"/>
      <c r="G24" s="301"/>
      <c r="H24" s="301"/>
      <c r="I24" s="301"/>
      <c r="J24" s="301"/>
      <c r="K24" s="301"/>
      <c r="L24" s="301"/>
      <c r="M24" s="301"/>
      <c r="N24" s="301"/>
      <c r="O24" s="301"/>
      <c r="P24" s="301"/>
      <c r="Q24" s="301"/>
      <c r="R24" s="1209"/>
      <c r="S24" s="2012" t="s">
        <v>2193</v>
      </c>
      <c r="T24" s="2344" t="s">
        <v>2192</v>
      </c>
      <c r="U24" s="2347" t="s">
        <v>2277</v>
      </c>
      <c r="V24" s="2348"/>
      <c r="W24" s="2346" t="s">
        <v>2280</v>
      </c>
      <c r="X24" s="2347" t="s">
        <v>2275</v>
      </c>
      <c r="Y24" s="2348"/>
      <c r="Z24" s="2345" t="s">
        <v>2280</v>
      </c>
    </row>
    <row r="25" spans="1:45">
      <c r="A25" s="552" t="s">
        <v>537</v>
      </c>
      <c r="B25" s="197">
        <f>SUM(B27:B10000)</f>
        <v>0</v>
      </c>
      <c r="C25" s="3530" t="s">
        <v>174</v>
      </c>
      <c r="D25" s="3531"/>
      <c r="E25" s="3531"/>
      <c r="F25" s="3531"/>
      <c r="G25" s="3531"/>
      <c r="H25" s="3531"/>
      <c r="I25" s="3531"/>
      <c r="J25" s="3531"/>
      <c r="K25" s="3531"/>
      <c r="L25" s="3531"/>
      <c r="M25" s="3531"/>
      <c r="N25" s="3531"/>
      <c r="O25" s="3531"/>
      <c r="P25" s="3531"/>
      <c r="Q25" s="353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2194</v>
      </c>
      <c r="U26" s="2306" t="s">
        <v>2278</v>
      </c>
      <c r="V26" s="2307" t="s">
        <v>2279</v>
      </c>
      <c r="W26" s="2300" t="s">
        <v>2276</v>
      </c>
      <c r="X26" s="2306" t="s">
        <v>2278</v>
      </c>
      <c r="Y26" s="2307" t="s">
        <v>2279</v>
      </c>
      <c r="Z26" s="2300" t="s">
        <v>2276</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349.11</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61" t="s">
        <v>50</v>
      </c>
      <c r="D4" s="3462"/>
      <c r="E4" s="3463" t="s">
        <v>51</v>
      </c>
      <c r="F4" s="3464"/>
      <c r="G4" s="3461" t="s">
        <v>52</v>
      </c>
      <c r="H4" s="3462"/>
      <c r="I4" s="3461" t="s">
        <v>53</v>
      </c>
      <c r="J4" s="3462"/>
      <c r="K4" s="139" t="s">
        <v>54</v>
      </c>
      <c r="L4" s="2162"/>
      <c r="M4" s="2163"/>
      <c r="N4" s="2163"/>
      <c r="O4" s="2163"/>
      <c r="P4" s="3465" t="s">
        <v>49</v>
      </c>
      <c r="Q4" s="3466"/>
      <c r="R4" s="3471" t="s">
        <v>51</v>
      </c>
      <c r="S4" s="3472"/>
      <c r="T4" s="3471" t="s">
        <v>52</v>
      </c>
      <c r="U4" s="3472"/>
      <c r="V4" s="3477" t="s">
        <v>53</v>
      </c>
      <c r="W4" s="3477"/>
      <c r="X4" s="1133"/>
      <c r="Y4" s="3471" t="s">
        <v>49</v>
      </c>
      <c r="Z4" s="3472"/>
      <c r="AA4" s="3458" t="s">
        <v>51</v>
      </c>
      <c r="AB4" s="3477" t="s">
        <v>52</v>
      </c>
      <c r="AC4" s="3458" t="s">
        <v>53</v>
      </c>
    </row>
    <row r="5" spans="1:29">
      <c r="A5" s="93"/>
      <c r="B5" s="94"/>
      <c r="C5" s="3478" t="s">
        <v>55</v>
      </c>
      <c r="D5" s="3479"/>
      <c r="E5" s="3536" t="s">
        <v>56</v>
      </c>
      <c r="F5" s="3537"/>
      <c r="G5" s="3478" t="s">
        <v>57</v>
      </c>
      <c r="H5" s="3479"/>
      <c r="I5" s="3478" t="s">
        <v>58</v>
      </c>
      <c r="J5" s="3479"/>
      <c r="K5" s="139"/>
      <c r="L5" s="2162"/>
      <c r="M5" s="2163"/>
      <c r="N5" s="2163"/>
      <c r="O5" s="2163"/>
      <c r="P5" s="3467"/>
      <c r="Q5" s="3468"/>
      <c r="R5" s="3473"/>
      <c r="S5" s="3474"/>
      <c r="T5" s="3473"/>
      <c r="U5" s="3474"/>
      <c r="V5" s="3477"/>
      <c r="W5" s="3477"/>
      <c r="X5" s="1133"/>
      <c r="Y5" s="3473"/>
      <c r="Z5" s="3474"/>
      <c r="AA5" s="3459"/>
      <c r="AB5" s="3477"/>
      <c r="AC5" s="3459"/>
    </row>
    <row r="6" spans="1:29" ht="14.25" thickBot="1">
      <c r="A6" s="95"/>
      <c r="B6" s="96"/>
      <c r="C6" s="3480" t="s">
        <v>59</v>
      </c>
      <c r="D6" s="3481"/>
      <c r="E6" s="3482" t="s">
        <v>59</v>
      </c>
      <c r="F6" s="3483"/>
      <c r="G6" s="3480" t="s">
        <v>59</v>
      </c>
      <c r="H6" s="3481"/>
      <c r="I6" s="3480" t="s">
        <v>59</v>
      </c>
      <c r="J6" s="3481"/>
      <c r="K6" s="139" t="s">
        <v>119</v>
      </c>
      <c r="L6" s="2162"/>
      <c r="M6" s="2163"/>
      <c r="N6" s="2163"/>
      <c r="O6" s="2163"/>
      <c r="P6" s="3469"/>
      <c r="Q6" s="3470"/>
      <c r="R6" s="3473"/>
      <c r="S6" s="3474"/>
      <c r="T6" s="3475"/>
      <c r="U6" s="3476"/>
      <c r="V6" s="3477"/>
      <c r="W6" s="3477"/>
      <c r="X6" s="1133"/>
      <c r="Y6" s="3475"/>
      <c r="Z6" s="3476"/>
      <c r="AA6" s="3460"/>
      <c r="AB6" s="3477"/>
      <c r="AC6" s="3460"/>
    </row>
    <row r="7" spans="1:29" s="11" customFormat="1" ht="15" thickBot="1">
      <c r="A7" s="872" t="s">
        <v>60</v>
      </c>
      <c r="B7" s="873"/>
      <c r="C7" s="874">
        <f>'数据-取费表'!B2</f>
        <v>39996</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91" t="s">
        <v>60</v>
      </c>
      <c r="Q7" s="3493"/>
      <c r="R7" s="1135" t="s">
        <v>61</v>
      </c>
      <c r="S7" s="1136">
        <f t="shared" ref="S7:S15" si="0">F7</f>
        <v>0</v>
      </c>
      <c r="T7" s="1135" t="s">
        <v>61</v>
      </c>
      <c r="U7" s="1136">
        <f t="shared" ref="U7:U15" si="1">H7</f>
        <v>0</v>
      </c>
      <c r="V7" s="1135" t="s">
        <v>61</v>
      </c>
      <c r="W7" s="1136">
        <f t="shared" ref="W7:W15" si="2">J7</f>
        <v>0</v>
      </c>
      <c r="X7" s="184"/>
      <c r="Y7" s="3491" t="s">
        <v>60</v>
      </c>
      <c r="Z7" s="349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91" t="s">
        <v>930</v>
      </c>
      <c r="Q8" s="3492"/>
      <c r="R8" s="1135" t="s">
        <v>61</v>
      </c>
      <c r="S8" s="1136">
        <f t="shared" si="0"/>
        <v>0</v>
      </c>
      <c r="T8" s="1135" t="s">
        <v>61</v>
      </c>
      <c r="U8" s="1136">
        <f t="shared" si="1"/>
        <v>0</v>
      </c>
      <c r="V8" s="1135" t="s">
        <v>61</v>
      </c>
      <c r="W8" s="1136">
        <f t="shared" si="2"/>
        <v>0</v>
      </c>
      <c r="X8" s="184"/>
      <c r="Y8" s="3491" t="s">
        <v>930</v>
      </c>
      <c r="Z8" s="3492"/>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94" t="s">
        <v>63</v>
      </c>
      <c r="Q9" s="2" t="str">
        <f t="shared" ref="Q9:Q15" si="6">B9</f>
        <v>用途</v>
      </c>
      <c r="R9" s="1135" t="s">
        <v>61</v>
      </c>
      <c r="S9" s="1136">
        <f t="shared" si="0"/>
        <v>100</v>
      </c>
      <c r="T9" s="1135" t="s">
        <v>61</v>
      </c>
      <c r="U9" s="1136">
        <f t="shared" si="1"/>
        <v>100</v>
      </c>
      <c r="V9" s="1135" t="s">
        <v>61</v>
      </c>
      <c r="W9" s="1136">
        <f t="shared" si="2"/>
        <v>100</v>
      </c>
      <c r="X9" s="184"/>
      <c r="Y9" s="33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94"/>
      <c r="Q10" s="2" t="str">
        <f t="shared" si="6"/>
        <v>土地使用年限（年）</v>
      </c>
      <c r="R10" s="1135" t="s">
        <v>61</v>
      </c>
      <c r="S10" s="1136">
        <f t="shared" si="0"/>
        <v>100</v>
      </c>
      <c r="T10" s="1135" t="s">
        <v>61</v>
      </c>
      <c r="U10" s="1136">
        <f t="shared" si="1"/>
        <v>100</v>
      </c>
      <c r="V10" s="1135" t="s">
        <v>61</v>
      </c>
      <c r="W10" s="1136">
        <f t="shared" si="2"/>
        <v>100</v>
      </c>
      <c r="X10" s="184"/>
      <c r="Y10" s="33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94"/>
      <c r="Q11" s="2" t="str">
        <f t="shared" si="6"/>
        <v>容积率</v>
      </c>
      <c r="R11" s="1135" t="s">
        <v>61</v>
      </c>
      <c r="S11" s="1136" t="e">
        <f t="shared" si="0"/>
        <v>#N/A</v>
      </c>
      <c r="T11" s="1135" t="s">
        <v>61</v>
      </c>
      <c r="U11" s="1136" t="e">
        <f t="shared" si="1"/>
        <v>#N/A</v>
      </c>
      <c r="V11" s="1135" t="s">
        <v>61</v>
      </c>
      <c r="W11" s="1136" t="e">
        <f t="shared" si="2"/>
        <v>#N/A</v>
      </c>
      <c r="X11" s="184"/>
      <c r="Y11" s="33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94"/>
      <c r="Q12" s="2">
        <f t="shared" si="6"/>
        <v>111</v>
      </c>
      <c r="R12" s="1135" t="s">
        <v>61</v>
      </c>
      <c r="S12" s="1136">
        <f t="shared" si="0"/>
        <v>100</v>
      </c>
      <c r="T12" s="1135" t="s">
        <v>61</v>
      </c>
      <c r="U12" s="1136">
        <f t="shared" si="1"/>
        <v>100</v>
      </c>
      <c r="V12" s="1135" t="s">
        <v>61</v>
      </c>
      <c r="W12" s="1136">
        <f t="shared" si="2"/>
        <v>100</v>
      </c>
      <c r="X12" s="184"/>
      <c r="Y12" s="33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94"/>
      <c r="Q13" s="2">
        <f t="shared" si="6"/>
        <v>111</v>
      </c>
      <c r="R13" s="1135" t="s">
        <v>61</v>
      </c>
      <c r="S13" s="1136">
        <f t="shared" si="0"/>
        <v>100</v>
      </c>
      <c r="T13" s="1135" t="s">
        <v>61</v>
      </c>
      <c r="U13" s="1136">
        <f t="shared" si="1"/>
        <v>100</v>
      </c>
      <c r="V13" s="1135" t="s">
        <v>61</v>
      </c>
      <c r="W13" s="1136">
        <f t="shared" si="2"/>
        <v>100</v>
      </c>
      <c r="X13" s="184"/>
      <c r="Y13" s="33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94"/>
      <c r="Q14" s="2">
        <f t="shared" si="6"/>
        <v>111</v>
      </c>
      <c r="R14" s="1135" t="s">
        <v>61</v>
      </c>
      <c r="S14" s="1136">
        <f t="shared" si="0"/>
        <v>100</v>
      </c>
      <c r="T14" s="1135" t="s">
        <v>61</v>
      </c>
      <c r="U14" s="1136">
        <f t="shared" si="1"/>
        <v>100</v>
      </c>
      <c r="V14" s="1135" t="s">
        <v>61</v>
      </c>
      <c r="W14" s="1136">
        <f t="shared" si="2"/>
        <v>100</v>
      </c>
      <c r="X14" s="184"/>
      <c r="Y14" s="33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97" t="s">
        <v>65</v>
      </c>
      <c r="Q15" s="1145" t="str">
        <f t="shared" si="6"/>
        <v>商业繁华度</v>
      </c>
      <c r="R15" s="1146" t="s">
        <v>61</v>
      </c>
      <c r="S15" s="1147">
        <f t="shared" si="0"/>
        <v>100</v>
      </c>
      <c r="T15" s="1146" t="s">
        <v>61</v>
      </c>
      <c r="U15" s="1147">
        <f t="shared" si="1"/>
        <v>100</v>
      </c>
      <c r="V15" s="1146" t="s">
        <v>61</v>
      </c>
      <c r="W15" s="1147">
        <f t="shared" si="2"/>
        <v>100</v>
      </c>
      <c r="X15" s="1133"/>
      <c r="Y15" s="3484"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98"/>
      <c r="Q16" s="1145"/>
      <c r="R16" s="1146"/>
      <c r="S16" s="1147"/>
      <c r="T16" s="1146"/>
      <c r="U16" s="1147"/>
      <c r="V16" s="1146"/>
      <c r="W16" s="1147"/>
      <c r="X16" s="1133"/>
      <c r="Y16" s="3485"/>
      <c r="Z16" s="1148"/>
      <c r="AA16" s="1149">
        <v>1</v>
      </c>
      <c r="AB16" s="1149">
        <v>1</v>
      </c>
      <c r="AC16" s="1149">
        <v>1</v>
      </c>
    </row>
    <row r="17" spans="1:29" ht="94.5">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98"/>
      <c r="Q17" s="1145" t="str">
        <f>B17</f>
        <v>交通便捷度</v>
      </c>
      <c r="R17" s="1146" t="s">
        <v>61</v>
      </c>
      <c r="S17" s="1147">
        <f>F17</f>
        <v>100</v>
      </c>
      <c r="T17" s="1146" t="s">
        <v>61</v>
      </c>
      <c r="U17" s="1147">
        <f>H17</f>
        <v>100</v>
      </c>
      <c r="V17" s="1146" t="s">
        <v>61</v>
      </c>
      <c r="W17" s="1147">
        <f>J17</f>
        <v>100</v>
      </c>
      <c r="X17" s="1133"/>
      <c r="Y17" s="348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98"/>
      <c r="Q18" s="1145"/>
      <c r="R18" s="1146"/>
      <c r="S18" s="1147"/>
      <c r="T18" s="1146"/>
      <c r="U18" s="1147"/>
      <c r="V18" s="1146"/>
      <c r="W18" s="1147"/>
      <c r="X18" s="1133"/>
      <c r="Y18" s="3485"/>
      <c r="Z18" s="1148"/>
      <c r="AA18" s="1149">
        <v>1</v>
      </c>
      <c r="AB18" s="1149">
        <v>1</v>
      </c>
      <c r="AC18" s="1149">
        <v>1</v>
      </c>
    </row>
    <row r="19" spans="1:29" ht="40.5">
      <c r="A19" s="98"/>
      <c r="B19" s="1150" t="s">
        <v>2543</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98"/>
      <c r="Q19" s="1145" t="str">
        <f>B19</f>
        <v>公共配套设施</v>
      </c>
      <c r="R19" s="1146" t="s">
        <v>61</v>
      </c>
      <c r="S19" s="1147">
        <f>F19</f>
        <v>100</v>
      </c>
      <c r="T19" s="1146" t="s">
        <v>61</v>
      </c>
      <c r="U19" s="1147">
        <f>H19</f>
        <v>100</v>
      </c>
      <c r="V19" s="1146" t="s">
        <v>61</v>
      </c>
      <c r="W19" s="1147">
        <f>J19</f>
        <v>100</v>
      </c>
      <c r="X19" s="1133"/>
      <c r="Y19" s="3485"/>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98"/>
      <c r="Q20" s="1145"/>
      <c r="R20" s="1146"/>
      <c r="S20" s="1147"/>
      <c r="T20" s="1146"/>
      <c r="U20" s="1147"/>
      <c r="V20" s="1146"/>
      <c r="W20" s="1147"/>
      <c r="X20" s="1133"/>
      <c r="Y20" s="3485"/>
      <c r="Z20" s="1148"/>
      <c r="AA20" s="1149">
        <v>1</v>
      </c>
      <c r="AB20" s="1149">
        <v>1</v>
      </c>
      <c r="AC20" s="1149">
        <v>1</v>
      </c>
    </row>
    <row r="21" spans="1:29" ht="40.5">
      <c r="A21" s="98"/>
      <c r="B21" s="1205" t="s">
        <v>2544</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98"/>
      <c r="Q21" s="2548" t="str">
        <f>B21</f>
        <v>基础设施水平</v>
      </c>
      <c r="R21" s="1146" t="s">
        <v>61</v>
      </c>
      <c r="S21" s="1147">
        <f>F21</f>
        <v>100</v>
      </c>
      <c r="T21" s="1146" t="s">
        <v>61</v>
      </c>
      <c r="U21" s="1147">
        <f>H21</f>
        <v>100</v>
      </c>
      <c r="V21" s="1146" t="s">
        <v>61</v>
      </c>
      <c r="W21" s="1147">
        <f>J21</f>
        <v>100</v>
      </c>
      <c r="X21" s="2546"/>
      <c r="Y21" s="3485"/>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98"/>
      <c r="Q22" s="2548"/>
      <c r="R22" s="1146"/>
      <c r="S22" s="1147"/>
      <c r="T22" s="1146"/>
      <c r="U22" s="1147"/>
      <c r="V22" s="1146"/>
      <c r="W22" s="1147"/>
      <c r="X22" s="2546"/>
      <c r="Y22" s="3485"/>
      <c r="Z22" s="2547"/>
      <c r="AA22" s="1149">
        <v>1</v>
      </c>
      <c r="AB22" s="1149">
        <v>1</v>
      </c>
      <c r="AC22" s="1149">
        <v>1</v>
      </c>
    </row>
    <row r="23" spans="1:29" ht="121.5">
      <c r="A23" s="98"/>
      <c r="B23" s="1150" t="s">
        <v>68</v>
      </c>
      <c r="C23" s="142"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98"/>
      <c r="Q23" s="1145" t="str">
        <f>B23</f>
        <v>自然及人文环境</v>
      </c>
      <c r="R23" s="1146" t="s">
        <v>61</v>
      </c>
      <c r="S23" s="1147">
        <f>F23</f>
        <v>100</v>
      </c>
      <c r="T23" s="1146" t="s">
        <v>61</v>
      </c>
      <c r="U23" s="1147">
        <f>H23</f>
        <v>100</v>
      </c>
      <c r="V23" s="1146" t="s">
        <v>61</v>
      </c>
      <c r="W23" s="1147">
        <f>J23</f>
        <v>100</v>
      </c>
      <c r="X23" s="1133"/>
      <c r="Y23" s="3485"/>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98"/>
      <c r="Q24" s="1145"/>
      <c r="R24" s="1146"/>
      <c r="S24" s="1147"/>
      <c r="T24" s="1146"/>
      <c r="U24" s="1147"/>
      <c r="V24" s="1146"/>
      <c r="W24" s="1147"/>
      <c r="X24" s="1133"/>
      <c r="Y24" s="3485"/>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98"/>
      <c r="Q25" s="1145" t="str">
        <f t="shared" ref="Q25:Q46" si="11">B25</f>
        <v>临街状况</v>
      </c>
      <c r="R25" s="1146" t="s">
        <v>61</v>
      </c>
      <c r="S25" s="1147">
        <f>F25</f>
        <v>100</v>
      </c>
      <c r="T25" s="1146" t="s">
        <v>61</v>
      </c>
      <c r="U25" s="1147">
        <f>H25</f>
        <v>100</v>
      </c>
      <c r="V25" s="1146" t="s">
        <v>61</v>
      </c>
      <c r="W25" s="1147">
        <f>J25</f>
        <v>100</v>
      </c>
      <c r="X25" s="1133"/>
      <c r="Y25" s="3485"/>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98"/>
      <c r="Q26" s="1145" t="str">
        <f t="shared" si="11"/>
        <v>平面位置/可视性</v>
      </c>
      <c r="R26" s="1146" t="s">
        <v>61</v>
      </c>
      <c r="S26" s="1147">
        <f>F26</f>
        <v>100</v>
      </c>
      <c r="T26" s="1146" t="s">
        <v>61</v>
      </c>
      <c r="U26" s="1147">
        <f>H26</f>
        <v>100</v>
      </c>
      <c r="V26" s="1146" t="s">
        <v>61</v>
      </c>
      <c r="W26" s="1147">
        <f>J26</f>
        <v>100</v>
      </c>
      <c r="X26" s="1133"/>
      <c r="Y26" s="3485"/>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98"/>
      <c r="Q27" s="2" t="str">
        <f t="shared" si="11"/>
        <v>人流量</v>
      </c>
      <c r="R27" s="1135" t="s">
        <v>61</v>
      </c>
      <c r="S27" s="1136">
        <f>F27</f>
        <v>100</v>
      </c>
      <c r="T27" s="1135" t="s">
        <v>61</v>
      </c>
      <c r="U27" s="1136">
        <f>H27</f>
        <v>100</v>
      </c>
      <c r="V27" s="1135" t="s">
        <v>61</v>
      </c>
      <c r="W27" s="1136">
        <f>J27</f>
        <v>100</v>
      </c>
      <c r="X27" s="184"/>
      <c r="Y27" s="3485"/>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98"/>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85"/>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98"/>
      <c r="Q29" s="1145">
        <f t="shared" si="11"/>
        <v>111</v>
      </c>
      <c r="R29" s="1146" t="s">
        <v>61</v>
      </c>
      <c r="S29" s="1147">
        <f t="shared" si="12"/>
        <v>100</v>
      </c>
      <c r="T29" s="1146" t="s">
        <v>61</v>
      </c>
      <c r="U29" s="1147">
        <f t="shared" si="13"/>
        <v>100</v>
      </c>
      <c r="V29" s="1146" t="s">
        <v>61</v>
      </c>
      <c r="W29" s="1147">
        <f t="shared" si="14"/>
        <v>100</v>
      </c>
      <c r="X29" s="1133"/>
      <c r="Y29" s="3485"/>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98"/>
      <c r="Q30" s="1145">
        <f t="shared" si="11"/>
        <v>111</v>
      </c>
      <c r="R30" s="1146" t="s">
        <v>61</v>
      </c>
      <c r="S30" s="1147">
        <f t="shared" si="12"/>
        <v>100</v>
      </c>
      <c r="T30" s="1146" t="s">
        <v>61</v>
      </c>
      <c r="U30" s="1147">
        <f t="shared" si="13"/>
        <v>100</v>
      </c>
      <c r="V30" s="1146" t="s">
        <v>61</v>
      </c>
      <c r="W30" s="1147">
        <f t="shared" si="14"/>
        <v>100</v>
      </c>
      <c r="X30" s="1133"/>
      <c r="Y30" s="3485"/>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98"/>
      <c r="Q31" s="1145">
        <f t="shared" si="11"/>
        <v>111</v>
      </c>
      <c r="R31" s="1146" t="s">
        <v>61</v>
      </c>
      <c r="S31" s="1147">
        <f t="shared" si="12"/>
        <v>100</v>
      </c>
      <c r="T31" s="1146" t="s">
        <v>61</v>
      </c>
      <c r="U31" s="1147">
        <f t="shared" si="13"/>
        <v>100</v>
      </c>
      <c r="V31" s="1146" t="s">
        <v>61</v>
      </c>
      <c r="W31" s="1147">
        <f t="shared" si="14"/>
        <v>100</v>
      </c>
      <c r="X31" s="1133"/>
      <c r="Y31" s="3485"/>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86" t="s">
        <v>937</v>
      </c>
      <c r="Q32" s="1145" t="str">
        <f t="shared" si="11"/>
        <v>商业类型</v>
      </c>
      <c r="R32" s="1146" t="s">
        <v>61</v>
      </c>
      <c r="S32" s="1147">
        <f t="shared" si="12"/>
        <v>100</v>
      </c>
      <c r="T32" s="1146" t="s">
        <v>61</v>
      </c>
      <c r="U32" s="1147">
        <f t="shared" si="13"/>
        <v>100</v>
      </c>
      <c r="V32" s="1146" t="s">
        <v>61</v>
      </c>
      <c r="W32" s="1147">
        <f t="shared" si="14"/>
        <v>100</v>
      </c>
      <c r="X32" s="1133"/>
      <c r="Y32" s="3489"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87"/>
      <c r="Q33" s="1153" t="str">
        <f t="shared" si="11"/>
        <v>项目建筑规模</v>
      </c>
      <c r="R33" s="1154" t="s">
        <v>61</v>
      </c>
      <c r="S33" s="1155" t="e">
        <f t="shared" si="12"/>
        <v>#N/A</v>
      </c>
      <c r="T33" s="1154" t="s">
        <v>61</v>
      </c>
      <c r="U33" s="1155" t="e">
        <f t="shared" si="13"/>
        <v>#N/A</v>
      </c>
      <c r="V33" s="1154" t="s">
        <v>61</v>
      </c>
      <c r="W33" s="1155" t="e">
        <f t="shared" si="14"/>
        <v>#N/A</v>
      </c>
      <c r="X33" s="1156"/>
      <c r="Y33" s="3489"/>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87"/>
      <c r="Q34" s="1145" t="str">
        <f t="shared" si="11"/>
        <v>建筑结构</v>
      </c>
      <c r="R34" s="1146" t="s">
        <v>61</v>
      </c>
      <c r="S34" s="1147">
        <f t="shared" si="12"/>
        <v>100</v>
      </c>
      <c r="T34" s="1146" t="s">
        <v>61</v>
      </c>
      <c r="U34" s="1147">
        <f t="shared" si="13"/>
        <v>100</v>
      </c>
      <c r="V34" s="1146" t="s">
        <v>61</v>
      </c>
      <c r="W34" s="1147">
        <f t="shared" si="14"/>
        <v>100</v>
      </c>
      <c r="X34" s="1133"/>
      <c r="Y34" s="3489"/>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87"/>
      <c r="Q35" s="1145" t="str">
        <f t="shared" si="11"/>
        <v>公共部分装修</v>
      </c>
      <c r="R35" s="1146" t="s">
        <v>61</v>
      </c>
      <c r="S35" s="1147">
        <f t="shared" si="12"/>
        <v>100</v>
      </c>
      <c r="T35" s="1146" t="s">
        <v>61</v>
      </c>
      <c r="U35" s="1147">
        <f t="shared" si="13"/>
        <v>100</v>
      </c>
      <c r="V35" s="1146" t="s">
        <v>61</v>
      </c>
      <c r="W35" s="1147">
        <f t="shared" si="14"/>
        <v>100</v>
      </c>
      <c r="X35" s="1133"/>
      <c r="Y35" s="3489"/>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87"/>
      <c r="Q36" s="1145" t="str">
        <f t="shared" si="11"/>
        <v>成新度</v>
      </c>
      <c r="R36" s="1146" t="s">
        <v>61</v>
      </c>
      <c r="S36" s="1147" t="e">
        <f t="shared" si="12"/>
        <v>#N/A</v>
      </c>
      <c r="T36" s="1146" t="s">
        <v>61</v>
      </c>
      <c r="U36" s="1147" t="e">
        <f t="shared" si="13"/>
        <v>#N/A</v>
      </c>
      <c r="V36" s="1146" t="s">
        <v>61</v>
      </c>
      <c r="W36" s="1147" t="e">
        <f t="shared" si="14"/>
        <v>#N/A</v>
      </c>
      <c r="X36" s="1133"/>
      <c r="Y36" s="3489"/>
      <c r="Z36" s="1148" t="str">
        <f t="shared" si="15"/>
        <v>成新度</v>
      </c>
      <c r="AA36" s="1149" t="e">
        <f t="shared" si="3"/>
        <v>#N/A</v>
      </c>
      <c r="AB36" s="1149" t="e">
        <f t="shared" si="4"/>
        <v>#N/A</v>
      </c>
      <c r="AC36" s="1149" t="e">
        <f t="shared" si="5"/>
        <v>#N/A</v>
      </c>
    </row>
    <row r="37" spans="1:29" s="11" customFormat="1" ht="15">
      <c r="A37" s="900"/>
      <c r="B37" s="4" t="s">
        <v>2545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87"/>
      <c r="Q37" s="2" t="str">
        <f t="shared" si="11"/>
        <v>市政基础设施</v>
      </c>
      <c r="R37" s="1135" t="s">
        <v>61</v>
      </c>
      <c r="S37" s="1136">
        <f t="shared" si="12"/>
        <v>100</v>
      </c>
      <c r="T37" s="1135" t="s">
        <v>61</v>
      </c>
      <c r="U37" s="1136">
        <f t="shared" si="13"/>
        <v>100</v>
      </c>
      <c r="V37" s="1135" t="s">
        <v>61</v>
      </c>
      <c r="W37" s="1136">
        <f t="shared" si="14"/>
        <v>100</v>
      </c>
      <c r="X37" s="184"/>
      <c r="Y37" s="3489"/>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87" t="s">
        <v>940</v>
      </c>
      <c r="Q38" s="1145" t="str">
        <f t="shared" si="11"/>
        <v>业态</v>
      </c>
      <c r="R38" s="1146" t="s">
        <v>61</v>
      </c>
      <c r="S38" s="1147">
        <f t="shared" si="12"/>
        <v>100</v>
      </c>
      <c r="T38" s="1146" t="s">
        <v>61</v>
      </c>
      <c r="U38" s="1147">
        <f t="shared" si="13"/>
        <v>100</v>
      </c>
      <c r="V38" s="1146" t="s">
        <v>61</v>
      </c>
      <c r="W38" s="1147">
        <f t="shared" si="14"/>
        <v>100</v>
      </c>
      <c r="X38" s="1133"/>
      <c r="Y38" s="3489"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87"/>
      <c r="Q39" s="1145" t="str">
        <f t="shared" si="11"/>
        <v>层高</v>
      </c>
      <c r="R39" s="1146" t="s">
        <v>61</v>
      </c>
      <c r="S39" s="1147">
        <f t="shared" si="12"/>
        <v>100</v>
      </c>
      <c r="T39" s="1146" t="s">
        <v>61</v>
      </c>
      <c r="U39" s="1147">
        <f t="shared" si="13"/>
        <v>100</v>
      </c>
      <c r="V39" s="1146" t="s">
        <v>61</v>
      </c>
      <c r="W39" s="1147">
        <f t="shared" si="14"/>
        <v>100</v>
      </c>
      <c r="X39" s="1133"/>
      <c r="Y39" s="3489"/>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87"/>
      <c r="Q40" s="1145" t="str">
        <f t="shared" si="11"/>
        <v>单套建筑面积</v>
      </c>
      <c r="R40" s="1146" t="s">
        <v>61</v>
      </c>
      <c r="S40" s="1147">
        <f t="shared" si="12"/>
        <v>100</v>
      </c>
      <c r="T40" s="1146" t="s">
        <v>61</v>
      </c>
      <c r="U40" s="1147">
        <f t="shared" si="13"/>
        <v>100</v>
      </c>
      <c r="V40" s="1146" t="s">
        <v>61</v>
      </c>
      <c r="W40" s="1147">
        <f t="shared" si="14"/>
        <v>100</v>
      </c>
      <c r="X40" s="1133"/>
      <c r="Y40" s="3489"/>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87"/>
      <c r="Q41" s="1153" t="str">
        <f t="shared" si="11"/>
        <v>进深比</v>
      </c>
      <c r="R41" s="1154" t="s">
        <v>61</v>
      </c>
      <c r="S41" s="1155">
        <f t="shared" si="12"/>
        <v>100</v>
      </c>
      <c r="T41" s="1154" t="s">
        <v>61</v>
      </c>
      <c r="U41" s="1155">
        <f t="shared" si="13"/>
        <v>100</v>
      </c>
      <c r="V41" s="1154" t="s">
        <v>61</v>
      </c>
      <c r="W41" s="1155">
        <f t="shared" si="14"/>
        <v>100</v>
      </c>
      <c r="X41" s="1156"/>
      <c r="Y41" s="3489"/>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87"/>
      <c r="Q42" s="1145" t="str">
        <f t="shared" si="11"/>
        <v>内部装修</v>
      </c>
      <c r="R42" s="1146" t="s">
        <v>61</v>
      </c>
      <c r="S42" s="1147">
        <f t="shared" si="12"/>
        <v>100</v>
      </c>
      <c r="T42" s="1146" t="s">
        <v>61</v>
      </c>
      <c r="U42" s="1147">
        <f t="shared" si="13"/>
        <v>100</v>
      </c>
      <c r="V42" s="1146" t="s">
        <v>61</v>
      </c>
      <c r="W42" s="1147">
        <f t="shared" si="14"/>
        <v>100</v>
      </c>
      <c r="X42" s="1133"/>
      <c r="Y42" s="3489"/>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87"/>
      <c r="Q43" s="1145" t="str">
        <f t="shared" si="11"/>
        <v>内部装修维护情况</v>
      </c>
      <c r="R43" s="1146" t="s">
        <v>61</v>
      </c>
      <c r="S43" s="1147">
        <f t="shared" si="12"/>
        <v>100</v>
      </c>
      <c r="T43" s="1146" t="s">
        <v>61</v>
      </c>
      <c r="U43" s="1147">
        <f t="shared" si="13"/>
        <v>100</v>
      </c>
      <c r="V43" s="1146" t="s">
        <v>61</v>
      </c>
      <c r="W43" s="1147">
        <f t="shared" si="14"/>
        <v>100</v>
      </c>
      <c r="X43" s="1133"/>
      <c r="Y43" s="3489"/>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87"/>
      <c r="Q44" s="2">
        <f t="shared" si="11"/>
        <v>111</v>
      </c>
      <c r="R44" s="1135" t="s">
        <v>61</v>
      </c>
      <c r="S44" s="1136">
        <f t="shared" si="12"/>
        <v>100</v>
      </c>
      <c r="T44" s="1135" t="s">
        <v>61</v>
      </c>
      <c r="U44" s="1136">
        <f t="shared" si="13"/>
        <v>100</v>
      </c>
      <c r="V44" s="1135" t="s">
        <v>61</v>
      </c>
      <c r="W44" s="1136">
        <f t="shared" si="14"/>
        <v>100</v>
      </c>
      <c r="X44" s="184"/>
      <c r="Y44" s="3489"/>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87"/>
      <c r="Q45" s="1145">
        <f t="shared" si="11"/>
        <v>111</v>
      </c>
      <c r="R45" s="1146" t="s">
        <v>61</v>
      </c>
      <c r="S45" s="1147">
        <f t="shared" si="12"/>
        <v>100</v>
      </c>
      <c r="T45" s="1146" t="s">
        <v>61</v>
      </c>
      <c r="U45" s="1147">
        <f t="shared" si="13"/>
        <v>100</v>
      </c>
      <c r="V45" s="1146" t="s">
        <v>61</v>
      </c>
      <c r="W45" s="1147">
        <f t="shared" si="14"/>
        <v>100</v>
      </c>
      <c r="X45" s="1133"/>
      <c r="Y45" s="3489"/>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88"/>
      <c r="Q46" s="1145">
        <f t="shared" si="11"/>
        <v>111</v>
      </c>
      <c r="R46" s="1146" t="s">
        <v>61</v>
      </c>
      <c r="S46" s="1147">
        <f t="shared" si="12"/>
        <v>100</v>
      </c>
      <c r="T46" s="1146" t="s">
        <v>61</v>
      </c>
      <c r="U46" s="1147">
        <f t="shared" si="13"/>
        <v>100</v>
      </c>
      <c r="V46" s="1146" t="s">
        <v>61</v>
      </c>
      <c r="W46" s="1147">
        <f t="shared" si="14"/>
        <v>100</v>
      </c>
      <c r="X46" s="1133"/>
      <c r="Y46" s="3490"/>
      <c r="Z46" s="1148">
        <f t="shared" si="15"/>
        <v>111</v>
      </c>
      <c r="AA46" s="1149">
        <f t="shared" si="3"/>
        <v>1</v>
      </c>
      <c r="AB46" s="1149">
        <f t="shared" si="4"/>
        <v>1</v>
      </c>
      <c r="AC46" s="1149">
        <f t="shared" si="5"/>
        <v>1</v>
      </c>
    </row>
    <row r="47" spans="1:29" ht="15">
      <c r="A47" s="113" t="s">
        <v>945</v>
      </c>
      <c r="B47" s="114"/>
      <c r="C47" s="2608" t="s">
        <v>20</v>
      </c>
      <c r="D47" s="2609"/>
      <c r="E47" s="2610"/>
      <c r="F47" s="2611"/>
      <c r="G47" s="2612"/>
      <c r="H47" s="2613"/>
      <c r="I47" s="2610"/>
      <c r="J47" s="2613"/>
      <c r="K47" s="1188"/>
      <c r="L47" s="2170"/>
      <c r="M47" s="2171"/>
      <c r="N47" s="2163"/>
      <c r="O47" s="2171"/>
      <c r="P47" s="3495" t="str">
        <f>A47</f>
        <v>成交单价（元/平方米）</v>
      </c>
      <c r="Q47" s="3495"/>
      <c r="R47" s="3496">
        <f>E47</f>
        <v>0</v>
      </c>
      <c r="S47" s="3496"/>
      <c r="T47" s="3496">
        <f>G47</f>
        <v>0</v>
      </c>
      <c r="U47" s="3496"/>
      <c r="V47" s="3496">
        <f>I47</f>
        <v>0</v>
      </c>
      <c r="W47" s="3496"/>
      <c r="X47" s="1159"/>
      <c r="Y47" s="1160"/>
      <c r="Z47" s="1159"/>
      <c r="AA47" s="1159"/>
      <c r="AB47" s="1159"/>
      <c r="AC47" s="1159"/>
    </row>
    <row r="48" spans="1:29" ht="15.75" thickBot="1">
      <c r="A48" s="115" t="s">
        <v>946</v>
      </c>
      <c r="B48" s="116"/>
      <c r="C48" s="2614" t="e">
        <f>R49</f>
        <v>#DIV/0!</v>
      </c>
      <c r="D48" s="2615"/>
      <c r="E48" s="2616" t="e">
        <f>R48</f>
        <v>#DIV/0!</v>
      </c>
      <c r="F48" s="2616"/>
      <c r="G48" s="2614" t="e">
        <f>T48</f>
        <v>#DIV/0!</v>
      </c>
      <c r="H48" s="2615"/>
      <c r="I48" s="2616" t="e">
        <f>V48</f>
        <v>#DIV/0!</v>
      </c>
      <c r="J48" s="2615"/>
      <c r="K48" s="1189"/>
      <c r="L48" s="2170"/>
      <c r="M48" s="2171"/>
      <c r="N48" s="2163"/>
      <c r="O48" s="2171"/>
      <c r="P48" s="3495" t="str">
        <f>A48</f>
        <v>比较价值（元/平方米）</v>
      </c>
      <c r="Q48" s="3495"/>
      <c r="R48" s="3496" t="e">
        <f>IF(E1="售价",ROUND(PRODUCT(R47,AA7:AA46),0),ROUND(PRODUCT(R47,AA7:AA46),1))</f>
        <v>#DIV/0!</v>
      </c>
      <c r="S48" s="3496"/>
      <c r="T48" s="3496" t="e">
        <f>IF(E1="售价",ROUND(PRODUCT(T47,AB7:AB46),0),ROUND(PRODUCT(T47,AB7:AB46),1))</f>
        <v>#DIV/0!</v>
      </c>
      <c r="U48" s="3496"/>
      <c r="V48" s="3496" t="e">
        <f>IF(E1="售价",ROUND(PRODUCT(V47,AC7:AC46),0),ROUND(PRODUCT(V47,AC7:AC46),1))</f>
        <v>#DIV/0!</v>
      </c>
      <c r="W48" s="3496"/>
      <c r="X48" s="1159"/>
      <c r="Y48" s="1159"/>
      <c r="Z48" s="1159"/>
      <c r="AA48" s="1159"/>
      <c r="AB48" s="1159"/>
      <c r="AC48" s="1159"/>
    </row>
    <row r="49" spans="1:29" ht="15.75" thickBot="1">
      <c r="A49" s="62" t="s">
        <v>947</v>
      </c>
      <c r="B49" s="63"/>
      <c r="C49" s="2618" t="e">
        <f>R49</f>
        <v>#DIV/0!</v>
      </c>
      <c r="D49" s="2618"/>
      <c r="E49" s="2618"/>
      <c r="F49" s="2618"/>
      <c r="G49" s="2618"/>
      <c r="H49" s="2618"/>
      <c r="I49" s="2618"/>
      <c r="J49" s="2618"/>
      <c r="K49" s="1190"/>
      <c r="L49" s="2170"/>
      <c r="M49" s="2171"/>
      <c r="N49" s="2163"/>
      <c r="O49" s="2171"/>
      <c r="P49" s="3501" t="str">
        <f>A49</f>
        <v>估价对象XX用房的比较价值（楼面单价，元/平方米）</v>
      </c>
      <c r="Q49" s="3502"/>
      <c r="R49" s="3503" t="e">
        <f>IF(E1="售价",ROUND(AVERAGE(R48:V48),0),ROUND(AVERAGE(R48:V48),1))</f>
        <v>#DIV/0!</v>
      </c>
      <c r="S49" s="3503"/>
      <c r="T49" s="3503"/>
      <c r="U49" s="3503"/>
      <c r="V49" s="3503"/>
      <c r="W49" s="350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948</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949</v>
      </c>
      <c r="B58" s="905"/>
      <c r="C58" s="2803" t="str">
        <f>YEAR(C7)&amp;"-"&amp;MONTH(C7)</f>
        <v>2009-7</v>
      </c>
      <c r="D58" s="2804">
        <f>EDATE(C58,-1)</f>
        <v>39965</v>
      </c>
      <c r="E58" s="2804">
        <f t="shared" ref="E58:O58" si="16">EDATE(D58,-1)</f>
        <v>39934</v>
      </c>
      <c r="F58" s="2804">
        <f t="shared" si="16"/>
        <v>39904</v>
      </c>
      <c r="G58" s="2804">
        <f t="shared" si="16"/>
        <v>39873</v>
      </c>
      <c r="H58" s="2804">
        <f t="shared" si="16"/>
        <v>39845</v>
      </c>
      <c r="I58" s="2804">
        <f t="shared" si="16"/>
        <v>39814</v>
      </c>
      <c r="J58" s="2804">
        <f t="shared" si="16"/>
        <v>39783</v>
      </c>
      <c r="K58" s="2804">
        <f t="shared" si="16"/>
        <v>39753</v>
      </c>
      <c r="L58" s="2804">
        <f t="shared" si="16"/>
        <v>39722</v>
      </c>
      <c r="M58" s="2804">
        <f t="shared" si="16"/>
        <v>39692</v>
      </c>
      <c r="N58" s="2804">
        <f t="shared" si="16"/>
        <v>39661</v>
      </c>
      <c r="O58" s="2804">
        <f t="shared" si="16"/>
        <v>39630</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2537</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979</v>
      </c>
      <c r="B1" s="2890" t="s">
        <v>980</v>
      </c>
      <c r="C1" s="2891"/>
      <c r="D1" s="2895"/>
      <c r="E1" s="2893"/>
      <c r="F1" s="2894" t="s">
        <v>981</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982</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983</v>
      </c>
      <c r="B3" s="811" t="e">
        <f ca="1">ROUND(IF(D2="——",C50,IF(C2="万元",B2*10000/D3,B2/D3)),0)</f>
        <v>#DIV/0!</v>
      </c>
      <c r="C3" s="89" t="s">
        <v>984</v>
      </c>
      <c r="D3" s="596">
        <f>IF(C1="仅计算典型户型",'数据-取费表'!E5,'数据-取费表'!B5)</f>
        <v>349.11</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985</v>
      </c>
      <c r="B4" s="91"/>
      <c r="C4" s="3461" t="s">
        <v>986</v>
      </c>
      <c r="D4" s="3462"/>
      <c r="E4" s="3463" t="s">
        <v>987</v>
      </c>
      <c r="F4" s="3464"/>
      <c r="G4" s="3461" t="s">
        <v>988</v>
      </c>
      <c r="H4" s="3462"/>
      <c r="I4" s="3461" t="s">
        <v>989</v>
      </c>
      <c r="J4" s="3462"/>
      <c r="K4" s="139" t="s">
        <v>990</v>
      </c>
      <c r="L4" s="2162"/>
      <c r="M4" s="2163"/>
      <c r="N4" s="2163"/>
      <c r="O4" s="2163"/>
      <c r="P4" s="3538" t="s">
        <v>985</v>
      </c>
      <c r="Q4" s="3466"/>
      <c r="R4" s="3471" t="s">
        <v>987</v>
      </c>
      <c r="S4" s="3472"/>
      <c r="T4" s="3471" t="s">
        <v>988</v>
      </c>
      <c r="U4" s="3472"/>
      <c r="V4" s="3477" t="s">
        <v>989</v>
      </c>
      <c r="W4" s="3477"/>
      <c r="X4" s="1133"/>
      <c r="Y4" s="3471" t="s">
        <v>985</v>
      </c>
      <c r="Z4" s="3472"/>
      <c r="AA4" s="3458" t="s">
        <v>987</v>
      </c>
      <c r="AB4" s="3458" t="s">
        <v>988</v>
      </c>
      <c r="AC4" s="3458" t="s">
        <v>989</v>
      </c>
    </row>
    <row r="5" spans="1:29">
      <c r="A5" s="93"/>
      <c r="B5" s="94"/>
      <c r="C5" s="3478" t="s">
        <v>991</v>
      </c>
      <c r="D5" s="3479"/>
      <c r="E5" s="3536" t="s">
        <v>992</v>
      </c>
      <c r="F5" s="3537"/>
      <c r="G5" s="3478" t="s">
        <v>993</v>
      </c>
      <c r="H5" s="3479"/>
      <c r="I5" s="3478" t="s">
        <v>994</v>
      </c>
      <c r="J5" s="3479"/>
      <c r="K5" s="139"/>
      <c r="L5" s="2162"/>
      <c r="M5" s="2163"/>
      <c r="N5" s="2163"/>
      <c r="O5" s="2163"/>
      <c r="P5" s="3539"/>
      <c r="Q5" s="3468"/>
      <c r="R5" s="3473"/>
      <c r="S5" s="3474"/>
      <c r="T5" s="3473"/>
      <c r="U5" s="3474"/>
      <c r="V5" s="3477"/>
      <c r="W5" s="3477"/>
      <c r="X5" s="1133"/>
      <c r="Y5" s="3473"/>
      <c r="Z5" s="3474"/>
      <c r="AA5" s="3459"/>
      <c r="AB5" s="3459"/>
      <c r="AC5" s="3459"/>
    </row>
    <row r="6" spans="1:29" ht="14.25" thickBot="1">
      <c r="A6" s="95"/>
      <c r="B6" s="96"/>
      <c r="C6" s="3480" t="s">
        <v>995</v>
      </c>
      <c r="D6" s="3481"/>
      <c r="E6" s="3482" t="s">
        <v>995</v>
      </c>
      <c r="F6" s="3483"/>
      <c r="G6" s="3480" t="s">
        <v>995</v>
      </c>
      <c r="H6" s="3481"/>
      <c r="I6" s="3480" t="s">
        <v>995</v>
      </c>
      <c r="J6" s="3481"/>
      <c r="K6" s="139" t="s">
        <v>996</v>
      </c>
      <c r="L6" s="2162"/>
      <c r="M6" s="2163"/>
      <c r="N6" s="2163"/>
      <c r="O6" s="2163"/>
      <c r="P6" s="3540"/>
      <c r="Q6" s="3470"/>
      <c r="R6" s="3473"/>
      <c r="S6" s="3474"/>
      <c r="T6" s="3475"/>
      <c r="U6" s="3476"/>
      <c r="V6" s="3477"/>
      <c r="W6" s="3477"/>
      <c r="X6" s="1133"/>
      <c r="Y6" s="3475"/>
      <c r="Z6" s="3476"/>
      <c r="AA6" s="3460"/>
      <c r="AB6" s="3460"/>
      <c r="AC6" s="3460"/>
    </row>
    <row r="7" spans="1:29" s="11" customFormat="1" ht="15" thickBot="1">
      <c r="A7" s="872" t="s">
        <v>997</v>
      </c>
      <c r="B7" s="873"/>
      <c r="C7" s="607">
        <f>'数据-取费表'!B2</f>
        <v>39996</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93" t="s">
        <v>997</v>
      </c>
      <c r="Q7" s="3493"/>
      <c r="R7" s="1135" t="s">
        <v>61</v>
      </c>
      <c r="S7" s="1136">
        <f t="shared" ref="S7:S15" si="0">F7</f>
        <v>0</v>
      </c>
      <c r="T7" s="1135" t="s">
        <v>61</v>
      </c>
      <c r="U7" s="1136">
        <f t="shared" ref="U7:U15" si="1">H7</f>
        <v>0</v>
      </c>
      <c r="V7" s="1135" t="s">
        <v>61</v>
      </c>
      <c r="W7" s="1136">
        <f t="shared" ref="W7:W15" si="2">J7</f>
        <v>0</v>
      </c>
      <c r="X7" s="184"/>
      <c r="Y7" s="3491" t="s">
        <v>997</v>
      </c>
      <c r="Z7" s="3492"/>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93" t="s">
        <v>930</v>
      </c>
      <c r="Q8" s="3492"/>
      <c r="R8" s="1135" t="s">
        <v>61</v>
      </c>
      <c r="S8" s="1136">
        <f t="shared" si="0"/>
        <v>0</v>
      </c>
      <c r="T8" s="1135" t="s">
        <v>61</v>
      </c>
      <c r="U8" s="1136">
        <f t="shared" si="1"/>
        <v>0</v>
      </c>
      <c r="V8" s="1135" t="s">
        <v>61</v>
      </c>
      <c r="W8" s="1136">
        <f t="shared" si="2"/>
        <v>0</v>
      </c>
      <c r="X8" s="184"/>
      <c r="Y8" s="3491" t="s">
        <v>930</v>
      </c>
      <c r="Z8" s="3492"/>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502" t="s">
        <v>63</v>
      </c>
      <c r="Q9" s="2" t="str">
        <f t="shared" ref="Q9:Q15" si="6">B9</f>
        <v>用途</v>
      </c>
      <c r="R9" s="1135" t="s">
        <v>61</v>
      </c>
      <c r="S9" s="1136">
        <f t="shared" si="0"/>
        <v>100</v>
      </c>
      <c r="T9" s="1135" t="s">
        <v>61</v>
      </c>
      <c r="U9" s="1136">
        <f t="shared" si="1"/>
        <v>100</v>
      </c>
      <c r="V9" s="1135" t="s">
        <v>61</v>
      </c>
      <c r="W9" s="1136">
        <f t="shared" si="2"/>
        <v>100</v>
      </c>
      <c r="X9" s="184"/>
      <c r="Y9" s="33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502"/>
      <c r="Q10" s="2" t="str">
        <f t="shared" si="6"/>
        <v>土地使用年限（年）</v>
      </c>
      <c r="R10" s="1135" t="s">
        <v>61</v>
      </c>
      <c r="S10" s="1136">
        <f t="shared" si="0"/>
        <v>100</v>
      </c>
      <c r="T10" s="1135" t="s">
        <v>61</v>
      </c>
      <c r="U10" s="1136">
        <f t="shared" si="1"/>
        <v>100</v>
      </c>
      <c r="V10" s="1135" t="s">
        <v>61</v>
      </c>
      <c r="W10" s="1136">
        <f t="shared" si="2"/>
        <v>100</v>
      </c>
      <c r="X10" s="184"/>
      <c r="Y10" s="33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502"/>
      <c r="Q11" s="2" t="str">
        <f t="shared" si="6"/>
        <v>容积率</v>
      </c>
      <c r="R11" s="1135" t="s">
        <v>61</v>
      </c>
      <c r="S11" s="1136" t="e">
        <f t="shared" si="0"/>
        <v>#N/A</v>
      </c>
      <c r="T11" s="1135" t="s">
        <v>61</v>
      </c>
      <c r="U11" s="1136" t="e">
        <f t="shared" si="1"/>
        <v>#N/A</v>
      </c>
      <c r="V11" s="1135" t="s">
        <v>61</v>
      </c>
      <c r="W11" s="1136" t="e">
        <f t="shared" si="2"/>
        <v>#N/A</v>
      </c>
      <c r="X11" s="184"/>
      <c r="Y11" s="33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502"/>
      <c r="Q12" s="2">
        <f t="shared" si="6"/>
        <v>111</v>
      </c>
      <c r="R12" s="1135" t="s">
        <v>61</v>
      </c>
      <c r="S12" s="1136">
        <f t="shared" si="0"/>
        <v>100</v>
      </c>
      <c r="T12" s="1135" t="s">
        <v>61</v>
      </c>
      <c r="U12" s="1136">
        <f t="shared" si="1"/>
        <v>100</v>
      </c>
      <c r="V12" s="1135" t="s">
        <v>61</v>
      </c>
      <c r="W12" s="1136">
        <f t="shared" si="2"/>
        <v>100</v>
      </c>
      <c r="X12" s="184"/>
      <c r="Y12" s="33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502"/>
      <c r="Q13" s="2">
        <f t="shared" si="6"/>
        <v>111</v>
      </c>
      <c r="R13" s="1135" t="s">
        <v>61</v>
      </c>
      <c r="S13" s="1136">
        <f t="shared" si="0"/>
        <v>100</v>
      </c>
      <c r="T13" s="1135" t="s">
        <v>61</v>
      </c>
      <c r="U13" s="1136">
        <f t="shared" si="1"/>
        <v>100</v>
      </c>
      <c r="V13" s="1135" t="s">
        <v>61</v>
      </c>
      <c r="W13" s="1136">
        <f t="shared" si="2"/>
        <v>100</v>
      </c>
      <c r="X13" s="184"/>
      <c r="Y13" s="33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502"/>
      <c r="Q14" s="2">
        <f t="shared" si="6"/>
        <v>111</v>
      </c>
      <c r="R14" s="1135" t="s">
        <v>61</v>
      </c>
      <c r="S14" s="1136">
        <f t="shared" si="0"/>
        <v>100</v>
      </c>
      <c r="T14" s="1135" t="s">
        <v>61</v>
      </c>
      <c r="U14" s="1136">
        <f t="shared" si="1"/>
        <v>100</v>
      </c>
      <c r="V14" s="1135" t="s">
        <v>61</v>
      </c>
      <c r="W14" s="1136">
        <f t="shared" si="2"/>
        <v>100</v>
      </c>
      <c r="X14" s="184"/>
      <c r="Y14" s="33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66" t="s">
        <v>65</v>
      </c>
      <c r="Q15" s="1145" t="str">
        <f t="shared" si="6"/>
        <v>办公集聚程度</v>
      </c>
      <c r="R15" s="1146" t="s">
        <v>61</v>
      </c>
      <c r="S15" s="1147">
        <f t="shared" si="0"/>
        <v>100</v>
      </c>
      <c r="T15" s="1146" t="s">
        <v>61</v>
      </c>
      <c r="U15" s="1147">
        <f t="shared" si="1"/>
        <v>100</v>
      </c>
      <c r="V15" s="1146" t="s">
        <v>61</v>
      </c>
      <c r="W15" s="1147">
        <f t="shared" si="2"/>
        <v>100</v>
      </c>
      <c r="X15" s="1133"/>
      <c r="Y15" s="3484"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68"/>
      <c r="Q16" s="1145"/>
      <c r="R16" s="1146"/>
      <c r="S16" s="1147"/>
      <c r="T16" s="1146"/>
      <c r="U16" s="1147"/>
      <c r="V16" s="1146"/>
      <c r="W16" s="1147"/>
      <c r="X16" s="1133"/>
      <c r="Y16" s="3485"/>
      <c r="Z16" s="1148"/>
      <c r="AA16" s="1149">
        <v>1</v>
      </c>
      <c r="AB16" s="1149">
        <v>1</v>
      </c>
      <c r="AC16" s="1149">
        <v>1</v>
      </c>
    </row>
    <row r="17" spans="1:29" ht="94.5">
      <c r="A17" s="98"/>
      <c r="B17" s="892" t="s">
        <v>67</v>
      </c>
      <c r="C17" s="162" t="str">
        <f>估价对象房地状况!C6</f>
        <v>估价对象周边道路密集、公共交通通达情况好、停车便捷程度好，综合评价交通便捷度好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68"/>
      <c r="Q17" s="1145" t="str">
        <f>B17</f>
        <v>交通便捷度</v>
      </c>
      <c r="R17" s="1146" t="s">
        <v>61</v>
      </c>
      <c r="S17" s="1147">
        <f>F17</f>
        <v>100</v>
      </c>
      <c r="T17" s="1146" t="s">
        <v>61</v>
      </c>
      <c r="U17" s="1147">
        <f>H17</f>
        <v>100</v>
      </c>
      <c r="V17" s="1146" t="s">
        <v>61</v>
      </c>
      <c r="W17" s="1147">
        <f>J17</f>
        <v>100</v>
      </c>
      <c r="X17" s="1133"/>
      <c r="Y17" s="3485"/>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68"/>
      <c r="Q18" s="1145"/>
      <c r="R18" s="1146"/>
      <c r="S18" s="1147"/>
      <c r="T18" s="1146"/>
      <c r="U18" s="1147"/>
      <c r="V18" s="1146"/>
      <c r="W18" s="1147"/>
      <c r="X18" s="1133"/>
      <c r="Y18" s="3485"/>
      <c r="Z18" s="1148"/>
      <c r="AA18" s="1149">
        <v>1</v>
      </c>
      <c r="AB18" s="1149">
        <v>1</v>
      </c>
      <c r="AC18" s="1149">
        <v>1</v>
      </c>
    </row>
    <row r="19" spans="1:29" ht="40.5">
      <c r="A19" s="98"/>
      <c r="B19" s="892" t="s">
        <v>2547</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68"/>
      <c r="Q19" s="1145" t="str">
        <f>B19</f>
        <v>公共配套设施</v>
      </c>
      <c r="R19" s="1146" t="s">
        <v>61</v>
      </c>
      <c r="S19" s="1147">
        <f>F19</f>
        <v>100</v>
      </c>
      <c r="T19" s="1146" t="s">
        <v>61</v>
      </c>
      <c r="U19" s="1147">
        <f>H19</f>
        <v>100</v>
      </c>
      <c r="V19" s="1146" t="s">
        <v>61</v>
      </c>
      <c r="W19" s="1147">
        <f>J19</f>
        <v>100</v>
      </c>
      <c r="X19" s="1133"/>
      <c r="Y19" s="3485"/>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68"/>
      <c r="Q20" s="1145"/>
      <c r="R20" s="1146"/>
      <c r="S20" s="1147"/>
      <c r="T20" s="1146"/>
      <c r="U20" s="1147"/>
      <c r="V20" s="1146"/>
      <c r="W20" s="1147"/>
      <c r="X20" s="1133"/>
      <c r="Y20" s="3485"/>
      <c r="Z20" s="1148"/>
      <c r="AA20" s="1149">
        <v>1</v>
      </c>
      <c r="AB20" s="1149">
        <v>1</v>
      </c>
      <c r="AC20" s="1149">
        <v>1</v>
      </c>
    </row>
    <row r="21" spans="1:29" ht="40.5">
      <c r="A21" s="98"/>
      <c r="B21" s="894" t="s">
        <v>2548</v>
      </c>
      <c r="C21" s="162" t="str">
        <f>估价对象房地状况!C8</f>
        <v>估价对象所在区域基础设施水平达到七通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68"/>
      <c r="Q21" s="2548" t="str">
        <f>B21</f>
        <v>基础设施水平</v>
      </c>
      <c r="R21" s="1146" t="s">
        <v>61</v>
      </c>
      <c r="S21" s="1147">
        <f>F21</f>
        <v>100</v>
      </c>
      <c r="T21" s="1146" t="s">
        <v>61</v>
      </c>
      <c r="U21" s="1147">
        <f>H21</f>
        <v>100</v>
      </c>
      <c r="V21" s="1146" t="s">
        <v>61</v>
      </c>
      <c r="W21" s="1147">
        <f>J21</f>
        <v>100</v>
      </c>
      <c r="X21" s="2546"/>
      <c r="Y21" s="3485"/>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68"/>
      <c r="Q22" s="2548"/>
      <c r="R22" s="1146"/>
      <c r="S22" s="1147"/>
      <c r="T22" s="1146"/>
      <c r="U22" s="1147"/>
      <c r="V22" s="1146"/>
      <c r="W22" s="1147"/>
      <c r="X22" s="2546"/>
      <c r="Y22" s="3485"/>
      <c r="Z22" s="2547"/>
      <c r="AA22" s="1149">
        <v>1</v>
      </c>
      <c r="AB22" s="1149">
        <v>1</v>
      </c>
      <c r="AC22" s="1149">
        <v>1</v>
      </c>
    </row>
    <row r="23" spans="1:29" ht="121.5">
      <c r="A23" s="98"/>
      <c r="B23" s="892" t="s">
        <v>143</v>
      </c>
      <c r="C23" s="162" t="str">
        <f>估价对象房地状况!C9</f>
        <v>区域自然环境：玉渊潭公园、中塔公园；人文环境：北京工商大学、首都师范大学；综合评价环境状况好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68"/>
      <c r="Q23" s="1145" t="str">
        <f>B23</f>
        <v>环境质量</v>
      </c>
      <c r="R23" s="1146" t="s">
        <v>61</v>
      </c>
      <c r="S23" s="1147">
        <f>F23</f>
        <v>100</v>
      </c>
      <c r="T23" s="1146" t="s">
        <v>61</v>
      </c>
      <c r="U23" s="1147">
        <f>H23</f>
        <v>100</v>
      </c>
      <c r="V23" s="1146" t="s">
        <v>61</v>
      </c>
      <c r="W23" s="1147">
        <f>J23</f>
        <v>100</v>
      </c>
      <c r="X23" s="1133"/>
      <c r="Y23" s="3485"/>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68"/>
      <c r="Q24" s="1145"/>
      <c r="R24" s="1146"/>
      <c r="S24" s="1147"/>
      <c r="T24" s="1146"/>
      <c r="U24" s="1147"/>
      <c r="V24" s="1146"/>
      <c r="W24" s="1147"/>
      <c r="X24" s="1133"/>
      <c r="Y24" s="3485"/>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68"/>
      <c r="Q25" s="1145" t="str">
        <f>B25</f>
        <v>毗邻道路的类型与等级</v>
      </c>
      <c r="R25" s="1146" t="s">
        <v>61</v>
      </c>
      <c r="S25" s="1147">
        <f>F25</f>
        <v>100</v>
      </c>
      <c r="T25" s="1146" t="s">
        <v>61</v>
      </c>
      <c r="U25" s="1147">
        <f>H25</f>
        <v>100</v>
      </c>
      <c r="V25" s="1146" t="s">
        <v>61</v>
      </c>
      <c r="W25" s="1147">
        <f>J25</f>
        <v>100</v>
      </c>
      <c r="X25" s="1133"/>
      <c r="Y25" s="3485"/>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68"/>
      <c r="Q26" s="1145"/>
      <c r="R26" s="1146"/>
      <c r="S26" s="1147"/>
      <c r="T26" s="1146"/>
      <c r="U26" s="1147"/>
      <c r="V26" s="1146"/>
      <c r="W26" s="1147"/>
      <c r="X26" s="1133"/>
      <c r="Y26" s="3485"/>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68"/>
      <c r="Q27" s="1145" t="str">
        <f t="shared" ref="Q27:Q47" si="11">B27</f>
        <v>楼层</v>
      </c>
      <c r="R27" s="1146" t="s">
        <v>61</v>
      </c>
      <c r="S27" s="1147">
        <f>F27</f>
        <v>100</v>
      </c>
      <c r="T27" s="1146" t="s">
        <v>61</v>
      </c>
      <c r="U27" s="1147">
        <f>H27</f>
        <v>100</v>
      </c>
      <c r="V27" s="1146" t="s">
        <v>61</v>
      </c>
      <c r="W27" s="1147">
        <f>J27</f>
        <v>100</v>
      </c>
      <c r="X27" s="1133"/>
      <c r="Y27" s="3485"/>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68"/>
      <c r="Q28" s="2" t="str">
        <f t="shared" si="11"/>
        <v>朝向</v>
      </c>
      <c r="R28" s="1135" t="s">
        <v>61</v>
      </c>
      <c r="S28" s="1136">
        <f>F28</f>
        <v>100</v>
      </c>
      <c r="T28" s="1135" t="s">
        <v>61</v>
      </c>
      <c r="U28" s="1136">
        <f>H28</f>
        <v>100</v>
      </c>
      <c r="V28" s="1135" t="s">
        <v>61</v>
      </c>
      <c r="W28" s="1136">
        <f>J28</f>
        <v>100</v>
      </c>
      <c r="X28" s="184"/>
      <c r="Y28" s="3485"/>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68"/>
      <c r="Q29" s="1145">
        <f t="shared" si="11"/>
        <v>111</v>
      </c>
      <c r="R29" s="1146" t="s">
        <v>61</v>
      </c>
      <c r="S29" s="1147">
        <f t="shared" ref="S29:S47" si="12">F29</f>
        <v>100</v>
      </c>
      <c r="T29" s="1146" t="s">
        <v>61</v>
      </c>
      <c r="U29" s="1147">
        <f t="shared" ref="U29:U47" si="13">H29</f>
        <v>100</v>
      </c>
      <c r="V29" s="1146" t="s">
        <v>61</v>
      </c>
      <c r="W29" s="1147">
        <f t="shared" ref="W29:W47" si="14">J29</f>
        <v>100</v>
      </c>
      <c r="X29" s="1133"/>
      <c r="Y29" s="3485"/>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68"/>
      <c r="Q30" s="1145">
        <f t="shared" si="11"/>
        <v>111</v>
      </c>
      <c r="R30" s="1146" t="s">
        <v>61</v>
      </c>
      <c r="S30" s="1147">
        <f t="shared" si="12"/>
        <v>100</v>
      </c>
      <c r="T30" s="1146" t="s">
        <v>61</v>
      </c>
      <c r="U30" s="1147">
        <f t="shared" si="13"/>
        <v>100</v>
      </c>
      <c r="V30" s="1146" t="s">
        <v>61</v>
      </c>
      <c r="W30" s="1147">
        <f t="shared" si="14"/>
        <v>100</v>
      </c>
      <c r="X30" s="1133"/>
      <c r="Y30" s="3485"/>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68"/>
      <c r="Q31" s="1145">
        <f t="shared" si="11"/>
        <v>111</v>
      </c>
      <c r="R31" s="1146" t="s">
        <v>61</v>
      </c>
      <c r="S31" s="1147">
        <f t="shared" si="12"/>
        <v>100</v>
      </c>
      <c r="T31" s="1146" t="s">
        <v>61</v>
      </c>
      <c r="U31" s="1147">
        <f t="shared" si="13"/>
        <v>100</v>
      </c>
      <c r="V31" s="1146" t="s">
        <v>61</v>
      </c>
      <c r="W31" s="1147">
        <f t="shared" si="14"/>
        <v>100</v>
      </c>
      <c r="X31" s="1133"/>
      <c r="Y31" s="3485"/>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68"/>
      <c r="Q32" s="1145">
        <f t="shared" si="11"/>
        <v>111</v>
      </c>
      <c r="R32" s="1146" t="s">
        <v>61</v>
      </c>
      <c r="S32" s="1147">
        <f t="shared" si="12"/>
        <v>100</v>
      </c>
      <c r="T32" s="1146" t="s">
        <v>61</v>
      </c>
      <c r="U32" s="1147">
        <f t="shared" si="13"/>
        <v>100</v>
      </c>
      <c r="V32" s="1146" t="s">
        <v>61</v>
      </c>
      <c r="W32" s="1147">
        <f t="shared" si="14"/>
        <v>100</v>
      </c>
      <c r="X32" s="1133"/>
      <c r="Y32" s="3485"/>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541" t="s">
        <v>1003</v>
      </c>
      <c r="Q33" s="1145" t="str">
        <f t="shared" si="11"/>
        <v>建筑类型</v>
      </c>
      <c r="R33" s="1146" t="s">
        <v>61</v>
      </c>
      <c r="S33" s="1147">
        <f t="shared" si="12"/>
        <v>100</v>
      </c>
      <c r="T33" s="1146" t="s">
        <v>61</v>
      </c>
      <c r="U33" s="1147">
        <f t="shared" si="13"/>
        <v>100</v>
      </c>
      <c r="V33" s="1146" t="s">
        <v>61</v>
      </c>
      <c r="W33" s="1147">
        <f t="shared" si="14"/>
        <v>100</v>
      </c>
      <c r="X33" s="1133"/>
      <c r="Y33" s="3489"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542"/>
      <c r="Q34" s="1153" t="str">
        <f t="shared" si="11"/>
        <v>项目建筑规模</v>
      </c>
      <c r="R34" s="1154" t="s">
        <v>61</v>
      </c>
      <c r="S34" s="1155" t="e">
        <f t="shared" si="12"/>
        <v>#N/A</v>
      </c>
      <c r="T34" s="1154" t="s">
        <v>61</v>
      </c>
      <c r="U34" s="1155" t="e">
        <f t="shared" si="13"/>
        <v>#N/A</v>
      </c>
      <c r="V34" s="1154" t="s">
        <v>61</v>
      </c>
      <c r="W34" s="1155" t="e">
        <f t="shared" si="14"/>
        <v>#N/A</v>
      </c>
      <c r="X34" s="1156"/>
      <c r="Y34" s="3489"/>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542"/>
      <c r="Q35" s="1145" t="str">
        <f t="shared" si="11"/>
        <v>建筑结构</v>
      </c>
      <c r="R35" s="1146" t="s">
        <v>61</v>
      </c>
      <c r="S35" s="1147">
        <f t="shared" si="12"/>
        <v>100</v>
      </c>
      <c r="T35" s="1146" t="s">
        <v>61</v>
      </c>
      <c r="U35" s="1147">
        <f t="shared" si="13"/>
        <v>100</v>
      </c>
      <c r="V35" s="1146" t="s">
        <v>61</v>
      </c>
      <c r="W35" s="1147">
        <f t="shared" si="14"/>
        <v>100</v>
      </c>
      <c r="X35" s="1133"/>
      <c r="Y35" s="3489"/>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542"/>
      <c r="Q36" s="1145" t="str">
        <f t="shared" si="11"/>
        <v>公共部分装修</v>
      </c>
      <c r="R36" s="1146" t="s">
        <v>61</v>
      </c>
      <c r="S36" s="1147">
        <f t="shared" si="12"/>
        <v>100</v>
      </c>
      <c r="T36" s="1146" t="s">
        <v>61</v>
      </c>
      <c r="U36" s="1147">
        <f t="shared" si="13"/>
        <v>100</v>
      </c>
      <c r="V36" s="1146" t="s">
        <v>61</v>
      </c>
      <c r="W36" s="1147">
        <f t="shared" si="14"/>
        <v>100</v>
      </c>
      <c r="X36" s="1133"/>
      <c r="Y36" s="3489"/>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542"/>
      <c r="Q37" s="1145" t="str">
        <f t="shared" si="11"/>
        <v>成新度</v>
      </c>
      <c r="R37" s="1146" t="s">
        <v>61</v>
      </c>
      <c r="S37" s="1147" t="e">
        <f t="shared" si="12"/>
        <v>#N/A</v>
      </c>
      <c r="T37" s="1146" t="s">
        <v>61</v>
      </c>
      <c r="U37" s="1147" t="e">
        <f t="shared" si="13"/>
        <v>#N/A</v>
      </c>
      <c r="V37" s="1146" t="s">
        <v>61</v>
      </c>
      <c r="W37" s="1147" t="e">
        <f t="shared" si="14"/>
        <v>#N/A</v>
      </c>
      <c r="X37" s="1133"/>
      <c r="Y37" s="3489"/>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542"/>
      <c r="Q38" s="2" t="str">
        <f t="shared" si="11"/>
        <v>写字楼等级</v>
      </c>
      <c r="R38" s="1135" t="s">
        <v>61</v>
      </c>
      <c r="S38" s="1136">
        <f t="shared" si="12"/>
        <v>100</v>
      </c>
      <c r="T38" s="1135" t="s">
        <v>61</v>
      </c>
      <c r="U38" s="1136">
        <f t="shared" si="13"/>
        <v>100</v>
      </c>
      <c r="V38" s="1135" t="s">
        <v>61</v>
      </c>
      <c r="W38" s="1136">
        <f t="shared" si="14"/>
        <v>100</v>
      </c>
      <c r="X38" s="184"/>
      <c r="Y38" s="3489"/>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542" t="s">
        <v>66</v>
      </c>
      <c r="Q39" s="1145" t="str">
        <f t="shared" si="11"/>
        <v>物业管理</v>
      </c>
      <c r="R39" s="1146" t="s">
        <v>61</v>
      </c>
      <c r="S39" s="1147">
        <f t="shared" si="12"/>
        <v>100</v>
      </c>
      <c r="T39" s="1146" t="s">
        <v>61</v>
      </c>
      <c r="U39" s="1147">
        <f t="shared" si="13"/>
        <v>100</v>
      </c>
      <c r="V39" s="1146" t="s">
        <v>61</v>
      </c>
      <c r="W39" s="1147">
        <f t="shared" si="14"/>
        <v>100</v>
      </c>
      <c r="X39" s="1133"/>
      <c r="Y39" s="3489" t="s">
        <v>66</v>
      </c>
      <c r="Z39" s="1148" t="str">
        <f t="shared" si="15"/>
        <v>物业管理</v>
      </c>
      <c r="AA39" s="1149">
        <f t="shared" si="3"/>
        <v>1</v>
      </c>
      <c r="AB39" s="1149">
        <f t="shared" si="4"/>
        <v>1</v>
      </c>
      <c r="AC39" s="1149">
        <f t="shared" si="5"/>
        <v>1</v>
      </c>
    </row>
    <row r="40" spans="1:29" ht="15">
      <c r="A40" s="111"/>
      <c r="B40" s="4" t="s">
        <v>2545</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542"/>
      <c r="Q40" s="1145" t="str">
        <f t="shared" si="11"/>
        <v>市政基础设施</v>
      </c>
      <c r="R40" s="1146" t="s">
        <v>61</v>
      </c>
      <c r="S40" s="1147">
        <f t="shared" si="12"/>
        <v>100</v>
      </c>
      <c r="T40" s="1146" t="s">
        <v>61</v>
      </c>
      <c r="U40" s="1147">
        <f t="shared" si="13"/>
        <v>100</v>
      </c>
      <c r="V40" s="1146" t="s">
        <v>61</v>
      </c>
      <c r="W40" s="1147">
        <f t="shared" si="14"/>
        <v>100</v>
      </c>
      <c r="X40" s="1133"/>
      <c r="Y40" s="3489"/>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542"/>
      <c r="Q41" s="1145" t="str">
        <f t="shared" si="11"/>
        <v>层高</v>
      </c>
      <c r="R41" s="1146" t="s">
        <v>61</v>
      </c>
      <c r="S41" s="1147">
        <f t="shared" si="12"/>
        <v>100</v>
      </c>
      <c r="T41" s="1146" t="s">
        <v>61</v>
      </c>
      <c r="U41" s="1147">
        <f t="shared" si="13"/>
        <v>100</v>
      </c>
      <c r="V41" s="1146" t="s">
        <v>61</v>
      </c>
      <c r="W41" s="1147">
        <f t="shared" si="14"/>
        <v>100</v>
      </c>
      <c r="X41" s="1133"/>
      <c r="Y41" s="3489"/>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542"/>
      <c r="Q42" s="1153" t="str">
        <f t="shared" si="11"/>
        <v>单套建筑面积</v>
      </c>
      <c r="R42" s="1154" t="s">
        <v>61</v>
      </c>
      <c r="S42" s="1155">
        <f t="shared" si="12"/>
        <v>100</v>
      </c>
      <c r="T42" s="1154" t="s">
        <v>61</v>
      </c>
      <c r="U42" s="1155">
        <f t="shared" si="13"/>
        <v>100</v>
      </c>
      <c r="V42" s="1154" t="s">
        <v>61</v>
      </c>
      <c r="W42" s="1155">
        <f t="shared" si="14"/>
        <v>100</v>
      </c>
      <c r="X42" s="1156"/>
      <c r="Y42" s="3489"/>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542"/>
      <c r="Q43" s="1145" t="str">
        <f t="shared" si="11"/>
        <v>内部装修</v>
      </c>
      <c r="R43" s="1146" t="s">
        <v>61</v>
      </c>
      <c r="S43" s="1147">
        <f t="shared" si="12"/>
        <v>100</v>
      </c>
      <c r="T43" s="1146" t="s">
        <v>61</v>
      </c>
      <c r="U43" s="1147">
        <f t="shared" si="13"/>
        <v>100</v>
      </c>
      <c r="V43" s="1146" t="s">
        <v>61</v>
      </c>
      <c r="W43" s="1147">
        <f t="shared" si="14"/>
        <v>100</v>
      </c>
      <c r="X43" s="1133"/>
      <c r="Y43" s="3489"/>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542"/>
      <c r="Q44" s="1145" t="str">
        <f t="shared" si="11"/>
        <v>内部装修维护情况</v>
      </c>
      <c r="R44" s="1146" t="s">
        <v>61</v>
      </c>
      <c r="S44" s="1147">
        <f t="shared" si="12"/>
        <v>100</v>
      </c>
      <c r="T44" s="1146" t="s">
        <v>61</v>
      </c>
      <c r="U44" s="1147">
        <f t="shared" si="13"/>
        <v>100</v>
      </c>
      <c r="V44" s="1146" t="s">
        <v>61</v>
      </c>
      <c r="W44" s="1147">
        <f t="shared" si="14"/>
        <v>100</v>
      </c>
      <c r="X44" s="1133"/>
      <c r="Y44" s="3489"/>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542"/>
      <c r="Q45" s="2">
        <f t="shared" si="11"/>
        <v>111</v>
      </c>
      <c r="R45" s="1135" t="s">
        <v>61</v>
      </c>
      <c r="S45" s="1136">
        <f t="shared" si="12"/>
        <v>100</v>
      </c>
      <c r="T45" s="1135" t="s">
        <v>61</v>
      </c>
      <c r="U45" s="1136">
        <f t="shared" si="13"/>
        <v>100</v>
      </c>
      <c r="V45" s="1135" t="s">
        <v>61</v>
      </c>
      <c r="W45" s="1136">
        <f t="shared" si="14"/>
        <v>100</v>
      </c>
      <c r="X45" s="184"/>
      <c r="Y45" s="3489"/>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542"/>
      <c r="Q46" s="1145">
        <f t="shared" si="11"/>
        <v>111</v>
      </c>
      <c r="R46" s="1146" t="s">
        <v>61</v>
      </c>
      <c r="S46" s="1147">
        <f t="shared" si="12"/>
        <v>100</v>
      </c>
      <c r="T46" s="1146" t="s">
        <v>61</v>
      </c>
      <c r="U46" s="1147">
        <f t="shared" si="13"/>
        <v>100</v>
      </c>
      <c r="V46" s="1146" t="s">
        <v>61</v>
      </c>
      <c r="W46" s="1147">
        <f t="shared" si="14"/>
        <v>100</v>
      </c>
      <c r="X46" s="1133"/>
      <c r="Y46" s="3489"/>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543"/>
      <c r="Q47" s="1145">
        <f t="shared" si="11"/>
        <v>111</v>
      </c>
      <c r="R47" s="1146" t="s">
        <v>61</v>
      </c>
      <c r="S47" s="1147">
        <f t="shared" si="12"/>
        <v>100</v>
      </c>
      <c r="T47" s="1146" t="s">
        <v>61</v>
      </c>
      <c r="U47" s="1147">
        <f t="shared" si="13"/>
        <v>100</v>
      </c>
      <c r="V47" s="1146" t="s">
        <v>61</v>
      </c>
      <c r="W47" s="1147">
        <f t="shared" si="14"/>
        <v>100</v>
      </c>
      <c r="X47" s="1133"/>
      <c r="Y47" s="3490"/>
      <c r="Z47" s="1148">
        <f t="shared" si="15"/>
        <v>111</v>
      </c>
      <c r="AA47" s="1149">
        <f t="shared" si="3"/>
        <v>1</v>
      </c>
      <c r="AB47" s="1149">
        <f t="shared" si="4"/>
        <v>1</v>
      </c>
      <c r="AC47" s="1149">
        <f t="shared" si="5"/>
        <v>1</v>
      </c>
    </row>
    <row r="48" spans="1:29" ht="15">
      <c r="A48" s="113" t="s">
        <v>945</v>
      </c>
      <c r="B48" s="114"/>
      <c r="C48" s="2608" t="s">
        <v>20</v>
      </c>
      <c r="D48" s="2609"/>
      <c r="E48" s="2610"/>
      <c r="F48" s="2611"/>
      <c r="G48" s="2612"/>
      <c r="H48" s="2613"/>
      <c r="I48" s="2610"/>
      <c r="J48" s="2613"/>
      <c r="K48" s="1188"/>
      <c r="L48" s="2170"/>
      <c r="M48" s="2163"/>
      <c r="N48" s="2163"/>
      <c r="O48" s="2163"/>
      <c r="P48" s="3502" t="str">
        <f>A48</f>
        <v>成交单价（元/平方米）</v>
      </c>
      <c r="Q48" s="3495"/>
      <c r="R48" s="3496">
        <f>E48</f>
        <v>0</v>
      </c>
      <c r="S48" s="3496"/>
      <c r="T48" s="3496">
        <f>G48</f>
        <v>0</v>
      </c>
      <c r="U48" s="3496"/>
      <c r="V48" s="3496">
        <f>I48</f>
        <v>0</v>
      </c>
      <c r="W48" s="3496"/>
      <c r="X48" s="1159"/>
      <c r="Y48" s="1160"/>
      <c r="Z48" s="1159"/>
      <c r="AA48" s="1159"/>
      <c r="AB48" s="1159"/>
      <c r="AC48" s="1159"/>
    </row>
    <row r="49" spans="1:29" ht="15.75" thickBot="1">
      <c r="A49" s="115" t="s">
        <v>946</v>
      </c>
      <c r="B49" s="116"/>
      <c r="C49" s="2614" t="e">
        <f>R50</f>
        <v>#DIV/0!</v>
      </c>
      <c r="D49" s="2615"/>
      <c r="E49" s="2616" t="e">
        <f>R49</f>
        <v>#DIV/0!</v>
      </c>
      <c r="F49" s="2616"/>
      <c r="G49" s="2614" t="e">
        <f>T49</f>
        <v>#DIV/0!</v>
      </c>
      <c r="H49" s="2615"/>
      <c r="I49" s="2616" t="e">
        <f>V49</f>
        <v>#DIV/0!</v>
      </c>
      <c r="J49" s="2615"/>
      <c r="K49" s="1189"/>
      <c r="L49" s="2170"/>
      <c r="M49" s="2163"/>
      <c r="N49" s="2163"/>
      <c r="O49" s="2163"/>
      <c r="P49" s="3502" t="str">
        <f>A49</f>
        <v>比较价值（元/平方米）</v>
      </c>
      <c r="Q49" s="3495"/>
      <c r="R49" s="3496" t="e">
        <f>IF(E1="售价",ROUND(PRODUCT(R48,AA7:AA47),0),ROUND(PRODUCT(R48,AA7:AA47),1))</f>
        <v>#DIV/0!</v>
      </c>
      <c r="S49" s="3496"/>
      <c r="T49" s="3496" t="e">
        <f>IF(E1="售价",ROUND(PRODUCT(T48,AB7:AB47),0),ROUND(PRODUCT(T48,AB7:AB47),1))</f>
        <v>#DIV/0!</v>
      </c>
      <c r="U49" s="3496"/>
      <c r="V49" s="3496" t="e">
        <f>IF(E1="售价",ROUND(PRODUCT(V48,AC7:AC47),0),ROUND(PRODUCT(V48,AC7:AC47),1))</f>
        <v>#DIV/0!</v>
      </c>
      <c r="W49" s="3496"/>
      <c r="X49" s="1159"/>
      <c r="Y49" s="1159"/>
      <c r="Z49" s="1159"/>
      <c r="AA49" s="1159"/>
      <c r="AB49" s="1159"/>
      <c r="AC49" s="1159"/>
    </row>
    <row r="50" spans="1:29" ht="15.75" thickBot="1">
      <c r="A50" s="62" t="s">
        <v>2882</v>
      </c>
      <c r="B50" s="63"/>
      <c r="C50" s="2618" t="e">
        <f>R50</f>
        <v>#DIV/0!</v>
      </c>
      <c r="D50" s="2618"/>
      <c r="E50" s="2618"/>
      <c r="F50" s="2618"/>
      <c r="G50" s="2618"/>
      <c r="H50" s="2618"/>
      <c r="I50" s="2618"/>
      <c r="J50" s="2618"/>
      <c r="K50" s="1190"/>
      <c r="L50" s="2170"/>
      <c r="M50" s="2163"/>
      <c r="N50" s="2163"/>
      <c r="O50" s="2163"/>
      <c r="P50" s="3544" t="str">
        <f>A50</f>
        <v>估价对象XX用房的比较价值（楼面单价，元/平方米）</v>
      </c>
      <c r="Q50" s="3502"/>
      <c r="R50" s="3503" t="e">
        <f>IF(E1="售价",ROUND(AVERAGE(R49:V49),0),ROUND(AVERAGE(R49:V49),1))</f>
        <v>#DIV/0!</v>
      </c>
      <c r="S50" s="3503"/>
      <c r="T50" s="3503"/>
      <c r="U50" s="3503"/>
      <c r="V50" s="3503"/>
      <c r="W50" s="3503"/>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3" t="str">
        <f>YEAR(C7)&amp;"-"&amp;MONTH(C7)</f>
        <v>2009-7</v>
      </c>
      <c r="D59" s="2804">
        <f>EDATE(C59,-1)</f>
        <v>39965</v>
      </c>
      <c r="E59" s="2804">
        <f t="shared" ref="E59:O59" si="16">EDATE(D59,-1)</f>
        <v>39934</v>
      </c>
      <c r="F59" s="2804">
        <f t="shared" si="16"/>
        <v>39904</v>
      </c>
      <c r="G59" s="2804">
        <f t="shared" si="16"/>
        <v>39873</v>
      </c>
      <c r="H59" s="2804">
        <f t="shared" si="16"/>
        <v>39845</v>
      </c>
      <c r="I59" s="2804">
        <f t="shared" si="16"/>
        <v>39814</v>
      </c>
      <c r="J59" s="2804">
        <f t="shared" si="16"/>
        <v>39783</v>
      </c>
      <c r="K59" s="2804">
        <f t="shared" si="16"/>
        <v>39753</v>
      </c>
      <c r="L59" s="2804">
        <f t="shared" si="16"/>
        <v>39722</v>
      </c>
      <c r="M59" s="2804">
        <f t="shared" si="16"/>
        <v>39692</v>
      </c>
      <c r="N59" s="2804">
        <f t="shared" si="16"/>
        <v>39661</v>
      </c>
      <c r="O59" s="2804">
        <f t="shared" si="16"/>
        <v>39630</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2534</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2546</v>
      </c>
      <c r="C83" s="129" t="s">
        <v>2538</v>
      </c>
      <c r="D83" s="129" t="s">
        <v>2539</v>
      </c>
      <c r="E83" s="129" t="s">
        <v>2540</v>
      </c>
      <c r="F83" s="129" t="s">
        <v>2541</v>
      </c>
      <c r="G83" s="129" t="s">
        <v>2542</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2537</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1014</v>
      </c>
      <c r="B1" s="2890" t="s">
        <v>1015</v>
      </c>
      <c r="C1" s="2891"/>
      <c r="D1" s="2895"/>
      <c r="E1" s="2893"/>
      <c r="F1" s="2894" t="s">
        <v>1016</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1017</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349.11</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1020</v>
      </c>
      <c r="B4" s="91"/>
      <c r="C4" s="3461" t="s">
        <v>1021</v>
      </c>
      <c r="D4" s="3462"/>
      <c r="E4" s="3463" t="s">
        <v>1022</v>
      </c>
      <c r="F4" s="3464"/>
      <c r="G4" s="3461" t="s">
        <v>1023</v>
      </c>
      <c r="H4" s="3462"/>
      <c r="I4" s="3461" t="s">
        <v>1024</v>
      </c>
      <c r="J4" s="3462"/>
      <c r="K4" s="139" t="s">
        <v>1025</v>
      </c>
      <c r="L4" s="2162"/>
      <c r="M4" s="2163"/>
      <c r="N4" s="2163"/>
      <c r="O4" s="2163"/>
      <c r="P4" s="3465" t="s">
        <v>1020</v>
      </c>
      <c r="Q4" s="3466"/>
      <c r="R4" s="3471" t="s">
        <v>1022</v>
      </c>
      <c r="S4" s="3472"/>
      <c r="T4" s="3471" t="s">
        <v>1023</v>
      </c>
      <c r="U4" s="3472"/>
      <c r="V4" s="3477" t="s">
        <v>1024</v>
      </c>
      <c r="W4" s="3477"/>
      <c r="X4" s="1133"/>
      <c r="Y4" s="3471" t="s">
        <v>1020</v>
      </c>
      <c r="Z4" s="3472"/>
      <c r="AA4" s="3458" t="s">
        <v>1022</v>
      </c>
      <c r="AB4" s="3459" t="s">
        <v>1023</v>
      </c>
      <c r="AC4" s="3458" t="s">
        <v>1024</v>
      </c>
    </row>
    <row r="5" spans="1:29">
      <c r="A5" s="93"/>
      <c r="B5" s="94"/>
      <c r="C5" s="3478" t="s">
        <v>1026</v>
      </c>
      <c r="D5" s="3479"/>
      <c r="E5" s="3536" t="s">
        <v>1027</v>
      </c>
      <c r="F5" s="3537"/>
      <c r="G5" s="3478" t="s">
        <v>1028</v>
      </c>
      <c r="H5" s="3479"/>
      <c r="I5" s="3478" t="s">
        <v>1029</v>
      </c>
      <c r="J5" s="3479"/>
      <c r="K5" s="139"/>
      <c r="L5" s="2162"/>
      <c r="M5" s="2163"/>
      <c r="N5" s="2163"/>
      <c r="O5" s="2163"/>
      <c r="P5" s="3467"/>
      <c r="Q5" s="3468"/>
      <c r="R5" s="3473"/>
      <c r="S5" s="3474"/>
      <c r="T5" s="3473"/>
      <c r="U5" s="3474"/>
      <c r="V5" s="3477"/>
      <c r="W5" s="3477"/>
      <c r="X5" s="1133"/>
      <c r="Y5" s="3473"/>
      <c r="Z5" s="3474"/>
      <c r="AA5" s="3459"/>
      <c r="AB5" s="3459"/>
      <c r="AC5" s="3459"/>
    </row>
    <row r="6" spans="1:29" ht="14.25" thickBot="1">
      <c r="A6" s="95"/>
      <c r="B6" s="96"/>
      <c r="C6" s="3480" t="s">
        <v>1030</v>
      </c>
      <c r="D6" s="3481"/>
      <c r="E6" s="3482" t="s">
        <v>1030</v>
      </c>
      <c r="F6" s="3483"/>
      <c r="G6" s="3480" t="s">
        <v>1030</v>
      </c>
      <c r="H6" s="3481"/>
      <c r="I6" s="3480" t="s">
        <v>1030</v>
      </c>
      <c r="J6" s="3481"/>
      <c r="K6" s="139" t="s">
        <v>1031</v>
      </c>
      <c r="L6" s="2162"/>
      <c r="M6" s="2163"/>
      <c r="N6" s="2163"/>
      <c r="O6" s="2163"/>
      <c r="P6" s="3469"/>
      <c r="Q6" s="3470"/>
      <c r="R6" s="3473"/>
      <c r="S6" s="3474"/>
      <c r="T6" s="3475"/>
      <c r="U6" s="3476"/>
      <c r="V6" s="3477"/>
      <c r="W6" s="3477"/>
      <c r="X6" s="1133"/>
      <c r="Y6" s="3475"/>
      <c r="Z6" s="3476"/>
      <c r="AA6" s="3460"/>
      <c r="AB6" s="3460"/>
      <c r="AC6" s="3460"/>
    </row>
    <row r="7" spans="1:29" s="11" customFormat="1" ht="15" thickBot="1">
      <c r="A7" s="872" t="s">
        <v>1032</v>
      </c>
      <c r="B7" s="873"/>
      <c r="C7" s="607">
        <f>'数据-取费表'!B2</f>
        <v>39996</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91" t="s">
        <v>1032</v>
      </c>
      <c r="Q7" s="3493"/>
      <c r="R7" s="1135" t="s">
        <v>61</v>
      </c>
      <c r="S7" s="1136">
        <f t="shared" ref="S7:S15" si="0">F7</f>
        <v>0</v>
      </c>
      <c r="T7" s="1135" t="s">
        <v>61</v>
      </c>
      <c r="U7" s="1136">
        <f t="shared" ref="U7:U15" si="1">H7</f>
        <v>0</v>
      </c>
      <c r="V7" s="1135" t="s">
        <v>61</v>
      </c>
      <c r="W7" s="1136">
        <f t="shared" ref="W7:W15" si="2">J7</f>
        <v>0</v>
      </c>
      <c r="X7" s="184"/>
      <c r="Y7" s="3491" t="s">
        <v>1032</v>
      </c>
      <c r="Z7" s="3492"/>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91" t="s">
        <v>930</v>
      </c>
      <c r="Q8" s="3492"/>
      <c r="R8" s="1135" t="s">
        <v>61</v>
      </c>
      <c r="S8" s="1136">
        <f t="shared" si="0"/>
        <v>100</v>
      </c>
      <c r="T8" s="1135" t="s">
        <v>61</v>
      </c>
      <c r="U8" s="1136">
        <f t="shared" si="1"/>
        <v>100</v>
      </c>
      <c r="V8" s="1135" t="s">
        <v>61</v>
      </c>
      <c r="W8" s="1136">
        <f t="shared" si="2"/>
        <v>100</v>
      </c>
      <c r="X8" s="184"/>
      <c r="Y8" s="3491" t="s">
        <v>930</v>
      </c>
      <c r="Z8" s="3492"/>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95" t="s">
        <v>63</v>
      </c>
      <c r="Q9" s="2" t="str">
        <f t="shared" ref="Q9:Q15" si="6">B9</f>
        <v>用途</v>
      </c>
      <c r="R9" s="1135" t="s">
        <v>61</v>
      </c>
      <c r="S9" s="1136">
        <f t="shared" si="0"/>
        <v>100</v>
      </c>
      <c r="T9" s="1135" t="s">
        <v>61</v>
      </c>
      <c r="U9" s="1136">
        <f t="shared" si="1"/>
        <v>100</v>
      </c>
      <c r="V9" s="1135" t="s">
        <v>61</v>
      </c>
      <c r="W9" s="1136">
        <f t="shared" si="2"/>
        <v>100</v>
      </c>
      <c r="X9" s="184"/>
      <c r="Y9" s="33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95"/>
      <c r="Q10" s="2" t="str">
        <f t="shared" si="6"/>
        <v>土地使用年限（年）</v>
      </c>
      <c r="R10" s="1135" t="s">
        <v>61</v>
      </c>
      <c r="S10" s="1136">
        <f t="shared" si="0"/>
        <v>100</v>
      </c>
      <c r="T10" s="1135" t="s">
        <v>61</v>
      </c>
      <c r="U10" s="1136">
        <f t="shared" si="1"/>
        <v>100</v>
      </c>
      <c r="V10" s="1135" t="s">
        <v>61</v>
      </c>
      <c r="W10" s="1136">
        <f t="shared" si="2"/>
        <v>100</v>
      </c>
      <c r="X10" s="184"/>
      <c r="Y10" s="33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95"/>
      <c r="Q11" s="2" t="str">
        <f t="shared" si="6"/>
        <v>容积率</v>
      </c>
      <c r="R11" s="1135" t="s">
        <v>61</v>
      </c>
      <c r="S11" s="1136" t="e">
        <f t="shared" si="0"/>
        <v>#N/A</v>
      </c>
      <c r="T11" s="1135" t="s">
        <v>61</v>
      </c>
      <c r="U11" s="1136" t="e">
        <f t="shared" si="1"/>
        <v>#N/A</v>
      </c>
      <c r="V11" s="1135" t="s">
        <v>61</v>
      </c>
      <c r="W11" s="1136" t="e">
        <f t="shared" si="2"/>
        <v>#N/A</v>
      </c>
      <c r="X11" s="184"/>
      <c r="Y11" s="33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95"/>
      <c r="Q12" s="2">
        <f t="shared" si="6"/>
        <v>111</v>
      </c>
      <c r="R12" s="1135" t="s">
        <v>61</v>
      </c>
      <c r="S12" s="1136">
        <f t="shared" si="0"/>
        <v>100</v>
      </c>
      <c r="T12" s="1135" t="s">
        <v>61</v>
      </c>
      <c r="U12" s="1136">
        <f t="shared" si="1"/>
        <v>100</v>
      </c>
      <c r="V12" s="1135" t="s">
        <v>61</v>
      </c>
      <c r="W12" s="1136">
        <f t="shared" si="2"/>
        <v>100</v>
      </c>
      <c r="X12" s="184"/>
      <c r="Y12" s="33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95"/>
      <c r="Q13" s="2">
        <f t="shared" si="6"/>
        <v>111</v>
      </c>
      <c r="R13" s="1135" t="s">
        <v>61</v>
      </c>
      <c r="S13" s="1136">
        <f t="shared" si="0"/>
        <v>100</v>
      </c>
      <c r="T13" s="1135" t="s">
        <v>61</v>
      </c>
      <c r="U13" s="1136">
        <f t="shared" si="1"/>
        <v>100</v>
      </c>
      <c r="V13" s="1135" t="s">
        <v>61</v>
      </c>
      <c r="W13" s="1136">
        <f t="shared" si="2"/>
        <v>100</v>
      </c>
      <c r="X13" s="184"/>
      <c r="Y13" s="33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95"/>
      <c r="Q14" s="2">
        <f t="shared" si="6"/>
        <v>111</v>
      </c>
      <c r="R14" s="1135" t="s">
        <v>61</v>
      </c>
      <c r="S14" s="1136">
        <f t="shared" si="0"/>
        <v>100</v>
      </c>
      <c r="T14" s="1135" t="s">
        <v>61</v>
      </c>
      <c r="U14" s="1136">
        <f t="shared" si="1"/>
        <v>100</v>
      </c>
      <c r="V14" s="1135" t="s">
        <v>61</v>
      </c>
      <c r="W14" s="1136">
        <f t="shared" si="2"/>
        <v>100</v>
      </c>
      <c r="X14" s="184"/>
      <c r="Y14" s="33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84" t="s">
        <v>65</v>
      </c>
      <c r="Q15" s="1145" t="str">
        <f t="shared" si="6"/>
        <v>产业集聚程度</v>
      </c>
      <c r="R15" s="1146" t="s">
        <v>61</v>
      </c>
      <c r="S15" s="1147">
        <f t="shared" si="0"/>
        <v>100</v>
      </c>
      <c r="T15" s="1146" t="s">
        <v>61</v>
      </c>
      <c r="U15" s="1147">
        <f t="shared" si="1"/>
        <v>100</v>
      </c>
      <c r="V15" s="1146" t="s">
        <v>61</v>
      </c>
      <c r="W15" s="1147">
        <f t="shared" si="2"/>
        <v>100</v>
      </c>
      <c r="X15" s="1133"/>
      <c r="Y15" s="3484"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85"/>
      <c r="Q16" s="1145"/>
      <c r="R16" s="1146"/>
      <c r="S16" s="1147"/>
      <c r="T16" s="1146"/>
      <c r="U16" s="1147"/>
      <c r="V16" s="1146"/>
      <c r="W16" s="1147"/>
      <c r="X16" s="1133"/>
      <c r="Y16" s="3485"/>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85"/>
      <c r="Q17" s="1145" t="str">
        <f>B17</f>
        <v>交通便捷度</v>
      </c>
      <c r="R17" s="1146" t="s">
        <v>61</v>
      </c>
      <c r="S17" s="1147">
        <f>F17</f>
        <v>100</v>
      </c>
      <c r="T17" s="1146" t="s">
        <v>61</v>
      </c>
      <c r="U17" s="1147">
        <f>H17</f>
        <v>100</v>
      </c>
      <c r="V17" s="1146" t="s">
        <v>61</v>
      </c>
      <c r="W17" s="1147">
        <f>J17</f>
        <v>100</v>
      </c>
      <c r="X17" s="1133"/>
      <c r="Y17" s="348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85"/>
      <c r="Q18" s="1145"/>
      <c r="R18" s="1146"/>
      <c r="S18" s="1147"/>
      <c r="T18" s="1146"/>
      <c r="U18" s="1147"/>
      <c r="V18" s="1146"/>
      <c r="W18" s="1147"/>
      <c r="X18" s="1133"/>
      <c r="Y18" s="3485"/>
      <c r="Z18" s="1148"/>
      <c r="AA18" s="1149">
        <v>1</v>
      </c>
      <c r="AB18" s="1149">
        <v>1</v>
      </c>
      <c r="AC18" s="1149">
        <v>1</v>
      </c>
    </row>
    <row r="19" spans="1:29" ht="40.5">
      <c r="A19" s="98"/>
      <c r="B19" s="892" t="s">
        <v>2547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85"/>
      <c r="Q19" s="1145" t="str">
        <f>B19</f>
        <v>公共配套设施</v>
      </c>
      <c r="R19" s="1146" t="s">
        <v>61</v>
      </c>
      <c r="S19" s="1147">
        <f>F19</f>
        <v>100</v>
      </c>
      <c r="T19" s="1146" t="s">
        <v>61</v>
      </c>
      <c r="U19" s="1147">
        <f>H19</f>
        <v>100</v>
      </c>
      <c r="V19" s="1146" t="s">
        <v>61</v>
      </c>
      <c r="W19" s="1147">
        <f>J19</f>
        <v>100</v>
      </c>
      <c r="X19" s="1133"/>
      <c r="Y19" s="3485"/>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85"/>
      <c r="Q20" s="1145"/>
      <c r="R20" s="1146"/>
      <c r="S20" s="1147"/>
      <c r="T20" s="1146"/>
      <c r="U20" s="1147"/>
      <c r="V20" s="1146"/>
      <c r="W20" s="1147"/>
      <c r="X20" s="1133"/>
      <c r="Y20" s="3485"/>
      <c r="Z20" s="1148"/>
      <c r="AA20" s="1149">
        <v>1</v>
      </c>
      <c r="AB20" s="1149">
        <v>1</v>
      </c>
      <c r="AC20" s="1149">
        <v>1</v>
      </c>
    </row>
    <row r="21" spans="1:29" ht="40.5">
      <c r="A21" s="98"/>
      <c r="B21" s="894" t="s">
        <v>2548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85"/>
      <c r="Q21" s="2548" t="str">
        <f>B21</f>
        <v>基础设施水平</v>
      </c>
      <c r="R21" s="1146" t="s">
        <v>61</v>
      </c>
      <c r="S21" s="1147">
        <f>F21</f>
        <v>100</v>
      </c>
      <c r="T21" s="1146" t="s">
        <v>61</v>
      </c>
      <c r="U21" s="1147">
        <f>H21</f>
        <v>100</v>
      </c>
      <c r="V21" s="1146" t="s">
        <v>61</v>
      </c>
      <c r="W21" s="1147">
        <f>J21</f>
        <v>100</v>
      </c>
      <c r="X21" s="2546"/>
      <c r="Y21" s="3485"/>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85"/>
      <c r="Q22" s="2548"/>
      <c r="R22" s="1146"/>
      <c r="S22" s="1147"/>
      <c r="T22" s="1146"/>
      <c r="U22" s="1147"/>
      <c r="V22" s="1146"/>
      <c r="W22" s="1147"/>
      <c r="X22" s="2546"/>
      <c r="Y22" s="3485"/>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85"/>
      <c r="Q23" s="1145" t="str">
        <f>B23</f>
        <v>环境质量</v>
      </c>
      <c r="R23" s="1146" t="s">
        <v>61</v>
      </c>
      <c r="S23" s="1147">
        <f>F23</f>
        <v>100</v>
      </c>
      <c r="T23" s="1146" t="s">
        <v>61</v>
      </c>
      <c r="U23" s="1147">
        <f>H23</f>
        <v>100</v>
      </c>
      <c r="V23" s="1146" t="s">
        <v>61</v>
      </c>
      <c r="W23" s="1147">
        <f>J23</f>
        <v>100</v>
      </c>
      <c r="X23" s="1133"/>
      <c r="Y23" s="3485"/>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85"/>
      <c r="Q24" s="1145"/>
      <c r="R24" s="1146"/>
      <c r="S24" s="1147"/>
      <c r="T24" s="1146"/>
      <c r="U24" s="1147"/>
      <c r="V24" s="1146"/>
      <c r="W24" s="1147"/>
      <c r="X24" s="1133"/>
      <c r="Y24" s="3485"/>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85"/>
      <c r="Q25" s="1145">
        <f>B25</f>
        <v>111</v>
      </c>
      <c r="R25" s="1146" t="s">
        <v>61</v>
      </c>
      <c r="S25" s="1147">
        <f>F25</f>
        <v>100</v>
      </c>
      <c r="T25" s="1146" t="s">
        <v>61</v>
      </c>
      <c r="U25" s="1147">
        <f>H25</f>
        <v>100</v>
      </c>
      <c r="V25" s="1146" t="s">
        <v>61</v>
      </c>
      <c r="W25" s="1147">
        <f>J25</f>
        <v>100</v>
      </c>
      <c r="X25" s="1133"/>
      <c r="Y25" s="3485"/>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85"/>
      <c r="Q26" s="1145">
        <f t="shared" ref="Q26:Q40" si="11">B26</f>
        <v>111</v>
      </c>
      <c r="R26" s="1146" t="s">
        <v>61</v>
      </c>
      <c r="S26" s="1147">
        <f>F26</f>
        <v>100</v>
      </c>
      <c r="T26" s="1146" t="s">
        <v>61</v>
      </c>
      <c r="U26" s="1147">
        <f>H26</f>
        <v>100</v>
      </c>
      <c r="V26" s="1146" t="s">
        <v>61</v>
      </c>
      <c r="W26" s="1147">
        <f>J26</f>
        <v>100</v>
      </c>
      <c r="X26" s="1133"/>
      <c r="Y26" s="3485"/>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85"/>
      <c r="Q27" s="2">
        <f t="shared" si="11"/>
        <v>111</v>
      </c>
      <c r="R27" s="1135" t="s">
        <v>61</v>
      </c>
      <c r="S27" s="1136">
        <f>F27</f>
        <v>100</v>
      </c>
      <c r="T27" s="1135" t="s">
        <v>61</v>
      </c>
      <c r="U27" s="1136">
        <f>H27</f>
        <v>100</v>
      </c>
      <c r="V27" s="1135" t="s">
        <v>61</v>
      </c>
      <c r="W27" s="1136">
        <f>J27</f>
        <v>100</v>
      </c>
      <c r="X27" s="184"/>
      <c r="Y27" s="3485"/>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85"/>
      <c r="Q28" s="1145">
        <f t="shared" si="11"/>
        <v>111</v>
      </c>
      <c r="R28" s="1146" t="s">
        <v>61</v>
      </c>
      <c r="S28" s="1147">
        <f t="shared" ref="S28:S40" si="12">F28</f>
        <v>100</v>
      </c>
      <c r="T28" s="1146" t="s">
        <v>61</v>
      </c>
      <c r="U28" s="1147">
        <f t="shared" ref="U28:U40" si="13">H28</f>
        <v>100</v>
      </c>
      <c r="V28" s="1146" t="s">
        <v>61</v>
      </c>
      <c r="W28" s="1147">
        <f t="shared" ref="W28:W40" si="14">J28</f>
        <v>100</v>
      </c>
      <c r="X28" s="1133"/>
      <c r="Y28" s="3485"/>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545" t="s">
        <v>1034</v>
      </c>
      <c r="Q29" s="1145" t="str">
        <f t="shared" si="11"/>
        <v>建筑类型</v>
      </c>
      <c r="R29" s="1146" t="s">
        <v>61</v>
      </c>
      <c r="S29" s="1147">
        <f t="shared" si="12"/>
        <v>100</v>
      </c>
      <c r="T29" s="1146" t="s">
        <v>61</v>
      </c>
      <c r="U29" s="1147">
        <f t="shared" si="13"/>
        <v>100</v>
      </c>
      <c r="V29" s="1146" t="s">
        <v>61</v>
      </c>
      <c r="W29" s="1147">
        <f t="shared" si="14"/>
        <v>100</v>
      </c>
      <c r="X29" s="1133"/>
      <c r="Y29" s="3489"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89"/>
      <c r="Q30" s="1153" t="str">
        <f t="shared" si="11"/>
        <v>项目建筑规模</v>
      </c>
      <c r="R30" s="1154" t="s">
        <v>61</v>
      </c>
      <c r="S30" s="1155" t="e">
        <f t="shared" si="12"/>
        <v>#N/A</v>
      </c>
      <c r="T30" s="1154" t="s">
        <v>61</v>
      </c>
      <c r="U30" s="1155" t="e">
        <f t="shared" si="13"/>
        <v>#N/A</v>
      </c>
      <c r="V30" s="1154" t="s">
        <v>61</v>
      </c>
      <c r="W30" s="1155" t="e">
        <f t="shared" si="14"/>
        <v>#N/A</v>
      </c>
      <c r="X30" s="1156"/>
      <c r="Y30" s="3489"/>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89"/>
      <c r="Q31" s="1145" t="str">
        <f t="shared" si="11"/>
        <v>建筑结构</v>
      </c>
      <c r="R31" s="1146" t="s">
        <v>61</v>
      </c>
      <c r="S31" s="1147">
        <f t="shared" si="12"/>
        <v>100</v>
      </c>
      <c r="T31" s="1146" t="s">
        <v>61</v>
      </c>
      <c r="U31" s="1147">
        <f t="shared" si="13"/>
        <v>100</v>
      </c>
      <c r="V31" s="1146" t="s">
        <v>61</v>
      </c>
      <c r="W31" s="1147">
        <f t="shared" si="14"/>
        <v>100</v>
      </c>
      <c r="X31" s="1133"/>
      <c r="Y31" s="3489"/>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89"/>
      <c r="Q32" s="1145" t="str">
        <f t="shared" si="11"/>
        <v>公共部分装修</v>
      </c>
      <c r="R32" s="1146" t="s">
        <v>61</v>
      </c>
      <c r="S32" s="1147">
        <f t="shared" si="12"/>
        <v>100</v>
      </c>
      <c r="T32" s="1146" t="s">
        <v>61</v>
      </c>
      <c r="U32" s="1147">
        <f t="shared" si="13"/>
        <v>100</v>
      </c>
      <c r="V32" s="1146" t="s">
        <v>61</v>
      </c>
      <c r="W32" s="1147">
        <f t="shared" si="14"/>
        <v>100</v>
      </c>
      <c r="X32" s="1133"/>
      <c r="Y32" s="3489"/>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89"/>
      <c r="Q33" s="1145" t="str">
        <f t="shared" si="11"/>
        <v>成新度</v>
      </c>
      <c r="R33" s="1146" t="s">
        <v>61</v>
      </c>
      <c r="S33" s="1147" t="e">
        <f t="shared" si="12"/>
        <v>#N/A</v>
      </c>
      <c r="T33" s="1146" t="s">
        <v>61</v>
      </c>
      <c r="U33" s="1147" t="e">
        <f t="shared" si="13"/>
        <v>#N/A</v>
      </c>
      <c r="V33" s="1146" t="s">
        <v>61</v>
      </c>
      <c r="W33" s="1147" t="e">
        <f t="shared" si="14"/>
        <v>#N/A</v>
      </c>
      <c r="X33" s="1133"/>
      <c r="Y33" s="3489"/>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89"/>
      <c r="Q34" s="2" t="str">
        <f t="shared" si="11"/>
        <v>物业管理</v>
      </c>
      <c r="R34" s="1135" t="s">
        <v>61</v>
      </c>
      <c r="S34" s="1136">
        <f t="shared" si="12"/>
        <v>100</v>
      </c>
      <c r="T34" s="1135" t="s">
        <v>61</v>
      </c>
      <c r="U34" s="1136">
        <f t="shared" si="13"/>
        <v>100</v>
      </c>
      <c r="V34" s="1135" t="s">
        <v>61</v>
      </c>
      <c r="W34" s="1136">
        <f t="shared" si="14"/>
        <v>100</v>
      </c>
      <c r="X34" s="184"/>
      <c r="Y34" s="3489"/>
      <c r="Z34" s="185" t="str">
        <f t="shared" si="15"/>
        <v>物业管理</v>
      </c>
      <c r="AA34" s="1137">
        <f t="shared" si="3"/>
        <v>1</v>
      </c>
      <c r="AB34" s="1137">
        <f t="shared" si="4"/>
        <v>1</v>
      </c>
      <c r="AC34" s="1137">
        <f t="shared" si="5"/>
        <v>1</v>
      </c>
    </row>
    <row r="35" spans="1:29" ht="15">
      <c r="A35" s="111"/>
      <c r="B35" s="4" t="s">
        <v>2545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89" t="s">
        <v>66</v>
      </c>
      <c r="Q35" s="1145" t="str">
        <f t="shared" si="11"/>
        <v>市政基础设施</v>
      </c>
      <c r="R35" s="1146" t="s">
        <v>61</v>
      </c>
      <c r="S35" s="1147">
        <f t="shared" si="12"/>
        <v>100</v>
      </c>
      <c r="T35" s="1146" t="s">
        <v>61</v>
      </c>
      <c r="U35" s="1147">
        <f t="shared" si="13"/>
        <v>100</v>
      </c>
      <c r="V35" s="1146" t="s">
        <v>61</v>
      </c>
      <c r="W35" s="1147">
        <f t="shared" si="14"/>
        <v>100</v>
      </c>
      <c r="X35" s="1133"/>
      <c r="Y35" s="3489"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89"/>
      <c r="Q36" s="1145" t="str">
        <f t="shared" si="11"/>
        <v>内部装修</v>
      </c>
      <c r="R36" s="1146" t="s">
        <v>61</v>
      </c>
      <c r="S36" s="1147">
        <f t="shared" si="12"/>
        <v>100</v>
      </c>
      <c r="T36" s="1146" t="s">
        <v>61</v>
      </c>
      <c r="U36" s="1147">
        <f t="shared" si="13"/>
        <v>100</v>
      </c>
      <c r="V36" s="1146" t="s">
        <v>61</v>
      </c>
      <c r="W36" s="1147">
        <f t="shared" si="14"/>
        <v>100</v>
      </c>
      <c r="X36" s="1133"/>
      <c r="Y36" s="3489"/>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89"/>
      <c r="Q37" s="1145" t="str">
        <f t="shared" si="11"/>
        <v>内部装修状况</v>
      </c>
      <c r="R37" s="1146" t="s">
        <v>61</v>
      </c>
      <c r="S37" s="1147">
        <f t="shared" si="12"/>
        <v>0</v>
      </c>
      <c r="T37" s="1146" t="s">
        <v>61</v>
      </c>
      <c r="U37" s="1147">
        <f t="shared" si="13"/>
        <v>0</v>
      </c>
      <c r="V37" s="1146" t="s">
        <v>61</v>
      </c>
      <c r="W37" s="1147">
        <f t="shared" si="14"/>
        <v>0</v>
      </c>
      <c r="X37" s="1133"/>
      <c r="Y37" s="3489"/>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89"/>
      <c r="Q38" s="1153">
        <f t="shared" si="11"/>
        <v>111</v>
      </c>
      <c r="R38" s="1154" t="s">
        <v>61</v>
      </c>
      <c r="S38" s="1155">
        <f t="shared" si="12"/>
        <v>100</v>
      </c>
      <c r="T38" s="1154" t="s">
        <v>61</v>
      </c>
      <c r="U38" s="1155">
        <f t="shared" si="13"/>
        <v>100</v>
      </c>
      <c r="V38" s="1154" t="s">
        <v>61</v>
      </c>
      <c r="W38" s="1155">
        <f t="shared" si="14"/>
        <v>100</v>
      </c>
      <c r="X38" s="1156"/>
      <c r="Y38" s="3489"/>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89"/>
      <c r="Q39" s="1145">
        <f t="shared" si="11"/>
        <v>111</v>
      </c>
      <c r="R39" s="1146" t="s">
        <v>61</v>
      </c>
      <c r="S39" s="1147">
        <f t="shared" si="12"/>
        <v>100</v>
      </c>
      <c r="T39" s="1146" t="s">
        <v>61</v>
      </c>
      <c r="U39" s="1147">
        <f t="shared" si="13"/>
        <v>100</v>
      </c>
      <c r="V39" s="1146" t="s">
        <v>61</v>
      </c>
      <c r="W39" s="1147">
        <f t="shared" si="14"/>
        <v>100</v>
      </c>
      <c r="X39" s="1133"/>
      <c r="Y39" s="3489"/>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90"/>
      <c r="Q40" s="1145">
        <f t="shared" si="11"/>
        <v>111</v>
      </c>
      <c r="R40" s="1146" t="s">
        <v>61</v>
      </c>
      <c r="S40" s="1147">
        <f t="shared" si="12"/>
        <v>100</v>
      </c>
      <c r="T40" s="1146" t="s">
        <v>61</v>
      </c>
      <c r="U40" s="1147">
        <f t="shared" si="13"/>
        <v>100</v>
      </c>
      <c r="V40" s="1146" t="s">
        <v>61</v>
      </c>
      <c r="W40" s="1147">
        <f t="shared" si="14"/>
        <v>100</v>
      </c>
      <c r="X40" s="1133"/>
      <c r="Y40" s="3490"/>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95" t="str">
        <f>A41</f>
        <v>成交单价（元/平方米）</v>
      </c>
      <c r="Q41" s="3495"/>
      <c r="R41" s="3496">
        <f>E41</f>
        <v>0</v>
      </c>
      <c r="S41" s="3496"/>
      <c r="T41" s="3496">
        <f>G41</f>
        <v>0</v>
      </c>
      <c r="U41" s="3496"/>
      <c r="V41" s="3496">
        <f>I41</f>
        <v>0</v>
      </c>
      <c r="W41" s="3496"/>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95" t="str">
        <f>A42</f>
        <v>比较价值（元/平方米）</v>
      </c>
      <c r="Q42" s="3495"/>
      <c r="R42" s="3496" t="e">
        <f>IF(E1="售价",ROUND(PRODUCT(R41,AA7:AA40),0),ROUND(PRODUCT(R41,AA7:AA40),1))</f>
        <v>#DIV/0!</v>
      </c>
      <c r="S42" s="3496"/>
      <c r="T42" s="3496" t="e">
        <f>IF(E1="售价",ROUND(PRODUCT(T41,AB7:AB40),0),ROUND(PRODUCT(T41,AB7:AB40),1))</f>
        <v>#DIV/0!</v>
      </c>
      <c r="U42" s="3496"/>
      <c r="V42" s="3496" t="e">
        <f>IF(E1="售价",ROUND(PRODUCT(V41,AC7:AC40),0),ROUND(PRODUCT(V41,AC7:AC40),1))</f>
        <v>#DIV/0!</v>
      </c>
      <c r="W42" s="3496"/>
      <c r="X42" s="1159"/>
      <c r="Y42" s="1159"/>
      <c r="Z42" s="1159"/>
      <c r="AA42" s="1159"/>
      <c r="AB42" s="1159"/>
      <c r="AC42" s="1159"/>
    </row>
    <row r="43" spans="1:29" ht="15.75" thickBot="1">
      <c r="A43" s="62" t="s">
        <v>2882</v>
      </c>
      <c r="B43" s="63"/>
      <c r="C43" s="2618" t="e">
        <f>R43</f>
        <v>#DIV/0!</v>
      </c>
      <c r="D43" s="2618"/>
      <c r="E43" s="2618"/>
      <c r="F43" s="2618"/>
      <c r="G43" s="2618"/>
      <c r="H43" s="2618"/>
      <c r="I43" s="2618"/>
      <c r="J43" s="2618"/>
      <c r="K43" s="1190"/>
      <c r="L43" s="2170"/>
      <c r="M43" s="2171"/>
      <c r="N43" s="2171"/>
      <c r="O43" s="2171"/>
      <c r="P43" s="3501" t="str">
        <f>A43</f>
        <v>估价对象XX用房的比较价值（楼面单价，元/平方米）</v>
      </c>
      <c r="Q43" s="3502"/>
      <c r="R43" s="3503" t="e">
        <f>IF(E1="售价",ROUND(AVERAGE(R42:V42),0),ROUND(AVERAGE(R42:V42),1))</f>
        <v>#DIV/0!</v>
      </c>
      <c r="S43" s="3503"/>
      <c r="T43" s="3503"/>
      <c r="U43" s="3503"/>
      <c r="V43" s="3503"/>
      <c r="W43" s="3503"/>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2657</v>
      </c>
      <c r="B52" s="705"/>
      <c r="C52" s="2803" t="str">
        <f>YEAR(C7)&amp;"-"&amp;MONTH(C7)</f>
        <v>2009-7</v>
      </c>
      <c r="D52" s="2804">
        <f>EDATE(C52,-1)</f>
        <v>39965</v>
      </c>
      <c r="E52" s="2805">
        <f t="shared" ref="E52:O52" si="16">EDATE(D52,-1)</f>
        <v>39934</v>
      </c>
      <c r="F52" s="2805">
        <f t="shared" si="16"/>
        <v>39904</v>
      </c>
      <c r="G52" s="2805">
        <f t="shared" si="16"/>
        <v>39873</v>
      </c>
      <c r="H52" s="2805">
        <f t="shared" si="16"/>
        <v>39845</v>
      </c>
      <c r="I52" s="2805">
        <f t="shared" si="16"/>
        <v>39814</v>
      </c>
      <c r="J52" s="2805">
        <f t="shared" si="16"/>
        <v>39783</v>
      </c>
      <c r="K52" s="2805">
        <f t="shared" si="16"/>
        <v>39753</v>
      </c>
      <c r="L52" s="2805">
        <f t="shared" si="16"/>
        <v>39722</v>
      </c>
      <c r="M52" s="2805">
        <f t="shared" si="16"/>
        <v>39692</v>
      </c>
      <c r="N52" s="2805">
        <f t="shared" si="16"/>
        <v>39661</v>
      </c>
      <c r="O52" s="2805">
        <f t="shared" si="16"/>
        <v>39630</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2534</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2549</v>
      </c>
      <c r="C76" s="129" t="s">
        <v>2538</v>
      </c>
      <c r="D76" s="129" t="s">
        <v>2539</v>
      </c>
      <c r="E76" s="129" t="s">
        <v>2540</v>
      </c>
      <c r="F76" s="129" t="s">
        <v>2541</v>
      </c>
      <c r="G76" s="129" t="s">
        <v>2542</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2537</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349.11</v>
      </c>
      <c r="E3" s="1899" t="s">
        <v>2008</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58" t="s">
        <v>462</v>
      </c>
      <c r="D4" s="3559"/>
      <c r="E4" s="3560" t="s">
        <v>463</v>
      </c>
      <c r="F4" s="3561"/>
      <c r="G4" s="3558" t="s">
        <v>464</v>
      </c>
      <c r="H4" s="3559"/>
      <c r="I4" s="3558" t="s">
        <v>465</v>
      </c>
      <c r="J4" s="3559"/>
      <c r="K4" s="812" t="s">
        <v>466</v>
      </c>
      <c r="L4" s="2620"/>
      <c r="M4" s="643"/>
      <c r="N4" s="643"/>
      <c r="O4" s="643"/>
      <c r="P4" s="3562" t="s">
        <v>467</v>
      </c>
      <c r="Q4" s="3563"/>
      <c r="R4" s="3568" t="s">
        <v>463</v>
      </c>
      <c r="S4" s="3569"/>
      <c r="T4" s="3568" t="s">
        <v>464</v>
      </c>
      <c r="U4" s="3569"/>
      <c r="V4" s="3574" t="s">
        <v>465</v>
      </c>
      <c r="W4" s="3574"/>
      <c r="X4" s="2599"/>
      <c r="Y4" s="3568" t="s">
        <v>467</v>
      </c>
      <c r="Z4" s="3569"/>
      <c r="AA4" s="3555" t="s">
        <v>463</v>
      </c>
      <c r="AB4" s="3556" t="s">
        <v>464</v>
      </c>
      <c r="AC4" s="3555" t="s">
        <v>465</v>
      </c>
    </row>
    <row r="5" spans="1:29" ht="15">
      <c r="A5" s="601"/>
      <c r="B5" s="602"/>
      <c r="C5" s="3551" t="s">
        <v>2883</v>
      </c>
      <c r="D5" s="3552"/>
      <c r="E5" s="3575" t="s">
        <v>2884</v>
      </c>
      <c r="F5" s="3576"/>
      <c r="G5" s="3551" t="s">
        <v>2885</v>
      </c>
      <c r="H5" s="3552"/>
      <c r="I5" s="3551" t="s">
        <v>2886</v>
      </c>
      <c r="J5" s="3552"/>
      <c r="K5" s="812"/>
      <c r="L5" s="2620"/>
      <c r="M5" s="643"/>
      <c r="N5" s="643"/>
      <c r="O5" s="643"/>
      <c r="P5" s="3564"/>
      <c r="Q5" s="3565"/>
      <c r="R5" s="3570"/>
      <c r="S5" s="3571"/>
      <c r="T5" s="3570"/>
      <c r="U5" s="3571"/>
      <c r="V5" s="3574"/>
      <c r="W5" s="3574"/>
      <c r="X5" s="2599"/>
      <c r="Y5" s="3570"/>
      <c r="Z5" s="3571"/>
      <c r="AA5" s="3556"/>
      <c r="AB5" s="3556"/>
      <c r="AC5" s="3556"/>
    </row>
    <row r="6" spans="1:29" ht="15.75" thickBot="1">
      <c r="A6" s="603"/>
      <c r="B6" s="604"/>
      <c r="C6" s="3548" t="s">
        <v>2887</v>
      </c>
      <c r="D6" s="3549"/>
      <c r="E6" s="3546" t="s">
        <v>2887</v>
      </c>
      <c r="F6" s="3547"/>
      <c r="G6" s="3548" t="s">
        <v>2887</v>
      </c>
      <c r="H6" s="3549"/>
      <c r="I6" s="3548" t="s">
        <v>2887</v>
      </c>
      <c r="J6" s="3549"/>
      <c r="K6" s="812" t="s">
        <v>411</v>
      </c>
      <c r="L6" s="2620"/>
      <c r="M6" s="643"/>
      <c r="N6" s="643"/>
      <c r="O6" s="643"/>
      <c r="P6" s="3566"/>
      <c r="Q6" s="3567"/>
      <c r="R6" s="3570"/>
      <c r="S6" s="3571"/>
      <c r="T6" s="3572"/>
      <c r="U6" s="3573"/>
      <c r="V6" s="3574"/>
      <c r="W6" s="3574"/>
      <c r="X6" s="2599"/>
      <c r="Y6" s="3572"/>
      <c r="Z6" s="3573"/>
      <c r="AA6" s="3557"/>
      <c r="AB6" s="3557"/>
      <c r="AC6" s="3557"/>
    </row>
    <row r="7" spans="1:29" s="218" customFormat="1" ht="15.75" thickBot="1">
      <c r="A7" s="605" t="s">
        <v>412</v>
      </c>
      <c r="B7" s="606"/>
      <c r="C7" s="607">
        <f>'数据-取费表'!B2</f>
        <v>39996</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53" t="s">
        <v>413</v>
      </c>
      <c r="Q7" s="3577"/>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550" t="s">
        <v>416</v>
      </c>
      <c r="Q9" s="2597" t="str">
        <f t="shared" ref="Q9:Q14" si="6">B9</f>
        <v>用途</v>
      </c>
      <c r="R9" s="1110" t="s">
        <v>61</v>
      </c>
      <c r="S9" s="1111">
        <f t="shared" si="0"/>
        <v>100</v>
      </c>
      <c r="T9" s="1110" t="s">
        <v>61</v>
      </c>
      <c r="U9" s="1111">
        <f t="shared" si="1"/>
        <v>100</v>
      </c>
      <c r="V9" s="1110" t="s">
        <v>61</v>
      </c>
      <c r="W9" s="1111">
        <f t="shared" si="2"/>
        <v>100</v>
      </c>
      <c r="X9" s="1112"/>
      <c r="Y9" s="3386"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550"/>
      <c r="Q10" s="2597" t="str">
        <f t="shared" si="6"/>
        <v>土地使用年限（年）</v>
      </c>
      <c r="R10" s="1110" t="s">
        <v>61</v>
      </c>
      <c r="S10" s="1111">
        <f t="shared" si="0"/>
        <v>100</v>
      </c>
      <c r="T10" s="1110" t="s">
        <v>61</v>
      </c>
      <c r="U10" s="1111">
        <f t="shared" si="1"/>
        <v>100</v>
      </c>
      <c r="V10" s="1110" t="s">
        <v>61</v>
      </c>
      <c r="W10" s="1111">
        <f t="shared" si="2"/>
        <v>100</v>
      </c>
      <c r="X10" s="1112"/>
      <c r="Y10" s="3386"/>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550"/>
      <c r="Q11" s="2597">
        <f t="shared" si="6"/>
        <v>111</v>
      </c>
      <c r="R11" s="1110" t="s">
        <v>61</v>
      </c>
      <c r="S11" s="1111">
        <f t="shared" si="0"/>
        <v>100</v>
      </c>
      <c r="T11" s="1110" t="s">
        <v>61</v>
      </c>
      <c r="U11" s="1111">
        <f t="shared" si="1"/>
        <v>100</v>
      </c>
      <c r="V11" s="1110" t="s">
        <v>61</v>
      </c>
      <c r="W11" s="1111">
        <f t="shared" si="2"/>
        <v>100</v>
      </c>
      <c r="X11" s="1112"/>
      <c r="Y11" s="3386"/>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550"/>
      <c r="Q12" s="2597">
        <f t="shared" si="6"/>
        <v>111</v>
      </c>
      <c r="R12" s="1110" t="s">
        <v>61</v>
      </c>
      <c r="S12" s="1111">
        <f t="shared" si="0"/>
        <v>100</v>
      </c>
      <c r="T12" s="1110" t="s">
        <v>61</v>
      </c>
      <c r="U12" s="1111">
        <f t="shared" si="1"/>
        <v>100</v>
      </c>
      <c r="V12" s="1110" t="s">
        <v>61</v>
      </c>
      <c r="W12" s="1111">
        <f t="shared" si="2"/>
        <v>100</v>
      </c>
      <c r="X12" s="1112"/>
      <c r="Y12" s="3386"/>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550"/>
      <c r="Q13" s="2597">
        <f t="shared" si="6"/>
        <v>111</v>
      </c>
      <c r="R13" s="1110" t="s">
        <v>61</v>
      </c>
      <c r="S13" s="1111">
        <f t="shared" si="0"/>
        <v>100</v>
      </c>
      <c r="T13" s="1110" t="s">
        <v>61</v>
      </c>
      <c r="U13" s="1111">
        <f t="shared" si="1"/>
        <v>100</v>
      </c>
      <c r="V13" s="1110" t="s">
        <v>61</v>
      </c>
      <c r="W13" s="1111">
        <f t="shared" si="2"/>
        <v>100</v>
      </c>
      <c r="X13" s="1112"/>
      <c r="Y13" s="3386"/>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估价对象周边道路密集、公共交通通达情况好、停车便捷程度好，综合评价交通便捷度好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78" t="s">
        <v>421</v>
      </c>
      <c r="Q14" s="2598" t="str">
        <f t="shared" si="6"/>
        <v>交通便捷度</v>
      </c>
      <c r="R14" s="1115" t="s">
        <v>61</v>
      </c>
      <c r="S14" s="1116">
        <f t="shared" si="0"/>
        <v>100</v>
      </c>
      <c r="T14" s="1115" t="s">
        <v>61</v>
      </c>
      <c r="U14" s="1116">
        <f t="shared" si="1"/>
        <v>100</v>
      </c>
      <c r="V14" s="1115" t="s">
        <v>61</v>
      </c>
      <c r="W14" s="1116">
        <f t="shared" si="2"/>
        <v>100</v>
      </c>
      <c r="X14" s="2599"/>
      <c r="Y14" s="3578"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79"/>
      <c r="Q15" s="2598"/>
      <c r="R15" s="1115"/>
      <c r="S15" s="1116"/>
      <c r="T15" s="1115"/>
      <c r="U15" s="1116"/>
      <c r="V15" s="1115"/>
      <c r="W15" s="1116"/>
      <c r="X15" s="2599"/>
      <c r="Y15" s="3579"/>
      <c r="Z15" s="2601"/>
      <c r="AA15" s="1118">
        <v>1</v>
      </c>
      <c r="AB15" s="1118">
        <v>1</v>
      </c>
      <c r="AC15" s="1118">
        <v>1</v>
      </c>
    </row>
    <row r="16" spans="1:29" ht="42.75">
      <c r="A16" s="601"/>
      <c r="B16" s="892" t="s">
        <v>2547</v>
      </c>
      <c r="C16" s="2574" t="str">
        <f>IF(B1="工业",估价对象房地状况!G5,估价对象房地状况!C7)</f>
        <v>估价对象所在区域公共配套设施齐备</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79"/>
      <c r="Q16" s="2598" t="str">
        <f>B16</f>
        <v>公共配套设施</v>
      </c>
      <c r="R16" s="1115" t="s">
        <v>61</v>
      </c>
      <c r="S16" s="1116">
        <f>F16</f>
        <v>100</v>
      </c>
      <c r="T16" s="1115" t="s">
        <v>61</v>
      </c>
      <c r="U16" s="1116">
        <f>H16</f>
        <v>100</v>
      </c>
      <c r="V16" s="1115" t="s">
        <v>61</v>
      </c>
      <c r="W16" s="1116">
        <f>J16</f>
        <v>100</v>
      </c>
      <c r="X16" s="2599"/>
      <c r="Y16" s="3579"/>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79"/>
      <c r="Q17" s="2598"/>
      <c r="R17" s="1115"/>
      <c r="S17" s="1116"/>
      <c r="T17" s="1115"/>
      <c r="U17" s="1116"/>
      <c r="V17" s="1115"/>
      <c r="W17" s="1116"/>
      <c r="X17" s="2599"/>
      <c r="Y17" s="3579"/>
      <c r="Z17" s="2601"/>
      <c r="AA17" s="1118">
        <v>1</v>
      </c>
      <c r="AB17" s="1118">
        <v>1</v>
      </c>
      <c r="AC17" s="1118">
        <v>1</v>
      </c>
    </row>
    <row r="18" spans="1:29" ht="42.75">
      <c r="A18" s="601"/>
      <c r="B18" s="894" t="s">
        <v>2548</v>
      </c>
      <c r="C18" s="2574" t="str">
        <f>IF(B1="工业",估价对象房地状况!G6,估价对象房地状况!C8)</f>
        <v>估价对象所在区域基础设施水平达到七通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79"/>
      <c r="Q18" s="2598" t="str">
        <f>B18</f>
        <v>基础设施水平</v>
      </c>
      <c r="R18" s="1115" t="s">
        <v>61</v>
      </c>
      <c r="S18" s="1116">
        <f>F18</f>
        <v>100</v>
      </c>
      <c r="T18" s="1115" t="s">
        <v>61</v>
      </c>
      <c r="U18" s="1116">
        <f>H18</f>
        <v>100</v>
      </c>
      <c r="V18" s="1115" t="s">
        <v>61</v>
      </c>
      <c r="W18" s="1116">
        <f>J18</f>
        <v>100</v>
      </c>
      <c r="X18" s="2599"/>
      <c r="Y18" s="3579"/>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79"/>
      <c r="Q19" s="2598"/>
      <c r="R19" s="1115"/>
      <c r="S19" s="1116"/>
      <c r="T19" s="1115"/>
      <c r="U19" s="1116"/>
      <c r="V19" s="1115"/>
      <c r="W19" s="1116"/>
      <c r="X19" s="2599"/>
      <c r="Y19" s="3579"/>
      <c r="Z19" s="2601"/>
      <c r="AA19" s="1118">
        <v>1</v>
      </c>
      <c r="AB19" s="1118">
        <v>1</v>
      </c>
      <c r="AC19" s="1118">
        <v>1</v>
      </c>
    </row>
    <row r="20" spans="1:29" ht="99.75">
      <c r="A20" s="601"/>
      <c r="B20" s="833" t="s">
        <v>469</v>
      </c>
      <c r="C20" s="2574" t="str">
        <f>IF(B1="工业",估价对象房地状况!G7,估价对象房地状况!C9)</f>
        <v>区域自然环境：玉渊潭公园、中塔公园；人文环境：北京工商大学、首都师范大学；综合评价环境状况好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79"/>
      <c r="Q20" s="2598" t="str">
        <f>B20</f>
        <v>自然及人文环境</v>
      </c>
      <c r="R20" s="1115" t="s">
        <v>61</v>
      </c>
      <c r="S20" s="1116">
        <f>F20</f>
        <v>100</v>
      </c>
      <c r="T20" s="1115" t="s">
        <v>61</v>
      </c>
      <c r="U20" s="1116">
        <f>H20</f>
        <v>100</v>
      </c>
      <c r="V20" s="1115" t="s">
        <v>61</v>
      </c>
      <c r="W20" s="1116">
        <f>J20</f>
        <v>100</v>
      </c>
      <c r="X20" s="2599"/>
      <c r="Y20" s="3579"/>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79"/>
      <c r="Q21" s="2598"/>
      <c r="R21" s="1115"/>
      <c r="S21" s="1116"/>
      <c r="T21" s="1115"/>
      <c r="U21" s="1116"/>
      <c r="V21" s="1115"/>
      <c r="W21" s="1116"/>
      <c r="X21" s="2599"/>
      <c r="Y21" s="3579"/>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79"/>
      <c r="Q22" s="2598" t="str">
        <f>B22</f>
        <v>楼层</v>
      </c>
      <c r="R22" s="1115" t="s">
        <v>61</v>
      </c>
      <c r="S22" s="1116">
        <f>F22</f>
        <v>100</v>
      </c>
      <c r="T22" s="1115" t="s">
        <v>61</v>
      </c>
      <c r="U22" s="1116">
        <f>H22</f>
        <v>100</v>
      </c>
      <c r="V22" s="1115" t="s">
        <v>61</v>
      </c>
      <c r="W22" s="1116">
        <f>J22</f>
        <v>100</v>
      </c>
      <c r="X22" s="2599"/>
      <c r="Y22" s="3579"/>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79"/>
      <c r="Q23" s="2598">
        <f>B23</f>
        <v>111</v>
      </c>
      <c r="R23" s="1115" t="s">
        <v>61</v>
      </c>
      <c r="S23" s="1116">
        <f>F23</f>
        <v>100</v>
      </c>
      <c r="T23" s="1115" t="s">
        <v>61</v>
      </c>
      <c r="U23" s="1116">
        <f>H23</f>
        <v>100</v>
      </c>
      <c r="V23" s="1115" t="s">
        <v>61</v>
      </c>
      <c r="W23" s="1116">
        <f>J23</f>
        <v>100</v>
      </c>
      <c r="X23" s="2599"/>
      <c r="Y23" s="3579"/>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79"/>
      <c r="Q24" s="2598">
        <f t="shared" ref="Q24:Q36" si="11">B24</f>
        <v>111</v>
      </c>
      <c r="R24" s="1115" t="s">
        <v>61</v>
      </c>
      <c r="S24" s="1116">
        <f>F24</f>
        <v>100</v>
      </c>
      <c r="T24" s="1115" t="s">
        <v>61</v>
      </c>
      <c r="U24" s="1116">
        <f>H24</f>
        <v>100</v>
      </c>
      <c r="V24" s="1115" t="s">
        <v>61</v>
      </c>
      <c r="W24" s="1116">
        <f>J24</f>
        <v>100</v>
      </c>
      <c r="X24" s="2599"/>
      <c r="Y24" s="3579"/>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79"/>
      <c r="Q25" s="2597">
        <f t="shared" si="11"/>
        <v>111</v>
      </c>
      <c r="R25" s="1110" t="s">
        <v>61</v>
      </c>
      <c r="S25" s="1111">
        <f>F25</f>
        <v>100</v>
      </c>
      <c r="T25" s="1110" t="s">
        <v>61</v>
      </c>
      <c r="U25" s="1111">
        <f>H25</f>
        <v>100</v>
      </c>
      <c r="V25" s="1110" t="s">
        <v>61</v>
      </c>
      <c r="W25" s="1111">
        <f>J25</f>
        <v>100</v>
      </c>
      <c r="X25" s="1112"/>
      <c r="Y25" s="3579"/>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80"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81"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81"/>
      <c r="Q27" s="1119" t="str">
        <f t="shared" si="11"/>
        <v>项目停车位配比</v>
      </c>
      <c r="R27" s="1120" t="s">
        <v>61</v>
      </c>
      <c r="S27" s="1121">
        <f t="shared" si="12"/>
        <v>100</v>
      </c>
      <c r="T27" s="1120" t="s">
        <v>61</v>
      </c>
      <c r="U27" s="1121">
        <f t="shared" si="13"/>
        <v>100</v>
      </c>
      <c r="V27" s="1120" t="s">
        <v>61</v>
      </c>
      <c r="W27" s="1121">
        <f t="shared" si="14"/>
        <v>100</v>
      </c>
      <c r="X27" s="1122"/>
      <c r="Y27" s="3581"/>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81"/>
      <c r="Q28" s="2598" t="str">
        <f t="shared" si="11"/>
        <v>公共部分装修</v>
      </c>
      <c r="R28" s="1115" t="s">
        <v>61</v>
      </c>
      <c r="S28" s="1116">
        <f t="shared" si="12"/>
        <v>100</v>
      </c>
      <c r="T28" s="1115" t="s">
        <v>61</v>
      </c>
      <c r="U28" s="1116">
        <f t="shared" si="13"/>
        <v>100</v>
      </c>
      <c r="V28" s="1115" t="s">
        <v>61</v>
      </c>
      <c r="W28" s="1116">
        <f t="shared" si="14"/>
        <v>100</v>
      </c>
      <c r="X28" s="2599"/>
      <c r="Y28" s="3581"/>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81"/>
      <c r="Q29" s="2598" t="str">
        <f t="shared" si="11"/>
        <v>成新率</v>
      </c>
      <c r="R29" s="1115" t="s">
        <v>61</v>
      </c>
      <c r="S29" s="1116" t="e">
        <f t="shared" si="12"/>
        <v>#N/A</v>
      </c>
      <c r="T29" s="1115" t="s">
        <v>61</v>
      </c>
      <c r="U29" s="1116" t="e">
        <f t="shared" si="13"/>
        <v>#N/A</v>
      </c>
      <c r="V29" s="1115" t="s">
        <v>61</v>
      </c>
      <c r="W29" s="1116" t="e">
        <f t="shared" si="14"/>
        <v>#N/A</v>
      </c>
      <c r="X29" s="2599"/>
      <c r="Y29" s="3581"/>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81"/>
      <c r="Q30" s="2598" t="str">
        <f t="shared" si="11"/>
        <v>物业等级</v>
      </c>
      <c r="R30" s="1115" t="s">
        <v>61</v>
      </c>
      <c r="S30" s="1116">
        <f t="shared" si="12"/>
        <v>100</v>
      </c>
      <c r="T30" s="1115" t="s">
        <v>61</v>
      </c>
      <c r="U30" s="1116">
        <f t="shared" si="13"/>
        <v>100</v>
      </c>
      <c r="V30" s="1115" t="s">
        <v>61</v>
      </c>
      <c r="W30" s="1116">
        <f t="shared" si="14"/>
        <v>100</v>
      </c>
      <c r="X30" s="2599"/>
      <c r="Y30" s="3581"/>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81"/>
      <c r="Q31" s="2597" t="str">
        <f t="shared" si="11"/>
        <v>停车位面积</v>
      </c>
      <c r="R31" s="1110" t="s">
        <v>61</v>
      </c>
      <c r="S31" s="1111" t="e">
        <f t="shared" si="12"/>
        <v>#N/A</v>
      </c>
      <c r="T31" s="1110" t="s">
        <v>61</v>
      </c>
      <c r="U31" s="1111" t="e">
        <f t="shared" si="13"/>
        <v>#N/A</v>
      </c>
      <c r="V31" s="1110" t="s">
        <v>61</v>
      </c>
      <c r="W31" s="1111" t="e">
        <f t="shared" si="14"/>
        <v>#N/A</v>
      </c>
      <c r="X31" s="1112"/>
      <c r="Y31" s="3581"/>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81" t="s">
        <v>423</v>
      </c>
      <c r="Q32" s="2598" t="str">
        <f t="shared" si="11"/>
        <v>车位类型</v>
      </c>
      <c r="R32" s="1115" t="s">
        <v>61</v>
      </c>
      <c r="S32" s="1116">
        <f t="shared" si="12"/>
        <v>100</v>
      </c>
      <c r="T32" s="1115" t="s">
        <v>61</v>
      </c>
      <c r="U32" s="1116">
        <f t="shared" si="13"/>
        <v>100</v>
      </c>
      <c r="V32" s="1115" t="s">
        <v>61</v>
      </c>
      <c r="W32" s="1116">
        <f t="shared" si="14"/>
        <v>100</v>
      </c>
      <c r="X32" s="2599"/>
      <c r="Y32" s="3581"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81"/>
      <c r="Q33" s="2598" t="str">
        <f t="shared" si="11"/>
        <v>是否直接入户</v>
      </c>
      <c r="R33" s="1115" t="s">
        <v>61</v>
      </c>
      <c r="S33" s="1116">
        <f t="shared" si="12"/>
        <v>100</v>
      </c>
      <c r="T33" s="1115" t="s">
        <v>61</v>
      </c>
      <c r="U33" s="1116">
        <f t="shared" si="13"/>
        <v>100</v>
      </c>
      <c r="V33" s="1115" t="s">
        <v>61</v>
      </c>
      <c r="W33" s="1116">
        <f t="shared" si="14"/>
        <v>100</v>
      </c>
      <c r="X33" s="2599"/>
      <c r="Y33" s="3581"/>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81"/>
      <c r="Q34" s="2598">
        <f t="shared" si="11"/>
        <v>111</v>
      </c>
      <c r="R34" s="1115" t="s">
        <v>61</v>
      </c>
      <c r="S34" s="1116">
        <f t="shared" si="12"/>
        <v>100</v>
      </c>
      <c r="T34" s="1115" t="s">
        <v>61</v>
      </c>
      <c r="U34" s="1116">
        <f t="shared" si="13"/>
        <v>100</v>
      </c>
      <c r="V34" s="1115" t="s">
        <v>61</v>
      </c>
      <c r="W34" s="1116">
        <f t="shared" si="14"/>
        <v>100</v>
      </c>
      <c r="X34" s="2599"/>
      <c r="Y34" s="3581"/>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81"/>
      <c r="Q35" s="1119">
        <f t="shared" si="11"/>
        <v>111</v>
      </c>
      <c r="R35" s="1120" t="s">
        <v>61</v>
      </c>
      <c r="S35" s="1121">
        <f t="shared" si="12"/>
        <v>100</v>
      </c>
      <c r="T35" s="1120" t="s">
        <v>61</v>
      </c>
      <c r="U35" s="1121">
        <f t="shared" si="13"/>
        <v>100</v>
      </c>
      <c r="V35" s="1120" t="s">
        <v>61</v>
      </c>
      <c r="W35" s="1121">
        <f t="shared" si="14"/>
        <v>100</v>
      </c>
      <c r="X35" s="1122"/>
      <c r="Y35" s="3581"/>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81"/>
      <c r="Q36" s="2598">
        <f t="shared" si="11"/>
        <v>111</v>
      </c>
      <c r="R36" s="1115" t="s">
        <v>61</v>
      </c>
      <c r="S36" s="1116">
        <f t="shared" si="12"/>
        <v>100</v>
      </c>
      <c r="T36" s="1115" t="s">
        <v>61</v>
      </c>
      <c r="U36" s="1116">
        <f t="shared" si="13"/>
        <v>100</v>
      </c>
      <c r="V36" s="1115" t="s">
        <v>61</v>
      </c>
      <c r="W36" s="1116">
        <f t="shared" si="14"/>
        <v>100</v>
      </c>
      <c r="X36" s="2599"/>
      <c r="Y36" s="3581"/>
      <c r="Z36" s="2601">
        <f t="shared" si="15"/>
        <v>111</v>
      </c>
      <c r="AA36" s="1118">
        <f t="shared" si="3"/>
        <v>1</v>
      </c>
      <c r="AB36" s="1118">
        <f t="shared" si="4"/>
        <v>1</v>
      </c>
      <c r="AC36" s="1118">
        <f t="shared" si="5"/>
        <v>1</v>
      </c>
    </row>
    <row r="37" spans="1:29" ht="15">
      <c r="A37" s="113" t="s">
        <v>2009</v>
      </c>
      <c r="B37" s="1901" t="s">
        <v>2858</v>
      </c>
      <c r="C37" s="2608" t="s">
        <v>20</v>
      </c>
      <c r="D37" s="2609"/>
      <c r="E37" s="2610"/>
      <c r="F37" s="2611"/>
      <c r="G37" s="2612"/>
      <c r="H37" s="2613"/>
      <c r="I37" s="2610"/>
      <c r="J37" s="2613"/>
      <c r="K37" s="821"/>
      <c r="L37" s="2631"/>
      <c r="M37" s="1098"/>
      <c r="N37" s="643"/>
      <c r="O37" s="1098"/>
      <c r="P37" s="3550" t="str">
        <f>A37</f>
        <v>成交单价</v>
      </c>
      <c r="Q37" s="3550"/>
      <c r="R37" s="3582">
        <f>E37</f>
        <v>0</v>
      </c>
      <c r="S37" s="3582"/>
      <c r="T37" s="3582">
        <f>G37</f>
        <v>0</v>
      </c>
      <c r="U37" s="3582"/>
      <c r="V37" s="3582">
        <f>I37</f>
        <v>0</v>
      </c>
      <c r="W37" s="3582"/>
      <c r="X37" s="1098"/>
      <c r="Y37" s="1124"/>
      <c r="Z37" s="1098"/>
      <c r="AA37" s="1098"/>
      <c r="AB37" s="1098"/>
      <c r="AC37" s="1098"/>
    </row>
    <row r="38" spans="1:29" ht="15.75" thickBot="1">
      <c r="A38" s="115" t="s">
        <v>2010</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550" t="str">
        <f>A38</f>
        <v>比较价值</v>
      </c>
      <c r="Q38" s="3550"/>
      <c r="R38" s="3582" t="e">
        <f>IF(E1="售价",ROUND(PRODUCT(R37,AA7:AA36),0),ROUND(PRODUCT(R37,AA7:AA36),1))</f>
        <v>#DIV/0!</v>
      </c>
      <c r="S38" s="3582"/>
      <c r="T38" s="3582" t="e">
        <f>IF(E1="售价",ROUND(PRODUCT(T37,AB7:AB36),0),ROUND(PRODUCT(T37,AB7:AB36),1))</f>
        <v>#DIV/0!</v>
      </c>
      <c r="U38" s="3582"/>
      <c r="V38" s="3582" t="e">
        <f>IF(E1="售价",ROUND(PRODUCT(V37,AC7:AC36),0),ROUND(PRODUCT(V37,AC7:AC36),1))</f>
        <v>#DIV/0!</v>
      </c>
      <c r="W38" s="3582"/>
      <c r="X38" s="1098"/>
      <c r="Y38" s="1098"/>
      <c r="Z38" s="1098"/>
      <c r="AA38" s="1098"/>
      <c r="AB38" s="1098"/>
      <c r="AC38" s="1098"/>
    </row>
    <row r="39" spans="1:29" ht="15.75" thickBot="1">
      <c r="A39" s="691" t="s">
        <v>2888</v>
      </c>
      <c r="B39" s="692"/>
      <c r="C39" s="2618" t="e">
        <f>R39</f>
        <v>#DIV/0!</v>
      </c>
      <c r="D39" s="2618"/>
      <c r="E39" s="2618"/>
      <c r="F39" s="2618"/>
      <c r="G39" s="2618"/>
      <c r="H39" s="2618"/>
      <c r="I39" s="2618"/>
      <c r="J39" s="2618"/>
      <c r="K39" s="823"/>
      <c r="L39" s="2631"/>
      <c r="M39" s="1098"/>
      <c r="N39" s="1098"/>
      <c r="O39" s="1098"/>
      <c r="P39" s="3583" t="str">
        <f>A39</f>
        <v>估价对象XX用房的比较价值（楼面单价，元/平方米）</v>
      </c>
      <c r="Q39" s="3584"/>
      <c r="R39" s="3585" t="e">
        <f>IF(E1="售价",ROUND(AVERAGE(R38:V38),0),ROUND(AVERAGE(R38:V38),1))</f>
        <v>#DIV/0!</v>
      </c>
      <c r="S39" s="3585"/>
      <c r="T39" s="3585"/>
      <c r="U39" s="3585"/>
      <c r="V39" s="3585"/>
      <c r="W39" s="3585"/>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2009-7</v>
      </c>
      <c r="D48" s="2804">
        <f>EDATE(C48,-1)</f>
        <v>39965</v>
      </c>
      <c r="E48" s="2804">
        <f t="shared" ref="E48:O48" si="16">EDATE(D48,-1)</f>
        <v>39934</v>
      </c>
      <c r="F48" s="2804">
        <f t="shared" si="16"/>
        <v>39904</v>
      </c>
      <c r="G48" s="2804">
        <f t="shared" si="16"/>
        <v>39873</v>
      </c>
      <c r="H48" s="2804">
        <f t="shared" si="16"/>
        <v>39845</v>
      </c>
      <c r="I48" s="2804">
        <f t="shared" si="16"/>
        <v>39814</v>
      </c>
      <c r="J48" s="2804">
        <f t="shared" si="16"/>
        <v>39783</v>
      </c>
      <c r="K48" s="2804">
        <f t="shared" si="16"/>
        <v>39753</v>
      </c>
      <c r="L48" s="2804">
        <f t="shared" si="16"/>
        <v>39722</v>
      </c>
      <c r="M48" s="2804">
        <f t="shared" si="16"/>
        <v>39692</v>
      </c>
      <c r="N48" s="2804">
        <f t="shared" si="16"/>
        <v>39661</v>
      </c>
      <c r="O48" s="2804">
        <f t="shared" si="16"/>
        <v>39630</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2549</v>
      </c>
      <c r="C67" s="129" t="s">
        <v>2538</v>
      </c>
      <c r="D67" s="129" t="s">
        <v>2539</v>
      </c>
      <c r="E67" s="129" t="s">
        <v>2540</v>
      </c>
      <c r="F67" s="129" t="s">
        <v>2541</v>
      </c>
      <c r="G67" s="129" t="s">
        <v>2542</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349.11</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58" t="s">
        <v>462</v>
      </c>
      <c r="D4" s="3559"/>
      <c r="E4" s="3560" t="s">
        <v>463</v>
      </c>
      <c r="F4" s="3561"/>
      <c r="G4" s="3558" t="s">
        <v>464</v>
      </c>
      <c r="H4" s="3559"/>
      <c r="I4" s="3558" t="s">
        <v>465</v>
      </c>
      <c r="J4" s="3559"/>
      <c r="K4" s="812" t="s">
        <v>466</v>
      </c>
      <c r="L4" s="2204"/>
      <c r="M4" s="2205"/>
      <c r="N4" s="2205"/>
      <c r="O4" s="2205"/>
      <c r="P4" s="3562" t="s">
        <v>467</v>
      </c>
      <c r="Q4" s="3563"/>
      <c r="R4" s="3568" t="s">
        <v>463</v>
      </c>
      <c r="S4" s="3569"/>
      <c r="T4" s="3568" t="s">
        <v>464</v>
      </c>
      <c r="U4" s="3569"/>
      <c r="V4" s="3574" t="s">
        <v>465</v>
      </c>
      <c r="W4" s="3574"/>
      <c r="X4" s="1109"/>
      <c r="Y4" s="3568" t="s">
        <v>467</v>
      </c>
      <c r="Z4" s="3569"/>
      <c r="AA4" s="3555" t="s">
        <v>463</v>
      </c>
      <c r="AB4" s="3556" t="s">
        <v>464</v>
      </c>
      <c r="AC4" s="3555" t="s">
        <v>465</v>
      </c>
    </row>
    <row r="5" spans="1:29" ht="15">
      <c r="A5" s="601"/>
      <c r="B5" s="602"/>
      <c r="C5" s="3478" t="s">
        <v>1037</v>
      </c>
      <c r="D5" s="3479"/>
      <c r="E5" s="3536" t="s">
        <v>1038</v>
      </c>
      <c r="F5" s="3537"/>
      <c r="G5" s="3478" t="s">
        <v>57</v>
      </c>
      <c r="H5" s="3479"/>
      <c r="I5" s="3478" t="s">
        <v>1039</v>
      </c>
      <c r="J5" s="3479"/>
      <c r="K5" s="812"/>
      <c r="L5" s="2204"/>
      <c r="M5" s="2205"/>
      <c r="N5" s="2205"/>
      <c r="O5" s="2205"/>
      <c r="P5" s="3564"/>
      <c r="Q5" s="3565"/>
      <c r="R5" s="3570"/>
      <c r="S5" s="3571"/>
      <c r="T5" s="3570"/>
      <c r="U5" s="3571"/>
      <c r="V5" s="3574"/>
      <c r="W5" s="3574"/>
      <c r="X5" s="1109"/>
      <c r="Y5" s="3570"/>
      <c r="Z5" s="3571"/>
      <c r="AA5" s="3556"/>
      <c r="AB5" s="3556"/>
      <c r="AC5" s="3556"/>
    </row>
    <row r="6" spans="1:29" ht="15.75" thickBot="1">
      <c r="A6" s="603"/>
      <c r="B6" s="604"/>
      <c r="C6" s="3480" t="s">
        <v>1040</v>
      </c>
      <c r="D6" s="3481"/>
      <c r="E6" s="3482" t="s">
        <v>1040</v>
      </c>
      <c r="F6" s="3483"/>
      <c r="G6" s="3480" t="s">
        <v>1040</v>
      </c>
      <c r="H6" s="3481"/>
      <c r="I6" s="3480" t="s">
        <v>1040</v>
      </c>
      <c r="J6" s="3481"/>
      <c r="K6" s="812" t="s">
        <v>411</v>
      </c>
      <c r="L6" s="2204"/>
      <c r="M6" s="2205"/>
      <c r="N6" s="2205"/>
      <c r="O6" s="2205"/>
      <c r="P6" s="3566"/>
      <c r="Q6" s="3567"/>
      <c r="R6" s="3570"/>
      <c r="S6" s="3571"/>
      <c r="T6" s="3572"/>
      <c r="U6" s="3573"/>
      <c r="V6" s="3574"/>
      <c r="W6" s="3574"/>
      <c r="X6" s="1109"/>
      <c r="Y6" s="3572"/>
      <c r="Z6" s="3573"/>
      <c r="AA6" s="3557"/>
      <c r="AB6" s="3557"/>
      <c r="AC6" s="3557"/>
    </row>
    <row r="7" spans="1:29" s="218" customFormat="1" ht="15.75" thickBot="1">
      <c r="A7" s="605" t="s">
        <v>412</v>
      </c>
      <c r="B7" s="606"/>
      <c r="C7" s="607">
        <f>'数据-取费表'!B2</f>
        <v>39996</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53" t="s">
        <v>413</v>
      </c>
      <c r="Q7" s="3577"/>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550" t="s">
        <v>416</v>
      </c>
      <c r="Q9" s="192" t="str">
        <f t="shared" ref="Q9:Q14" si="6">B9</f>
        <v>用途</v>
      </c>
      <c r="R9" s="1110" t="s">
        <v>61</v>
      </c>
      <c r="S9" s="1111">
        <f t="shared" si="0"/>
        <v>100</v>
      </c>
      <c r="T9" s="1110" t="s">
        <v>61</v>
      </c>
      <c r="U9" s="1111">
        <f t="shared" si="1"/>
        <v>100</v>
      </c>
      <c r="V9" s="1110" t="s">
        <v>61</v>
      </c>
      <c r="W9" s="1111">
        <f t="shared" si="2"/>
        <v>100</v>
      </c>
      <c r="X9" s="1112"/>
      <c r="Y9" s="3386"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550"/>
      <c r="Q10" s="192" t="str">
        <f t="shared" si="6"/>
        <v>土地使用年限（年）</v>
      </c>
      <c r="R10" s="1110" t="s">
        <v>61</v>
      </c>
      <c r="S10" s="1111">
        <f t="shared" si="0"/>
        <v>100</v>
      </c>
      <c r="T10" s="1110" t="s">
        <v>61</v>
      </c>
      <c r="U10" s="1111">
        <f t="shared" si="1"/>
        <v>100</v>
      </c>
      <c r="V10" s="1110" t="s">
        <v>61</v>
      </c>
      <c r="W10" s="1111">
        <f t="shared" si="2"/>
        <v>100</v>
      </c>
      <c r="X10" s="1112"/>
      <c r="Y10" s="3386"/>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550"/>
      <c r="Q11" s="192">
        <f t="shared" si="6"/>
        <v>111</v>
      </c>
      <c r="R11" s="1110" t="s">
        <v>61</v>
      </c>
      <c r="S11" s="1111">
        <f t="shared" si="0"/>
        <v>100</v>
      </c>
      <c r="T11" s="1110" t="s">
        <v>61</v>
      </c>
      <c r="U11" s="1111">
        <f t="shared" si="1"/>
        <v>100</v>
      </c>
      <c r="V11" s="1110" t="s">
        <v>61</v>
      </c>
      <c r="W11" s="1111">
        <f t="shared" si="2"/>
        <v>100</v>
      </c>
      <c r="X11" s="1112"/>
      <c r="Y11" s="3386"/>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550"/>
      <c r="Q12" s="192">
        <f t="shared" si="6"/>
        <v>111</v>
      </c>
      <c r="R12" s="1110" t="s">
        <v>61</v>
      </c>
      <c r="S12" s="1111">
        <f t="shared" si="0"/>
        <v>100</v>
      </c>
      <c r="T12" s="1110" t="s">
        <v>61</v>
      </c>
      <c r="U12" s="1111">
        <f t="shared" si="1"/>
        <v>100</v>
      </c>
      <c r="V12" s="1110" t="s">
        <v>61</v>
      </c>
      <c r="W12" s="1111">
        <f t="shared" si="2"/>
        <v>100</v>
      </c>
      <c r="X12" s="1112"/>
      <c r="Y12" s="3386"/>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550"/>
      <c r="Q13" s="192">
        <f t="shared" si="6"/>
        <v>111</v>
      </c>
      <c r="R13" s="1110" t="s">
        <v>61</v>
      </c>
      <c r="S13" s="1111">
        <f t="shared" si="0"/>
        <v>100</v>
      </c>
      <c r="T13" s="1110" t="s">
        <v>61</v>
      </c>
      <c r="U13" s="1111">
        <f t="shared" si="1"/>
        <v>100</v>
      </c>
      <c r="V13" s="1110" t="s">
        <v>61</v>
      </c>
      <c r="W13" s="1111">
        <f t="shared" si="2"/>
        <v>100</v>
      </c>
      <c r="X13" s="1112"/>
      <c r="Y13" s="3386"/>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估价对象周边道路密集、公共交通通达情况好、停车便捷程度好，综合评价交通便捷度好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78" t="s">
        <v>421</v>
      </c>
      <c r="Q14" s="1114" t="str">
        <f t="shared" si="6"/>
        <v>交通便捷度</v>
      </c>
      <c r="R14" s="1115" t="s">
        <v>61</v>
      </c>
      <c r="S14" s="1116">
        <f t="shared" si="0"/>
        <v>100</v>
      </c>
      <c r="T14" s="1115" t="s">
        <v>61</v>
      </c>
      <c r="U14" s="1116">
        <f t="shared" si="1"/>
        <v>100</v>
      </c>
      <c r="V14" s="1115" t="s">
        <v>61</v>
      </c>
      <c r="W14" s="1116">
        <f t="shared" si="2"/>
        <v>100</v>
      </c>
      <c r="X14" s="1109"/>
      <c r="Y14" s="3578"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79"/>
      <c r="Q15" s="1114"/>
      <c r="R15" s="1115"/>
      <c r="S15" s="1116"/>
      <c r="T15" s="1115"/>
      <c r="U15" s="1116"/>
      <c r="V15" s="1115"/>
      <c r="W15" s="1116"/>
      <c r="X15" s="1109"/>
      <c r="Y15" s="3579"/>
      <c r="Z15" s="1117"/>
      <c r="AA15" s="1118">
        <v>1</v>
      </c>
      <c r="AB15" s="1118">
        <v>1</v>
      </c>
      <c r="AC15" s="1118">
        <v>1</v>
      </c>
    </row>
    <row r="16" spans="1:29" ht="40.5">
      <c r="A16" s="626"/>
      <c r="B16" s="892" t="s">
        <v>2547</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79"/>
      <c r="Q16" s="1114" t="str">
        <f>B16</f>
        <v>公共配套设施</v>
      </c>
      <c r="R16" s="1115" t="s">
        <v>61</v>
      </c>
      <c r="S16" s="1116">
        <f>F16</f>
        <v>100</v>
      </c>
      <c r="T16" s="1115" t="s">
        <v>61</v>
      </c>
      <c r="U16" s="1116">
        <f>H16</f>
        <v>100</v>
      </c>
      <c r="V16" s="1115" t="s">
        <v>61</v>
      </c>
      <c r="W16" s="1116">
        <f>J16</f>
        <v>100</v>
      </c>
      <c r="X16" s="1109"/>
      <c r="Y16" s="3579"/>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79"/>
      <c r="Q17" s="1114"/>
      <c r="R17" s="1115"/>
      <c r="S17" s="1116"/>
      <c r="T17" s="1115"/>
      <c r="U17" s="1116"/>
      <c r="V17" s="1115"/>
      <c r="W17" s="1116"/>
      <c r="X17" s="1109"/>
      <c r="Y17" s="3579"/>
      <c r="Z17" s="1117"/>
      <c r="AA17" s="1118">
        <v>1</v>
      </c>
      <c r="AB17" s="1118">
        <v>1</v>
      </c>
      <c r="AC17" s="1118">
        <v>1</v>
      </c>
    </row>
    <row r="18" spans="1:29" ht="40.5">
      <c r="A18" s="626"/>
      <c r="B18" s="894" t="s">
        <v>2548</v>
      </c>
      <c r="C18" s="108" t="str">
        <f>IF(B1="工业",估价对象房地状况!G6,估价对象房地状况!C8)</f>
        <v>估价对象所在区域基础设施水平达到七通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79"/>
      <c r="Q18" s="2549" t="str">
        <f>B18</f>
        <v>基础设施水平</v>
      </c>
      <c r="R18" s="1115" t="s">
        <v>61</v>
      </c>
      <c r="S18" s="1116">
        <f>F18</f>
        <v>100</v>
      </c>
      <c r="T18" s="1115" t="s">
        <v>61</v>
      </c>
      <c r="U18" s="1116">
        <f>H18</f>
        <v>100</v>
      </c>
      <c r="V18" s="1115" t="s">
        <v>61</v>
      </c>
      <c r="W18" s="1116">
        <f>J18</f>
        <v>100</v>
      </c>
      <c r="X18" s="2550"/>
      <c r="Y18" s="3579"/>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79"/>
      <c r="Q19" s="2549"/>
      <c r="R19" s="1115"/>
      <c r="S19" s="1116"/>
      <c r="T19" s="1115"/>
      <c r="U19" s="1116"/>
      <c r="V19" s="1115"/>
      <c r="W19" s="1116"/>
      <c r="X19" s="2550"/>
      <c r="Y19" s="3579"/>
      <c r="Z19" s="2551"/>
      <c r="AA19" s="1118">
        <v>1</v>
      </c>
      <c r="AB19" s="1118">
        <v>1</v>
      </c>
      <c r="AC19" s="1118">
        <v>1</v>
      </c>
    </row>
    <row r="20" spans="1:29" ht="121.5">
      <c r="A20" s="626"/>
      <c r="B20" s="649" t="s">
        <v>469</v>
      </c>
      <c r="C20" s="108" t="str">
        <f>IF(B1="工业",估价对象房地状况!G7,估价对象房地状况!C9)</f>
        <v>区域自然环境：玉渊潭公园、中塔公园；人文环境：北京工商大学、首都师范大学；综合评价环境状况好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79"/>
      <c r="Q20" s="1114" t="str">
        <f>B20</f>
        <v>自然及人文环境</v>
      </c>
      <c r="R20" s="1115" t="s">
        <v>61</v>
      </c>
      <c r="S20" s="1116">
        <f>F20</f>
        <v>100</v>
      </c>
      <c r="T20" s="1115" t="s">
        <v>61</v>
      </c>
      <c r="U20" s="1116">
        <f>H20</f>
        <v>100</v>
      </c>
      <c r="V20" s="1115" t="s">
        <v>61</v>
      </c>
      <c r="W20" s="1116">
        <f>J20</f>
        <v>100</v>
      </c>
      <c r="X20" s="1109"/>
      <c r="Y20" s="3579"/>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79"/>
      <c r="Q21" s="1114"/>
      <c r="R21" s="1115"/>
      <c r="S21" s="1116"/>
      <c r="T21" s="1115"/>
      <c r="U21" s="1116"/>
      <c r="V21" s="1115"/>
      <c r="W21" s="1116"/>
      <c r="X21" s="1109"/>
      <c r="Y21" s="3579"/>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79"/>
      <c r="Q22" s="1114" t="str">
        <f>B22</f>
        <v>楼层</v>
      </c>
      <c r="R22" s="1115" t="s">
        <v>61</v>
      </c>
      <c r="S22" s="1116">
        <f>F22</f>
        <v>100</v>
      </c>
      <c r="T22" s="1115" t="s">
        <v>61</v>
      </c>
      <c r="U22" s="1116">
        <f>H22</f>
        <v>100</v>
      </c>
      <c r="V22" s="1115" t="s">
        <v>61</v>
      </c>
      <c r="W22" s="1116">
        <f>J22</f>
        <v>100</v>
      </c>
      <c r="X22" s="1109"/>
      <c r="Y22" s="3579"/>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79"/>
      <c r="Q23" s="1114">
        <f>B23</f>
        <v>111</v>
      </c>
      <c r="R23" s="1115" t="s">
        <v>61</v>
      </c>
      <c r="S23" s="1116">
        <f>F23</f>
        <v>100</v>
      </c>
      <c r="T23" s="1115" t="s">
        <v>61</v>
      </c>
      <c r="U23" s="1116">
        <f>H23</f>
        <v>100</v>
      </c>
      <c r="V23" s="1115" t="s">
        <v>61</v>
      </c>
      <c r="W23" s="1116">
        <f>J23</f>
        <v>100</v>
      </c>
      <c r="X23" s="1109"/>
      <c r="Y23" s="3579"/>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79"/>
      <c r="Q24" s="1114">
        <f t="shared" ref="Q24:Q34" si="11">B24</f>
        <v>111</v>
      </c>
      <c r="R24" s="1115" t="s">
        <v>61</v>
      </c>
      <c r="S24" s="1116">
        <f>F24</f>
        <v>100</v>
      </c>
      <c r="T24" s="1115" t="s">
        <v>61</v>
      </c>
      <c r="U24" s="1116">
        <f>H24</f>
        <v>100</v>
      </c>
      <c r="V24" s="1115" t="s">
        <v>61</v>
      </c>
      <c r="W24" s="1116">
        <f>J24</f>
        <v>100</v>
      </c>
      <c r="X24" s="1109"/>
      <c r="Y24" s="3579"/>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79"/>
      <c r="Q25" s="192">
        <f t="shared" si="11"/>
        <v>111</v>
      </c>
      <c r="R25" s="1110" t="s">
        <v>61</v>
      </c>
      <c r="S25" s="1111">
        <f>F25</f>
        <v>100</v>
      </c>
      <c r="T25" s="1110" t="s">
        <v>61</v>
      </c>
      <c r="U25" s="1111">
        <f>H25</f>
        <v>100</v>
      </c>
      <c r="V25" s="1110" t="s">
        <v>61</v>
      </c>
      <c r="W25" s="1111">
        <f>J25</f>
        <v>100</v>
      </c>
      <c r="X25" s="1112"/>
      <c r="Y25" s="3579"/>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80"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81"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81"/>
      <c r="Q27" s="1119" t="str">
        <f t="shared" si="11"/>
        <v>成新率</v>
      </c>
      <c r="R27" s="1120" t="s">
        <v>61</v>
      </c>
      <c r="S27" s="1121" t="e">
        <f t="shared" si="12"/>
        <v>#N/A</v>
      </c>
      <c r="T27" s="1120" t="s">
        <v>61</v>
      </c>
      <c r="U27" s="1121" t="e">
        <f t="shared" si="13"/>
        <v>#N/A</v>
      </c>
      <c r="V27" s="1120" t="s">
        <v>61</v>
      </c>
      <c r="W27" s="1121" t="e">
        <f t="shared" si="14"/>
        <v>#N/A</v>
      </c>
      <c r="X27" s="1122"/>
      <c r="Y27" s="3581"/>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81"/>
      <c r="Q28" s="1114" t="str">
        <f t="shared" si="11"/>
        <v>物业等级</v>
      </c>
      <c r="R28" s="1115" t="s">
        <v>61</v>
      </c>
      <c r="S28" s="1116">
        <f t="shared" si="12"/>
        <v>100</v>
      </c>
      <c r="T28" s="1115" t="s">
        <v>61</v>
      </c>
      <c r="U28" s="1116">
        <f t="shared" si="13"/>
        <v>100</v>
      </c>
      <c r="V28" s="1115" t="s">
        <v>61</v>
      </c>
      <c r="W28" s="1116">
        <f t="shared" si="14"/>
        <v>100</v>
      </c>
      <c r="X28" s="1109"/>
      <c r="Y28" s="3581"/>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81"/>
      <c r="Q29" s="1114" t="str">
        <f t="shared" si="11"/>
        <v>有无电梯</v>
      </c>
      <c r="R29" s="1115" t="s">
        <v>61</v>
      </c>
      <c r="S29" s="1116">
        <f t="shared" si="12"/>
        <v>100</v>
      </c>
      <c r="T29" s="1115" t="s">
        <v>61</v>
      </c>
      <c r="U29" s="1116">
        <f t="shared" si="13"/>
        <v>100</v>
      </c>
      <c r="V29" s="1115" t="s">
        <v>61</v>
      </c>
      <c r="W29" s="1116">
        <f t="shared" si="14"/>
        <v>100</v>
      </c>
      <c r="X29" s="1109"/>
      <c r="Y29" s="3581"/>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81"/>
      <c r="Q30" s="1114" t="str">
        <f t="shared" si="11"/>
        <v>建筑面积</v>
      </c>
      <c r="R30" s="1115" t="s">
        <v>61</v>
      </c>
      <c r="S30" s="1116" t="e">
        <f t="shared" si="12"/>
        <v>#N/A</v>
      </c>
      <c r="T30" s="1115" t="s">
        <v>61</v>
      </c>
      <c r="U30" s="1116" t="e">
        <f t="shared" si="13"/>
        <v>#N/A</v>
      </c>
      <c r="V30" s="1115" t="s">
        <v>61</v>
      </c>
      <c r="W30" s="1116" t="e">
        <f t="shared" si="14"/>
        <v>#N/A</v>
      </c>
      <c r="X30" s="1109"/>
      <c r="Y30" s="3581"/>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81"/>
      <c r="Q31" s="192" t="str">
        <f t="shared" si="11"/>
        <v>是否封闭</v>
      </c>
      <c r="R31" s="1110" t="s">
        <v>61</v>
      </c>
      <c r="S31" s="1111">
        <f t="shared" si="12"/>
        <v>100</v>
      </c>
      <c r="T31" s="1110" t="s">
        <v>61</v>
      </c>
      <c r="U31" s="1111">
        <f t="shared" si="13"/>
        <v>100</v>
      </c>
      <c r="V31" s="1110" t="s">
        <v>61</v>
      </c>
      <c r="W31" s="1111">
        <f t="shared" si="14"/>
        <v>100</v>
      </c>
      <c r="X31" s="1112"/>
      <c r="Y31" s="3581"/>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81" t="s">
        <v>423</v>
      </c>
      <c r="Q32" s="1114">
        <f t="shared" si="11"/>
        <v>111</v>
      </c>
      <c r="R32" s="1115" t="s">
        <v>61</v>
      </c>
      <c r="S32" s="1116">
        <f t="shared" si="12"/>
        <v>100</v>
      </c>
      <c r="T32" s="1115" t="s">
        <v>61</v>
      </c>
      <c r="U32" s="1116">
        <f t="shared" si="13"/>
        <v>100</v>
      </c>
      <c r="V32" s="1115" t="s">
        <v>61</v>
      </c>
      <c r="W32" s="1116">
        <f t="shared" si="14"/>
        <v>100</v>
      </c>
      <c r="X32" s="1109"/>
      <c r="Y32" s="3581"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81"/>
      <c r="Q33" s="1114">
        <f t="shared" si="11"/>
        <v>111</v>
      </c>
      <c r="R33" s="1115" t="s">
        <v>61</v>
      </c>
      <c r="S33" s="1116">
        <f t="shared" si="12"/>
        <v>100</v>
      </c>
      <c r="T33" s="1115" t="s">
        <v>61</v>
      </c>
      <c r="U33" s="1116">
        <f t="shared" si="13"/>
        <v>100</v>
      </c>
      <c r="V33" s="1115" t="s">
        <v>61</v>
      </c>
      <c r="W33" s="1116">
        <f t="shared" si="14"/>
        <v>100</v>
      </c>
      <c r="X33" s="1109"/>
      <c r="Y33" s="3581"/>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81"/>
      <c r="Q34" s="1114">
        <f t="shared" si="11"/>
        <v>111</v>
      </c>
      <c r="R34" s="1115" t="s">
        <v>61</v>
      </c>
      <c r="S34" s="1116">
        <f t="shared" si="12"/>
        <v>100</v>
      </c>
      <c r="T34" s="1115" t="s">
        <v>61</v>
      </c>
      <c r="U34" s="1116">
        <f t="shared" si="13"/>
        <v>100</v>
      </c>
      <c r="V34" s="1115" t="s">
        <v>61</v>
      </c>
      <c r="W34" s="1116">
        <f t="shared" si="14"/>
        <v>100</v>
      </c>
      <c r="X34" s="1109"/>
      <c r="Y34" s="3581"/>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550" t="str">
        <f>A35</f>
        <v>成交单价（元/平方米）</v>
      </c>
      <c r="Q35" s="3550"/>
      <c r="R35" s="3582">
        <f>E35</f>
        <v>0</v>
      </c>
      <c r="S35" s="3582"/>
      <c r="T35" s="3582">
        <f>G35</f>
        <v>0</v>
      </c>
      <c r="U35" s="3582"/>
      <c r="V35" s="3582">
        <f>I35</f>
        <v>0</v>
      </c>
      <c r="W35" s="3582"/>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550" t="str">
        <f>A36</f>
        <v>比较价值（元/平方米）</v>
      </c>
      <c r="Q36" s="3550"/>
      <c r="R36" s="3582" t="e">
        <f>IF(E1="售价",ROUND(PRODUCT(R35,AA7:AA34),0),ROUND(PRODUCT(R35,AA7:AA34),1))</f>
        <v>#DIV/0!</v>
      </c>
      <c r="S36" s="3582"/>
      <c r="T36" s="3582" t="e">
        <f>IF(E1="售价",ROUND(PRODUCT(T35,AB7:AB34),0),ROUND(PRODUCT(T35,AB7:AB34),1))</f>
        <v>#DIV/0!</v>
      </c>
      <c r="U36" s="3582"/>
      <c r="V36" s="3582" t="e">
        <f>IF(E1="售价",ROUND(PRODUCT(V35,AC7:AC34),0),ROUND(PRODUCT(V35,AC7:AC34),1))</f>
        <v>#DIV/0!</v>
      </c>
      <c r="W36" s="3582"/>
      <c r="X36" s="1098"/>
      <c r="Y36" s="1098"/>
      <c r="Z36" s="1098"/>
      <c r="AA36" s="1098"/>
      <c r="AB36" s="1098"/>
      <c r="AC36" s="1098"/>
    </row>
    <row r="37" spans="1:29" ht="15.75" thickBot="1">
      <c r="A37" s="62" t="s">
        <v>2882</v>
      </c>
      <c r="B37" s="692"/>
      <c r="C37" s="2618" t="e">
        <f>R37</f>
        <v>#DIV/0!</v>
      </c>
      <c r="D37" s="2618"/>
      <c r="E37" s="2618"/>
      <c r="F37" s="2618"/>
      <c r="G37" s="2618"/>
      <c r="H37" s="2618"/>
      <c r="I37" s="2618"/>
      <c r="J37" s="2618"/>
      <c r="K37" s="1194"/>
      <c r="L37" s="2217"/>
      <c r="M37" s="2218"/>
      <c r="N37" s="2218"/>
      <c r="O37" s="2218"/>
      <c r="P37" s="3583" t="str">
        <f>A37</f>
        <v>估价对象XX用房的比较价值（楼面单价，元/平方米）</v>
      </c>
      <c r="Q37" s="3584"/>
      <c r="R37" s="3585" t="e">
        <f>IF(E1="售价",ROUND(AVERAGE(R36:V36),0),ROUND(AVERAGE(R36:V36),1))</f>
        <v>#DIV/0!</v>
      </c>
      <c r="S37" s="3585"/>
      <c r="T37" s="3585"/>
      <c r="U37" s="3585"/>
      <c r="V37" s="3585"/>
      <c r="W37" s="3585"/>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2009-7</v>
      </c>
      <c r="D46" s="2804">
        <f>EDATE(C46,-1)</f>
        <v>39965</v>
      </c>
      <c r="E46" s="2804">
        <f t="shared" ref="E46:O46" si="16">EDATE(D46,-1)</f>
        <v>39934</v>
      </c>
      <c r="F46" s="2804">
        <f t="shared" si="16"/>
        <v>39904</v>
      </c>
      <c r="G46" s="2804">
        <f t="shared" si="16"/>
        <v>39873</v>
      </c>
      <c r="H46" s="2804">
        <f t="shared" si="16"/>
        <v>39845</v>
      </c>
      <c r="I46" s="2804">
        <f t="shared" si="16"/>
        <v>39814</v>
      </c>
      <c r="J46" s="2804">
        <f t="shared" si="16"/>
        <v>39783</v>
      </c>
      <c r="K46" s="2804">
        <f t="shared" si="16"/>
        <v>39753</v>
      </c>
      <c r="L46" s="2804">
        <f t="shared" si="16"/>
        <v>39722</v>
      </c>
      <c r="M46" s="2804">
        <f t="shared" si="16"/>
        <v>39692</v>
      </c>
      <c r="N46" s="2804">
        <f t="shared" si="16"/>
        <v>39661</v>
      </c>
      <c r="O46" s="2804">
        <f t="shared" si="16"/>
        <v>39630</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2549</v>
      </c>
      <c r="C65" s="129" t="s">
        <v>2538</v>
      </c>
      <c r="D65" s="129" t="s">
        <v>2539</v>
      </c>
      <c r="E65" s="129" t="s">
        <v>2540</v>
      </c>
      <c r="F65" s="129" t="s">
        <v>2541</v>
      </c>
      <c r="G65" s="129" t="s">
        <v>2542</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Normal="100" workbookViewId="0">
      <selection activeCell="K41" sqref="K41"/>
    </sheetView>
  </sheetViews>
  <sheetFormatPr defaultRowHeight="14.25"/>
  <cols>
    <col min="1" max="1" width="11.875" style="600" customWidth="1"/>
    <col min="2" max="2" width="15.75" style="600" customWidth="1"/>
    <col min="3" max="3" width="14.375" style="600" customWidth="1"/>
    <col min="4" max="4" width="6.375" style="600" customWidth="1"/>
    <col min="5" max="5" width="14.375" style="600" customWidth="1"/>
    <col min="6" max="6" width="11.75" style="600" customWidth="1"/>
    <col min="7" max="7" width="14.5" style="600" customWidth="1"/>
    <col min="8" max="8" width="8.5" style="600" customWidth="1"/>
    <col min="9" max="9" width="14.5" style="600" customWidth="1"/>
    <col min="10" max="10" width="5.7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f>F66</f>
        <v>5772883</v>
      </c>
      <c r="C2" s="1970" t="s">
        <v>2196</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f>ROUND(B2/'数据-取费表'!B5,0)</f>
        <v>16536</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3.5" customHeight="1">
      <c r="A4" s="598" t="s">
        <v>404</v>
      </c>
      <c r="B4" s="599"/>
      <c r="C4" s="3558" t="s">
        <v>405</v>
      </c>
      <c r="D4" s="3559"/>
      <c r="E4" s="3560" t="s">
        <v>406</v>
      </c>
      <c r="F4" s="3561"/>
      <c r="G4" s="3558" t="s">
        <v>407</v>
      </c>
      <c r="H4" s="3559"/>
      <c r="I4" s="3558" t="s">
        <v>408</v>
      </c>
      <c r="J4" s="3559"/>
      <c r="K4" s="812" t="s">
        <v>409</v>
      </c>
      <c r="L4" s="2204"/>
      <c r="M4" s="2205"/>
      <c r="N4" s="2205"/>
      <c r="O4" s="2205"/>
      <c r="P4" s="3562" t="s">
        <v>410</v>
      </c>
      <c r="Q4" s="3563"/>
      <c r="R4" s="3568" t="s">
        <v>406</v>
      </c>
      <c r="S4" s="3569"/>
      <c r="T4" s="3568" t="s">
        <v>407</v>
      </c>
      <c r="U4" s="3569"/>
      <c r="V4" s="3574" t="s">
        <v>408</v>
      </c>
      <c r="W4" s="3574"/>
      <c r="X4" s="1109"/>
      <c r="Y4" s="3568" t="s">
        <v>410</v>
      </c>
      <c r="Z4" s="3569"/>
      <c r="AA4" s="3555" t="s">
        <v>406</v>
      </c>
      <c r="AB4" s="3556" t="s">
        <v>407</v>
      </c>
      <c r="AC4" s="3555" t="s">
        <v>408</v>
      </c>
    </row>
    <row r="5" spans="1:30" ht="36" customHeight="1">
      <c r="A5" s="601"/>
      <c r="B5" s="602"/>
      <c r="C5" s="3478" t="s">
        <v>1037</v>
      </c>
      <c r="D5" s="3479"/>
      <c r="E5" s="3536" t="str">
        <f>土地案例!B3</f>
        <v xml:space="preserve">西城区德外居住项目（原德外危改F1地块） </v>
      </c>
      <c r="F5" s="3537"/>
      <c r="G5" s="3478" t="str">
        <f>土地案例!B22</f>
        <v>丰台区六里桥住宅项目用地</v>
      </c>
      <c r="H5" s="3479"/>
      <c r="I5" s="3478" t="str">
        <f>土地案例!B38</f>
        <v xml:space="preserve">北京市海淀区六道口（文成杰座）居住项目 </v>
      </c>
      <c r="J5" s="3479"/>
      <c r="K5" s="812"/>
      <c r="L5" s="2204"/>
      <c r="M5" s="2205"/>
      <c r="N5" s="2205"/>
      <c r="O5" s="2205"/>
      <c r="P5" s="3564"/>
      <c r="Q5" s="3565"/>
      <c r="R5" s="3570"/>
      <c r="S5" s="3571"/>
      <c r="T5" s="3570"/>
      <c r="U5" s="3571"/>
      <c r="V5" s="3574"/>
      <c r="W5" s="3574"/>
      <c r="X5" s="1109"/>
      <c r="Y5" s="3570"/>
      <c r="Z5" s="3571"/>
      <c r="AA5" s="3556"/>
      <c r="AB5" s="3556"/>
      <c r="AC5" s="3556"/>
    </row>
    <row r="6" spans="1:30" ht="15.75" thickBot="1">
      <c r="A6" s="603"/>
      <c r="B6" s="604"/>
      <c r="C6" s="3480" t="s">
        <v>1040</v>
      </c>
      <c r="D6" s="3481"/>
      <c r="E6" s="3482" t="s">
        <v>1040</v>
      </c>
      <c r="F6" s="3483"/>
      <c r="G6" s="3480" t="s">
        <v>1040</v>
      </c>
      <c r="H6" s="3481"/>
      <c r="I6" s="3480" t="s">
        <v>1040</v>
      </c>
      <c r="J6" s="3481"/>
      <c r="K6" s="812" t="s">
        <v>411</v>
      </c>
      <c r="L6" s="2204"/>
      <c r="M6" s="2205"/>
      <c r="N6" s="2205"/>
      <c r="O6" s="2205"/>
      <c r="P6" s="3566"/>
      <c r="Q6" s="3567"/>
      <c r="R6" s="3570"/>
      <c r="S6" s="3571"/>
      <c r="T6" s="3572"/>
      <c r="U6" s="3573"/>
      <c r="V6" s="3574"/>
      <c r="W6" s="3574"/>
      <c r="X6" s="1109"/>
      <c r="Y6" s="3572"/>
      <c r="Z6" s="3573"/>
      <c r="AA6" s="3557"/>
      <c r="AB6" s="3557"/>
      <c r="AC6" s="3557"/>
    </row>
    <row r="7" spans="1:30" s="218" customFormat="1" ht="36" customHeight="1" thickBot="1">
      <c r="A7" s="605" t="s">
        <v>412</v>
      </c>
      <c r="B7" s="606"/>
      <c r="C7" s="607">
        <f>'数据-取费表'!B2</f>
        <v>39996</v>
      </c>
      <c r="D7" s="608">
        <v>100</v>
      </c>
      <c r="E7" s="875">
        <v>39870</v>
      </c>
      <c r="F7" s="610">
        <f>SUMIF(70:70,YEAR(E7)&amp;"-"&amp;INT((MONTH(E7)+2)/3),71:71)</f>
        <v>96</v>
      </c>
      <c r="G7" s="876">
        <f>土地案例!D22</f>
        <v>40042</v>
      </c>
      <c r="H7" s="608">
        <f>SUMIF(70:70,YEAR(G7)&amp;"-"&amp;INT((MONTH(G7)+2)/3),71:71)</f>
        <v>100</v>
      </c>
      <c r="I7" s="876">
        <v>39477</v>
      </c>
      <c r="J7" s="608">
        <f>SUMIF(70:70,YEAR(I7)&amp;"-"&amp;INT((MONTH(I7)+2)/3),71:71)</f>
        <v>88</v>
      </c>
      <c r="K7" s="813"/>
      <c r="L7" s="2206"/>
      <c r="M7" s="2207"/>
      <c r="N7" s="2207"/>
      <c r="O7" s="2207"/>
      <c r="P7" s="3553" t="s">
        <v>413</v>
      </c>
      <c r="Q7" s="3577"/>
      <c r="R7" s="1110" t="s">
        <v>61</v>
      </c>
      <c r="S7" s="1111">
        <f t="shared" ref="S7:S15" si="0">F7</f>
        <v>96</v>
      </c>
      <c r="T7" s="1110" t="s">
        <v>61</v>
      </c>
      <c r="U7" s="1111">
        <f t="shared" ref="U7:U15" si="1">H7</f>
        <v>100</v>
      </c>
      <c r="V7" s="1110" t="s">
        <v>61</v>
      </c>
      <c r="W7" s="1111">
        <f t="shared" ref="W7:W15" si="2">J7</f>
        <v>88</v>
      </c>
      <c r="X7" s="1112"/>
      <c r="Y7" s="3553" t="s">
        <v>413</v>
      </c>
      <c r="Z7" s="3554"/>
      <c r="AA7" s="1113">
        <f>D7/F7</f>
        <v>1.0416666666666667</v>
      </c>
      <c r="AB7" s="1113">
        <f>D7/H7</f>
        <v>1</v>
      </c>
      <c r="AC7" s="1113">
        <f>D7/J7</f>
        <v>1.1363636363636365</v>
      </c>
    </row>
    <row r="8" spans="1:30" s="218" customFormat="1" ht="15.75" thickBot="1">
      <c r="A8" s="605" t="s">
        <v>414</v>
      </c>
      <c r="B8" s="606"/>
      <c r="C8" s="878" t="s">
        <v>157</v>
      </c>
      <c r="D8" s="608">
        <v>100</v>
      </c>
      <c r="E8" s="878" t="s">
        <v>3320</v>
      </c>
      <c r="F8" s="610">
        <f>SUMIF(73:73,E8,74:74)-SUMIF(73:73,C8,74:74)+100</f>
        <v>100</v>
      </c>
      <c r="G8" s="878" t="s">
        <v>3320</v>
      </c>
      <c r="H8" s="608">
        <f>SUMIF(73:73,G8,74:74)-SUMIF(73:73,C8,74:74)+100</f>
        <v>100</v>
      </c>
      <c r="I8" s="878" t="s">
        <v>3320</v>
      </c>
      <c r="J8" s="608">
        <f>SUMIF(73:73,I8,74:74)-SUMIF(73:73,C8,74:74)+100</f>
        <v>100</v>
      </c>
      <c r="K8" s="813"/>
      <c r="L8" s="2206"/>
      <c r="M8" s="2207"/>
      <c r="N8" s="2207"/>
      <c r="O8" s="2207"/>
      <c r="P8" s="3553" t="s">
        <v>448</v>
      </c>
      <c r="Q8" s="3554"/>
      <c r="R8" s="1110" t="s">
        <v>61</v>
      </c>
      <c r="S8" s="1111">
        <f t="shared" si="0"/>
        <v>100</v>
      </c>
      <c r="T8" s="1110" t="s">
        <v>61</v>
      </c>
      <c r="U8" s="1111">
        <f t="shared" si="1"/>
        <v>100</v>
      </c>
      <c r="V8" s="1110" t="s">
        <v>61</v>
      </c>
      <c r="W8" s="1111">
        <f t="shared" si="2"/>
        <v>100</v>
      </c>
      <c r="X8" s="1112"/>
      <c r="Y8" s="3553" t="s">
        <v>448</v>
      </c>
      <c r="Z8" s="3554"/>
      <c r="AA8" s="1113">
        <f t="shared" ref="AA8:AA45" si="3">D8/F8</f>
        <v>1</v>
      </c>
      <c r="AB8" s="1113">
        <f t="shared" ref="AB8:AB45" si="4">D8/H8</f>
        <v>1</v>
      </c>
      <c r="AC8" s="1113">
        <f t="shared" ref="AC8:AC45" si="5">D8/J8</f>
        <v>1</v>
      </c>
    </row>
    <row r="9" spans="1:30" s="218" customFormat="1" ht="29.25" customHeight="1">
      <c r="A9" s="613" t="s">
        <v>415</v>
      </c>
      <c r="B9" s="211" t="s">
        <v>433</v>
      </c>
      <c r="C9" s="880" t="s">
        <v>3356</v>
      </c>
      <c r="D9" s="234">
        <v>100</v>
      </c>
      <c r="E9" s="880" t="str">
        <f>土地案例!K3</f>
        <v>居住、配套</v>
      </c>
      <c r="F9" s="234">
        <f>SUMIF(75:75,E9,76:76)-SUMIF(75:75,C9,76:76)+100</f>
        <v>98</v>
      </c>
      <c r="G9" s="880" t="str">
        <f>土地案例!K22</f>
        <v>居住</v>
      </c>
      <c r="H9" s="234">
        <f>SUMIF(75:75,G9,76:76)-SUMIF(75:75,C9,76:76)+100</f>
        <v>100</v>
      </c>
      <c r="I9" s="880" t="str">
        <f>土地案例!K38</f>
        <v>住宅及居住公建服务设施</v>
      </c>
      <c r="J9" s="234">
        <f>SUMIF(75:75,I9,76:76)-SUMIF(75:75,C9,76:76)+100</f>
        <v>98</v>
      </c>
      <c r="K9" s="813"/>
      <c r="L9" s="2206"/>
      <c r="M9" s="2207"/>
      <c r="N9" s="2207"/>
      <c r="O9" s="2208"/>
      <c r="P9" s="3550" t="s">
        <v>416</v>
      </c>
      <c r="Q9" s="192" t="str">
        <f t="shared" ref="Q9:Q15" si="6">B9</f>
        <v>用途</v>
      </c>
      <c r="R9" s="1110" t="s">
        <v>61</v>
      </c>
      <c r="S9" s="1111">
        <f t="shared" si="0"/>
        <v>98</v>
      </c>
      <c r="T9" s="1110" t="s">
        <v>61</v>
      </c>
      <c r="U9" s="1111">
        <f t="shared" si="1"/>
        <v>100</v>
      </c>
      <c r="V9" s="1110" t="s">
        <v>61</v>
      </c>
      <c r="W9" s="1111">
        <f t="shared" si="2"/>
        <v>98</v>
      </c>
      <c r="X9" s="1112"/>
      <c r="Y9" s="3386" t="s">
        <v>417</v>
      </c>
      <c r="Z9" s="206" t="str">
        <f t="shared" ref="Z9:Z15" si="7">Q9</f>
        <v>用途</v>
      </c>
      <c r="AA9" s="1113">
        <f t="shared" si="3"/>
        <v>1.0204081632653061</v>
      </c>
      <c r="AB9" s="1113">
        <f t="shared" si="4"/>
        <v>1</v>
      </c>
      <c r="AC9" s="1113">
        <f t="shared" si="5"/>
        <v>1.0204081632653061</v>
      </c>
    </row>
    <row r="10" spans="1:30" s="625" customFormat="1" ht="27">
      <c r="A10" s="619"/>
      <c r="B10" s="620" t="s">
        <v>418</v>
      </c>
      <c r="C10" s="630">
        <f>'数据-取费表'!B13</f>
        <v>68.63</v>
      </c>
      <c r="D10" s="235">
        <v>100</v>
      </c>
      <c r="E10" s="664" t="s">
        <v>3321</v>
      </c>
      <c r="F10" s="235">
        <f>ROUND(100/'数据-取费表'!B14,0)</f>
        <v>100</v>
      </c>
      <c r="G10" s="662" t="s">
        <v>3321</v>
      </c>
      <c r="H10" s="235">
        <f>ROUND(100/'数据-取费表'!B14,0)</f>
        <v>100</v>
      </c>
      <c r="I10" s="662" t="s">
        <v>3321</v>
      </c>
      <c r="J10" s="235">
        <f>ROUND(100/'数据-取费表'!B14,0)</f>
        <v>100</v>
      </c>
      <c r="K10" s="943"/>
      <c r="L10" s="2209"/>
      <c r="M10" s="2210"/>
      <c r="N10" s="2210"/>
      <c r="O10" s="2211"/>
      <c r="P10" s="3550"/>
      <c r="Q10" s="192" t="str">
        <f t="shared" si="6"/>
        <v>土地使用年限（年）</v>
      </c>
      <c r="R10" s="1110" t="s">
        <v>61</v>
      </c>
      <c r="S10" s="1111">
        <f t="shared" si="0"/>
        <v>100</v>
      </c>
      <c r="T10" s="1110" t="s">
        <v>61</v>
      </c>
      <c r="U10" s="1111">
        <f t="shared" si="1"/>
        <v>100</v>
      </c>
      <c r="V10" s="1110" t="s">
        <v>61</v>
      </c>
      <c r="W10" s="1111">
        <f t="shared" si="2"/>
        <v>100</v>
      </c>
      <c r="X10" s="1112"/>
      <c r="Y10" s="3386"/>
      <c r="Z10" s="206" t="str">
        <f t="shared" si="7"/>
        <v>土地使用年限（年）</v>
      </c>
      <c r="AA10" s="1113">
        <f t="shared" si="3"/>
        <v>1</v>
      </c>
      <c r="AB10" s="1113">
        <f t="shared" si="4"/>
        <v>1</v>
      </c>
      <c r="AC10" s="1113">
        <f t="shared" si="5"/>
        <v>1</v>
      </c>
    </row>
    <row r="11" spans="1:30" ht="15">
      <c r="A11" s="626"/>
      <c r="B11" s="620" t="s">
        <v>419</v>
      </c>
      <c r="C11" s="627">
        <v>2.58</v>
      </c>
      <c r="D11" s="235">
        <v>100</v>
      </c>
      <c r="E11" s="627">
        <f>土地案例!R3</f>
        <v>2.5</v>
      </c>
      <c r="F11" s="235">
        <f>LOOKUP(E11,80:80,81:81)-LOOKUP(C11,80:80,81:81)+100</f>
        <v>100</v>
      </c>
      <c r="G11" s="628">
        <v>2.64</v>
      </c>
      <c r="H11" s="235">
        <f>LOOKUP(G11,80:80,81:81)-LOOKUP(C11,80:80,81:81)+100</f>
        <v>100</v>
      </c>
      <c r="I11" s="627">
        <f>土地案例!Q38</f>
        <v>2.2000000000000002</v>
      </c>
      <c r="J11" s="235">
        <f>LOOKUP(I11,80:80,81:81)-LOOKUP(C11,80:80,81:81)+100</f>
        <v>100</v>
      </c>
      <c r="K11" s="944">
        <v>2</v>
      </c>
      <c r="L11" s="2212"/>
      <c r="M11" s="2205"/>
      <c r="N11" s="2205"/>
      <c r="O11" s="2213"/>
      <c r="P11" s="3550"/>
      <c r="Q11" s="192" t="str">
        <f t="shared" si="6"/>
        <v>容积率</v>
      </c>
      <c r="R11" s="1110" t="s">
        <v>61</v>
      </c>
      <c r="S11" s="1111">
        <f t="shared" si="0"/>
        <v>100</v>
      </c>
      <c r="T11" s="1110" t="s">
        <v>61</v>
      </c>
      <c r="U11" s="1111">
        <f t="shared" si="1"/>
        <v>100</v>
      </c>
      <c r="V11" s="1110" t="s">
        <v>61</v>
      </c>
      <c r="W11" s="1111">
        <f t="shared" si="2"/>
        <v>100</v>
      </c>
      <c r="X11" s="1112"/>
      <c r="Y11" s="3386"/>
      <c r="Z11" s="206" t="str">
        <f t="shared" si="7"/>
        <v>容积率</v>
      </c>
      <c r="AA11" s="1113">
        <f t="shared" si="3"/>
        <v>1</v>
      </c>
      <c r="AB11" s="1113">
        <f t="shared" si="4"/>
        <v>1</v>
      </c>
      <c r="AC11" s="1113">
        <f t="shared" si="5"/>
        <v>1</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550"/>
      <c r="Q12" s="192" t="str">
        <f t="shared" si="6"/>
        <v>配建</v>
      </c>
      <c r="R12" s="1110" t="s">
        <v>61</v>
      </c>
      <c r="S12" s="1111">
        <f t="shared" si="0"/>
        <v>100</v>
      </c>
      <c r="T12" s="1110" t="s">
        <v>61</v>
      </c>
      <c r="U12" s="1111">
        <f t="shared" si="1"/>
        <v>100</v>
      </c>
      <c r="V12" s="1110" t="s">
        <v>61</v>
      </c>
      <c r="W12" s="1111">
        <f t="shared" si="2"/>
        <v>100</v>
      </c>
      <c r="X12" s="1112"/>
      <c r="Y12" s="3386"/>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550"/>
      <c r="Q13" s="192">
        <f t="shared" si="6"/>
        <v>111</v>
      </c>
      <c r="R13" s="1110" t="s">
        <v>61</v>
      </c>
      <c r="S13" s="1111">
        <f t="shared" si="0"/>
        <v>100</v>
      </c>
      <c r="T13" s="1110" t="s">
        <v>61</v>
      </c>
      <c r="U13" s="1111">
        <f t="shared" si="1"/>
        <v>100</v>
      </c>
      <c r="V13" s="1110" t="s">
        <v>61</v>
      </c>
      <c r="W13" s="1111">
        <f t="shared" si="2"/>
        <v>100</v>
      </c>
      <c r="X13" s="1112"/>
      <c r="Y13" s="3386"/>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550"/>
      <c r="Q14" s="192">
        <f t="shared" si="6"/>
        <v>111</v>
      </c>
      <c r="R14" s="1110" t="s">
        <v>61</v>
      </c>
      <c r="S14" s="1111">
        <f t="shared" si="0"/>
        <v>100</v>
      </c>
      <c r="T14" s="1110" t="s">
        <v>61</v>
      </c>
      <c r="U14" s="1111">
        <f t="shared" si="1"/>
        <v>100</v>
      </c>
      <c r="V14" s="1110" t="s">
        <v>61</v>
      </c>
      <c r="W14" s="1111">
        <f t="shared" si="2"/>
        <v>100</v>
      </c>
      <c r="X14" s="1112"/>
      <c r="Y14" s="3386"/>
      <c r="Z14" s="206">
        <f t="shared" si="7"/>
        <v>111</v>
      </c>
      <c r="AA14" s="1113">
        <f>D14/F14</f>
        <v>1</v>
      </c>
      <c r="AB14" s="1113">
        <f>D14/H14</f>
        <v>1</v>
      </c>
      <c r="AC14" s="1113">
        <f>D14/J14</f>
        <v>1</v>
      </c>
    </row>
    <row r="15" spans="1:30" ht="108">
      <c r="A15" s="598" t="s">
        <v>420</v>
      </c>
      <c r="B15" s="2579" t="s">
        <v>299</v>
      </c>
      <c r="C15" s="160" t="str">
        <f>估价对象房地状况!C15</f>
        <v>估价对象周边居住用地比例大、居住小区规模和社区发展完善程度好，综合评价居住社区成熟度好</v>
      </c>
      <c r="D15" s="638">
        <v>100</v>
      </c>
      <c r="E15" s="639"/>
      <c r="F15" s="638">
        <f>SUMIF(88:88,E16,89:89)-SUMIF(88:88,C16,89:89)+100</f>
        <v>100</v>
      </c>
      <c r="G15" s="639"/>
      <c r="H15" s="638">
        <f>SUMIF(88:88,G16,89:89)-SUMIF(88:88,C16,89:89)+100</f>
        <v>95</v>
      </c>
      <c r="I15" s="641"/>
      <c r="J15" s="638">
        <f>SUMIF(88:88,I16,89:89)-SUMIF(88:88,C16,89:89)+100</f>
        <v>100</v>
      </c>
      <c r="K15" s="944">
        <v>5</v>
      </c>
      <c r="L15" s="2214"/>
      <c r="M15" s="2205"/>
      <c r="N15" s="2205"/>
      <c r="O15" s="2213"/>
      <c r="P15" s="3578" t="s">
        <v>421</v>
      </c>
      <c r="Q15" s="1114" t="str">
        <f t="shared" si="6"/>
        <v>居住社区成熟度</v>
      </c>
      <c r="R15" s="1115" t="s">
        <v>61</v>
      </c>
      <c r="S15" s="1116">
        <f t="shared" si="0"/>
        <v>100</v>
      </c>
      <c r="T15" s="1115" t="s">
        <v>61</v>
      </c>
      <c r="U15" s="1116">
        <f t="shared" si="1"/>
        <v>95</v>
      </c>
      <c r="V15" s="1115" t="s">
        <v>61</v>
      </c>
      <c r="W15" s="1116">
        <f t="shared" si="2"/>
        <v>100</v>
      </c>
      <c r="X15" s="1109"/>
      <c r="Y15" s="3578" t="s">
        <v>421</v>
      </c>
      <c r="Z15" s="1117" t="str">
        <f t="shared" si="7"/>
        <v>居住社区成熟度</v>
      </c>
      <c r="AA15" s="1118">
        <f t="shared" si="3"/>
        <v>1</v>
      </c>
      <c r="AB15" s="1118">
        <f t="shared" si="4"/>
        <v>1.0526315789473684</v>
      </c>
      <c r="AC15" s="1118">
        <f t="shared" si="5"/>
        <v>1</v>
      </c>
    </row>
    <row r="16" spans="1:30" ht="15">
      <c r="A16" s="601"/>
      <c r="B16" s="2580"/>
      <c r="C16" s="144" t="s">
        <v>101</v>
      </c>
      <c r="D16" s="645"/>
      <c r="E16" s="45" t="s">
        <v>101</v>
      </c>
      <c r="F16" s="645"/>
      <c r="G16" s="45" t="s">
        <v>102</v>
      </c>
      <c r="H16" s="648"/>
      <c r="I16" s="46" t="s">
        <v>101</v>
      </c>
      <c r="J16" s="645"/>
      <c r="K16" s="943"/>
      <c r="L16" s="2214"/>
      <c r="M16" s="2205"/>
      <c r="N16" s="2205"/>
      <c r="O16" s="2213"/>
      <c r="P16" s="3579"/>
      <c r="Q16" s="1114"/>
      <c r="R16" s="1115"/>
      <c r="S16" s="1116"/>
      <c r="T16" s="1115"/>
      <c r="U16" s="1116"/>
      <c r="V16" s="1115"/>
      <c r="W16" s="1116"/>
      <c r="X16" s="1109"/>
      <c r="Y16" s="3579"/>
      <c r="Z16" s="1117"/>
      <c r="AA16" s="1118">
        <v>1</v>
      </c>
      <c r="AB16" s="1118">
        <v>1</v>
      </c>
      <c r="AC16" s="1118">
        <v>1</v>
      </c>
    </row>
    <row r="17" spans="1:29" ht="15">
      <c r="A17" s="601"/>
      <c r="B17" s="2581"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79"/>
      <c r="Q17" s="1114" t="str">
        <f>B17</f>
        <v>商业繁华度</v>
      </c>
      <c r="R17" s="1115" t="s">
        <v>61</v>
      </c>
      <c r="S17" s="1116">
        <f>F17</f>
        <v>100</v>
      </c>
      <c r="T17" s="1115" t="s">
        <v>61</v>
      </c>
      <c r="U17" s="1116">
        <f>H17</f>
        <v>100</v>
      </c>
      <c r="V17" s="1115" t="s">
        <v>61</v>
      </c>
      <c r="W17" s="1116">
        <f>J17</f>
        <v>100</v>
      </c>
      <c r="X17" s="1109"/>
      <c r="Y17" s="3579"/>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79"/>
      <c r="Q18" s="1114"/>
      <c r="R18" s="1115"/>
      <c r="S18" s="1116"/>
      <c r="T18" s="1115"/>
      <c r="U18" s="1116"/>
      <c r="V18" s="1115"/>
      <c r="W18" s="1116"/>
      <c r="X18" s="1109"/>
      <c r="Y18" s="3579"/>
      <c r="Z18" s="1117"/>
      <c r="AA18" s="1118">
        <v>1</v>
      </c>
      <c r="AB18" s="1118">
        <v>1</v>
      </c>
      <c r="AC18" s="1118">
        <v>1</v>
      </c>
    </row>
    <row r="19" spans="1:29" ht="15">
      <c r="A19" s="601"/>
      <c r="B19" s="2581"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79"/>
      <c r="Q19" s="1114" t="str">
        <f>B19</f>
        <v>办公集聚程度</v>
      </c>
      <c r="R19" s="1115" t="s">
        <v>61</v>
      </c>
      <c r="S19" s="1116">
        <f>F19</f>
        <v>100</v>
      </c>
      <c r="T19" s="1115" t="s">
        <v>61</v>
      </c>
      <c r="U19" s="1116">
        <f>H19</f>
        <v>100</v>
      </c>
      <c r="V19" s="1115" t="s">
        <v>61</v>
      </c>
      <c r="W19" s="1116">
        <f>J19</f>
        <v>100</v>
      </c>
      <c r="X19" s="1109"/>
      <c r="Y19" s="3579"/>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79"/>
      <c r="Q20" s="1114"/>
      <c r="R20" s="1115"/>
      <c r="S20" s="1116"/>
      <c r="T20" s="1115"/>
      <c r="U20" s="1116"/>
      <c r="V20" s="1115"/>
      <c r="W20" s="1116"/>
      <c r="X20" s="1109"/>
      <c r="Y20" s="3579"/>
      <c r="Z20" s="1117"/>
      <c r="AA20" s="1118">
        <v>1</v>
      </c>
      <c r="AB20" s="1118">
        <v>1</v>
      </c>
      <c r="AC20" s="1118">
        <v>1</v>
      </c>
    </row>
    <row r="21" spans="1:29" ht="94.5">
      <c r="A21" s="601"/>
      <c r="B21" s="2581" t="s">
        <v>468</v>
      </c>
      <c r="C21" s="162" t="str">
        <f>估价对象房地状况!C18</f>
        <v>估价对象周边道路密集、公共交通通达情况好、停车便捷程度好，综合评价交通便捷度好</v>
      </c>
      <c r="D21" s="648">
        <v>100</v>
      </c>
      <c r="E21" s="650"/>
      <c r="F21" s="653">
        <f>SUMIF(94:94,E22,95:95)-SUMIF(94:94,C22,95:95)+100</f>
        <v>100</v>
      </c>
      <c r="G21" s="650"/>
      <c r="H21" s="648">
        <f>SUMIF(94:94,G22,95:95)-SUMIF(94:94,C22,95:95)+100</f>
        <v>97</v>
      </c>
      <c r="I21" s="652"/>
      <c r="J21" s="648">
        <f>SUMIF(94:94,I22,95:95)-SUMIF(94:94,C22,95:95)+100</f>
        <v>100</v>
      </c>
      <c r="K21" s="944">
        <v>3</v>
      </c>
      <c r="L21" s="2214"/>
      <c r="M21" s="2205"/>
      <c r="N21" s="2205"/>
      <c r="O21" s="2213"/>
      <c r="P21" s="3579"/>
      <c r="Q21" s="1114" t="str">
        <f>B21</f>
        <v>交通便捷度</v>
      </c>
      <c r="R21" s="1115" t="s">
        <v>61</v>
      </c>
      <c r="S21" s="1116">
        <f>F21</f>
        <v>100</v>
      </c>
      <c r="T21" s="1115" t="s">
        <v>61</v>
      </c>
      <c r="U21" s="1116">
        <f>H21</f>
        <v>97</v>
      </c>
      <c r="V21" s="1115" t="s">
        <v>61</v>
      </c>
      <c r="W21" s="1116">
        <f>J21</f>
        <v>100</v>
      </c>
      <c r="X21" s="1109"/>
      <c r="Y21" s="3579"/>
      <c r="Z21" s="1117" t="str">
        <f>Q21</f>
        <v>交通便捷度</v>
      </c>
      <c r="AA21" s="1118">
        <f t="shared" si="3"/>
        <v>1</v>
      </c>
      <c r="AB21" s="1118">
        <f t="shared" si="4"/>
        <v>1.0309278350515463</v>
      </c>
      <c r="AC21" s="1118">
        <f t="shared" si="5"/>
        <v>1</v>
      </c>
    </row>
    <row r="22" spans="1:29" ht="15">
      <c r="A22" s="601"/>
      <c r="B22" s="2583"/>
      <c r="C22" s="144" t="s">
        <v>101</v>
      </c>
      <c r="D22" s="648"/>
      <c r="E22" s="45" t="s">
        <v>101</v>
      </c>
      <c r="F22" s="645"/>
      <c r="G22" s="45" t="s">
        <v>102</v>
      </c>
      <c r="H22" s="645"/>
      <c r="I22" s="46" t="s">
        <v>101</v>
      </c>
      <c r="J22" s="645"/>
      <c r="K22" s="943"/>
      <c r="L22" s="2214"/>
      <c r="M22" s="2205"/>
      <c r="N22" s="2205"/>
      <c r="O22" s="2213"/>
      <c r="P22" s="3579"/>
      <c r="Q22" s="1114"/>
      <c r="R22" s="1115"/>
      <c r="S22" s="1116"/>
      <c r="T22" s="1115"/>
      <c r="U22" s="1116"/>
      <c r="V22" s="1115"/>
      <c r="W22" s="1116"/>
      <c r="X22" s="1109"/>
      <c r="Y22" s="3579"/>
      <c r="Z22" s="1117"/>
      <c r="AA22" s="1118">
        <v>1</v>
      </c>
      <c r="AB22" s="1118">
        <v>1</v>
      </c>
      <c r="AC22" s="1118">
        <v>1</v>
      </c>
    </row>
    <row r="23" spans="1:29" ht="27">
      <c r="A23" s="601"/>
      <c r="B23" s="2584" t="s">
        <v>495</v>
      </c>
      <c r="C23" s="1288" t="str">
        <f>估价对象房地状况!C19</f>
        <v>好</v>
      </c>
      <c r="D23" s="653">
        <v>100</v>
      </c>
      <c r="E23" s="650"/>
      <c r="F23" s="653">
        <f>SUMIF(96:96,E24,97:97)-SUMIF(96:96,C24,97:97)+100</f>
        <v>100</v>
      </c>
      <c r="G23" s="652"/>
      <c r="H23" s="653">
        <f>SUMIF(96:96,G24,97:97)-SUMIF(96:96,C24,97:97)+100</f>
        <v>100</v>
      </c>
      <c r="I23" s="652"/>
      <c r="J23" s="653">
        <f>SUMIF(96:96,I24,97:97)-SUMIF(96:96,C24,97:97)+100</f>
        <v>98</v>
      </c>
      <c r="K23" s="944">
        <v>2</v>
      </c>
      <c r="L23" s="2214"/>
      <c r="M23" s="2205"/>
      <c r="N23" s="2205"/>
      <c r="O23" s="2213"/>
      <c r="P23" s="3579"/>
      <c r="Q23" s="1114" t="str">
        <f t="shared" ref="Q23:Q37" si="8">B23</f>
        <v>区域土地利用方向</v>
      </c>
      <c r="R23" s="1115" t="s">
        <v>61</v>
      </c>
      <c r="S23" s="1116">
        <f>F23</f>
        <v>100</v>
      </c>
      <c r="T23" s="1115" t="s">
        <v>61</v>
      </c>
      <c r="U23" s="1116">
        <f>H23</f>
        <v>100</v>
      </c>
      <c r="V23" s="1115" t="s">
        <v>61</v>
      </c>
      <c r="W23" s="1116">
        <f>J23</f>
        <v>98</v>
      </c>
      <c r="X23" s="1109"/>
      <c r="Y23" s="3579"/>
      <c r="Z23" s="1117" t="str">
        <f>Q23</f>
        <v>区域土地利用方向</v>
      </c>
      <c r="AA23" s="1118">
        <f t="shared" si="3"/>
        <v>1</v>
      </c>
      <c r="AB23" s="1118">
        <f t="shared" si="4"/>
        <v>1</v>
      </c>
      <c r="AC23" s="1118">
        <f t="shared" si="5"/>
        <v>1.0204081632653061</v>
      </c>
    </row>
    <row r="24" spans="1:29" ht="15">
      <c r="A24" s="601"/>
      <c r="B24" s="2585"/>
      <c r="C24" s="147" t="s">
        <v>101</v>
      </c>
      <c r="D24" s="645"/>
      <c r="E24" s="45" t="s">
        <v>101</v>
      </c>
      <c r="F24" s="645"/>
      <c r="G24" s="46" t="s">
        <v>101</v>
      </c>
      <c r="H24" s="645"/>
      <c r="I24" s="46" t="s">
        <v>102</v>
      </c>
      <c r="J24" s="645"/>
      <c r="K24" s="1289"/>
      <c r="L24" s="2214"/>
      <c r="M24" s="2205"/>
      <c r="N24" s="2205"/>
      <c r="O24" s="2213"/>
      <c r="P24" s="3579"/>
      <c r="Q24" s="1282"/>
      <c r="R24" s="1115"/>
      <c r="S24" s="1116"/>
      <c r="T24" s="1115"/>
      <c r="U24" s="1116"/>
      <c r="V24" s="1115"/>
      <c r="W24" s="1116"/>
      <c r="X24" s="1281"/>
      <c r="Y24" s="3579"/>
      <c r="Z24" s="1283"/>
      <c r="AA24" s="1118"/>
      <c r="AB24" s="1118"/>
      <c r="AC24" s="1118"/>
    </row>
    <row r="25" spans="1:29" ht="121.5">
      <c r="A25" s="601"/>
      <c r="B25" s="2583" t="s">
        <v>496</v>
      </c>
      <c r="C25" s="166" t="str">
        <f>估价对象房地状况!C20</f>
        <v>区域自然环境：玉渊潭公园、中塔公园；人文环境：北京工商大学、首都师范大学；综合评价环境状况好</v>
      </c>
      <c r="D25" s="648">
        <v>100</v>
      </c>
      <c r="E25" s="3211" t="s">
        <v>3322</v>
      </c>
      <c r="F25" s="648">
        <f>SUMIF(98:98,E26,99:99)-SUMIF(98:98,C26,99:99)+100</f>
        <v>100</v>
      </c>
      <c r="G25" s="3211" t="s">
        <v>3323</v>
      </c>
      <c r="H25" s="648">
        <f>SUMIF(98:98,G26,99:99)-SUMIF(98:98,C26,99:99)+100</f>
        <v>94</v>
      </c>
      <c r="I25" s="3212" t="s">
        <v>3324</v>
      </c>
      <c r="J25" s="648">
        <f>SUMIF(98:98,I26,99:99)-SUMIF(98:98,C26,99:99)+100</f>
        <v>100</v>
      </c>
      <c r="K25" s="944">
        <v>3</v>
      </c>
      <c r="L25" s="2214"/>
      <c r="M25" s="2205"/>
      <c r="N25" s="2205"/>
      <c r="O25" s="2213"/>
      <c r="P25" s="3579"/>
      <c r="Q25" s="1114" t="str">
        <f t="shared" si="8"/>
        <v>自然及人文环境状况</v>
      </c>
      <c r="R25" s="1115" t="s">
        <v>61</v>
      </c>
      <c r="S25" s="1116">
        <f>F25</f>
        <v>100</v>
      </c>
      <c r="T25" s="1115" t="s">
        <v>61</v>
      </c>
      <c r="U25" s="1116">
        <f>H25</f>
        <v>94</v>
      </c>
      <c r="V25" s="1115" t="s">
        <v>61</v>
      </c>
      <c r="W25" s="1116">
        <f>J25</f>
        <v>100</v>
      </c>
      <c r="X25" s="1109"/>
      <c r="Y25" s="3579"/>
      <c r="Z25" s="1117" t="str">
        <f>Q25</f>
        <v>自然及人文环境状况</v>
      </c>
      <c r="AA25" s="1118">
        <f t="shared" si="3"/>
        <v>1</v>
      </c>
      <c r="AB25" s="1118">
        <f t="shared" si="4"/>
        <v>1.0638297872340425</v>
      </c>
      <c r="AC25" s="1118">
        <f t="shared" si="5"/>
        <v>1</v>
      </c>
    </row>
    <row r="26" spans="1:29" ht="15">
      <c r="A26" s="601"/>
      <c r="B26" s="2582"/>
      <c r="C26" s="144" t="s">
        <v>101</v>
      </c>
      <c r="D26" s="645"/>
      <c r="E26" s="144" t="s">
        <v>101</v>
      </c>
      <c r="F26" s="645"/>
      <c r="G26" s="144" t="s">
        <v>103</v>
      </c>
      <c r="H26" s="645"/>
      <c r="I26" s="44" t="s">
        <v>101</v>
      </c>
      <c r="J26" s="645"/>
      <c r="K26" s="943"/>
      <c r="L26" s="2214"/>
      <c r="M26" s="2205"/>
      <c r="N26" s="2205"/>
      <c r="O26" s="2213"/>
      <c r="P26" s="3579"/>
      <c r="Q26" s="1114"/>
      <c r="R26" s="1115"/>
      <c r="S26" s="1116"/>
      <c r="T26" s="1115"/>
      <c r="U26" s="1116"/>
      <c r="V26" s="1115"/>
      <c r="W26" s="1116"/>
      <c r="X26" s="1109"/>
      <c r="Y26" s="3579"/>
      <c r="Z26" s="1117"/>
      <c r="AA26" s="1118">
        <v>1</v>
      </c>
      <c r="AB26" s="1118">
        <v>1</v>
      </c>
      <c r="AC26" s="1118">
        <v>1</v>
      </c>
    </row>
    <row r="27" spans="1:29" ht="40.5">
      <c r="A27" s="601"/>
      <c r="B27" s="2586" t="s">
        <v>2543</v>
      </c>
      <c r="C27" s="162" t="str">
        <f>估价对象房地状况!C21</f>
        <v>估价对象所在区域公共配套设施齐备</v>
      </c>
      <c r="D27" s="648">
        <v>100</v>
      </c>
      <c r="E27" s="650"/>
      <c r="F27" s="648">
        <f>SUMIF(100:100,E28,101:101)-SUMIF(100:100,C28,101:101)+100</f>
        <v>100</v>
      </c>
      <c r="G27" s="650"/>
      <c r="H27" s="648">
        <f>SUMIF(100:100,G28,101:101)-SUMIF(100:100,C28,101:101)+100</f>
        <v>97</v>
      </c>
      <c r="I27" s="652"/>
      <c r="J27" s="648">
        <f>SUMIF(100:100,I28,101:101)-SUMIF(100:100,C28,101:101)+100</f>
        <v>100</v>
      </c>
      <c r="K27" s="2578">
        <v>3</v>
      </c>
      <c r="L27" s="2214"/>
      <c r="M27" s="2205"/>
      <c r="N27" s="2205"/>
      <c r="O27" s="2213"/>
      <c r="P27" s="3579"/>
      <c r="Q27" s="2545" t="str">
        <f t="shared" ref="Q27" si="9">B27</f>
        <v>公共配套设施</v>
      </c>
      <c r="R27" s="1110" t="s">
        <v>61</v>
      </c>
      <c r="S27" s="1111">
        <f>F27</f>
        <v>100</v>
      </c>
      <c r="T27" s="1110" t="s">
        <v>61</v>
      </c>
      <c r="U27" s="1111">
        <f>H27</f>
        <v>97</v>
      </c>
      <c r="V27" s="1110" t="s">
        <v>61</v>
      </c>
      <c r="W27" s="1111">
        <f>J27</f>
        <v>100</v>
      </c>
      <c r="X27" s="2550"/>
      <c r="Y27" s="3579"/>
      <c r="Z27" s="206" t="str">
        <f>Q27</f>
        <v>公共配套设施</v>
      </c>
      <c r="AA27" s="1118">
        <f>D27/F27</f>
        <v>1</v>
      </c>
      <c r="AB27" s="1118">
        <f>D27/H27</f>
        <v>1.0309278350515463</v>
      </c>
      <c r="AC27" s="1118">
        <f>D27/J27</f>
        <v>1</v>
      </c>
    </row>
    <row r="28" spans="1:29" ht="15">
      <c r="A28" s="601"/>
      <c r="B28" s="2582"/>
      <c r="C28" s="895" t="s">
        <v>101</v>
      </c>
      <c r="D28" s="645"/>
      <c r="E28" s="895" t="s">
        <v>101</v>
      </c>
      <c r="F28" s="645"/>
      <c r="G28" s="895" t="s">
        <v>102</v>
      </c>
      <c r="H28" s="645"/>
      <c r="I28" s="895" t="s">
        <v>101</v>
      </c>
      <c r="J28" s="645"/>
      <c r="K28" s="943"/>
      <c r="L28" s="2214"/>
      <c r="M28" s="2205"/>
      <c r="N28" s="2205"/>
      <c r="O28" s="2213"/>
      <c r="P28" s="3579"/>
      <c r="Q28" s="2549"/>
      <c r="R28" s="1115"/>
      <c r="S28" s="1116"/>
      <c r="T28" s="1115"/>
      <c r="U28" s="1116"/>
      <c r="V28" s="1115"/>
      <c r="W28" s="1116"/>
      <c r="X28" s="2550"/>
      <c r="Y28" s="3579"/>
      <c r="Z28" s="206"/>
      <c r="AA28" s="1118">
        <v>1</v>
      </c>
      <c r="AB28" s="1118">
        <v>1</v>
      </c>
      <c r="AC28" s="1118">
        <v>1</v>
      </c>
    </row>
    <row r="29" spans="1:29" s="218" customFormat="1" ht="40.5">
      <c r="A29" s="851"/>
      <c r="B29" s="2586" t="s">
        <v>2550</v>
      </c>
      <c r="C29" s="181" t="str">
        <f>估价对象房地状况!C22</f>
        <v>估价对象所在区域基础设施水平达到七通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79"/>
      <c r="Q29" s="192" t="str">
        <f t="shared" si="8"/>
        <v>基础设施水平</v>
      </c>
      <c r="R29" s="1110" t="s">
        <v>61</v>
      </c>
      <c r="S29" s="1111">
        <f>F29</f>
        <v>100</v>
      </c>
      <c r="T29" s="1110" t="s">
        <v>61</v>
      </c>
      <c r="U29" s="1111">
        <f>H29</f>
        <v>100</v>
      </c>
      <c r="V29" s="1110" t="s">
        <v>61</v>
      </c>
      <c r="W29" s="1111">
        <f>J29</f>
        <v>100</v>
      </c>
      <c r="X29" s="1112"/>
      <c r="Y29" s="3579"/>
      <c r="Z29" s="206" t="str">
        <f>Q29</f>
        <v>基础设施水平</v>
      </c>
      <c r="AA29" s="1118">
        <f>D29/F29</f>
        <v>1</v>
      </c>
      <c r="AB29" s="1118">
        <f>D29/H29</f>
        <v>1</v>
      </c>
      <c r="AC29" s="1118">
        <f>D29/J29</f>
        <v>1</v>
      </c>
    </row>
    <row r="30" spans="1:29" s="218" customFormat="1" ht="15">
      <c r="A30" s="851"/>
      <c r="B30" s="2582"/>
      <c r="C30" s="895" t="s">
        <v>2945</v>
      </c>
      <c r="D30" s="645"/>
      <c r="E30" s="895" t="s">
        <v>2945</v>
      </c>
      <c r="F30" s="645"/>
      <c r="G30" s="895" t="s">
        <v>2945</v>
      </c>
      <c r="H30" s="645"/>
      <c r="I30" s="895" t="s">
        <v>2945</v>
      </c>
      <c r="J30" s="645"/>
      <c r="K30" s="943"/>
      <c r="L30" s="2206"/>
      <c r="M30" s="2207"/>
      <c r="N30" s="2207"/>
      <c r="O30" s="2208"/>
      <c r="P30" s="3579"/>
      <c r="Q30" s="192"/>
      <c r="R30" s="1110"/>
      <c r="S30" s="1111"/>
      <c r="T30" s="1110"/>
      <c r="U30" s="1111"/>
      <c r="V30" s="1110"/>
      <c r="W30" s="1111"/>
      <c r="X30" s="1112"/>
      <c r="Y30" s="3579"/>
      <c r="Z30" s="206"/>
      <c r="AA30" s="1118">
        <v>1</v>
      </c>
      <c r="AB30" s="1118">
        <v>1</v>
      </c>
      <c r="AC30" s="1118">
        <v>1</v>
      </c>
    </row>
    <row r="31" spans="1:29" ht="15">
      <c r="A31" s="601"/>
      <c r="B31" s="2582" t="s">
        <v>450</v>
      </c>
      <c r="C31" s="147" t="s">
        <v>2944</v>
      </c>
      <c r="D31" s="633">
        <v>100</v>
      </c>
      <c r="E31" s="147" t="s">
        <v>2944</v>
      </c>
      <c r="F31" s="633">
        <f>SUMIF(104:104,E31,105:105)-SUMIF(104:104,C31,105:105)+100</f>
        <v>100</v>
      </c>
      <c r="G31" s="147" t="s">
        <v>3325</v>
      </c>
      <c r="H31" s="633">
        <f>SUMIF(104:104,G31,105:105)-SUMIF(104:104,C31,105:105)+100</f>
        <v>98</v>
      </c>
      <c r="I31" s="147" t="s">
        <v>3325</v>
      </c>
      <c r="J31" s="633">
        <f>SUMIF(104:104,I31,105:105)-SUMIF(104:104,C31,105:105)+100</f>
        <v>98</v>
      </c>
      <c r="K31" s="944">
        <v>2</v>
      </c>
      <c r="L31" s="2214"/>
      <c r="M31" s="2205"/>
      <c r="N31" s="2205"/>
      <c r="O31" s="2213"/>
      <c r="P31" s="3579"/>
      <c r="Q31" s="1114" t="str">
        <f t="shared" si="8"/>
        <v>临街状况</v>
      </c>
      <c r="R31" s="1115" t="s">
        <v>61</v>
      </c>
      <c r="S31" s="1116">
        <f t="shared" ref="S31:S45" si="10">F31</f>
        <v>100</v>
      </c>
      <c r="T31" s="1115" t="s">
        <v>61</v>
      </c>
      <c r="U31" s="1116">
        <f t="shared" ref="U31:U45" si="11">H31</f>
        <v>98</v>
      </c>
      <c r="V31" s="1115" t="s">
        <v>61</v>
      </c>
      <c r="W31" s="1116">
        <f t="shared" ref="W31:W45" si="12">J31</f>
        <v>98</v>
      </c>
      <c r="X31" s="1109"/>
      <c r="Y31" s="3579"/>
      <c r="Z31" s="1117" t="str">
        <f t="shared" ref="Z31:Z45" si="13">Q31</f>
        <v>临街状况</v>
      </c>
      <c r="AA31" s="1118">
        <f t="shared" si="3"/>
        <v>1</v>
      </c>
      <c r="AB31" s="1118">
        <f t="shared" si="4"/>
        <v>1.0204081632653061</v>
      </c>
      <c r="AC31" s="1118">
        <f t="shared" si="5"/>
        <v>1.0204081632653061</v>
      </c>
    </row>
    <row r="32" spans="1:29" ht="27">
      <c r="A32" s="601"/>
      <c r="B32" s="2583" t="s">
        <v>455</v>
      </c>
      <c r="C32" s="3211" t="s">
        <v>3326</v>
      </c>
      <c r="D32" s="648">
        <v>100</v>
      </c>
      <c r="E32" s="3211" t="s">
        <v>3334</v>
      </c>
      <c r="F32" s="648">
        <f>SUMIF(106:106,E33,107:107)-SUMIF(106:106,C33,107:107)+100</f>
        <v>100</v>
      </c>
      <c r="G32" s="3211" t="s">
        <v>3335</v>
      </c>
      <c r="H32" s="648">
        <f>SUMIF(106:106,G33,107:107)-SUMIF(106:106,C33,107:107)+100</f>
        <v>100</v>
      </c>
      <c r="I32" s="3212" t="s">
        <v>3333</v>
      </c>
      <c r="J32" s="648">
        <f>SUMIF(106:106,I33,107:107)-SUMIF(106:106,C33,107:107)+100</f>
        <v>104</v>
      </c>
      <c r="K32" s="944">
        <v>2</v>
      </c>
      <c r="L32" s="2214"/>
      <c r="M32" s="2205"/>
      <c r="N32" s="2205"/>
      <c r="O32" s="2213"/>
      <c r="P32" s="3579"/>
      <c r="Q32" s="1114" t="str">
        <f t="shared" si="8"/>
        <v>毗邻道路的类型与等级</v>
      </c>
      <c r="R32" s="1115" t="s">
        <v>61</v>
      </c>
      <c r="S32" s="1116">
        <f t="shared" si="10"/>
        <v>100</v>
      </c>
      <c r="T32" s="1115" t="s">
        <v>61</v>
      </c>
      <c r="U32" s="1116">
        <f t="shared" si="11"/>
        <v>100</v>
      </c>
      <c r="V32" s="1115" t="s">
        <v>61</v>
      </c>
      <c r="W32" s="1116">
        <f t="shared" si="12"/>
        <v>104</v>
      </c>
      <c r="X32" s="1109"/>
      <c r="Y32" s="3579"/>
      <c r="Z32" s="1117" t="str">
        <f t="shared" si="13"/>
        <v>毗邻道路的类型与等级</v>
      </c>
      <c r="AA32" s="1118">
        <f t="shared" si="3"/>
        <v>1</v>
      </c>
      <c r="AB32" s="1118">
        <f t="shared" si="4"/>
        <v>1</v>
      </c>
      <c r="AC32" s="1118">
        <f t="shared" si="5"/>
        <v>0.96153846153846156</v>
      </c>
    </row>
    <row r="33" spans="1:29" ht="15">
      <c r="A33" s="601"/>
      <c r="B33" s="2582"/>
      <c r="C33" s="144" t="s">
        <v>3331</v>
      </c>
      <c r="D33" s="645"/>
      <c r="E33" s="144" t="s">
        <v>3331</v>
      </c>
      <c r="F33" s="645"/>
      <c r="G33" s="144" t="s">
        <v>3331</v>
      </c>
      <c r="H33" s="645"/>
      <c r="I33" s="44" t="s">
        <v>3328</v>
      </c>
      <c r="J33" s="645"/>
      <c r="K33" s="815"/>
      <c r="L33" s="2214"/>
      <c r="M33" s="2205"/>
      <c r="N33" s="2205"/>
      <c r="O33" s="2213"/>
      <c r="P33" s="3579"/>
      <c r="Q33" s="1114"/>
      <c r="R33" s="1115"/>
      <c r="S33" s="1116"/>
      <c r="T33" s="1115"/>
      <c r="U33" s="1116"/>
      <c r="V33" s="1115"/>
      <c r="W33" s="1116"/>
      <c r="X33" s="1109"/>
      <c r="Y33" s="3579"/>
      <c r="Z33" s="1117"/>
      <c r="AA33" s="1118">
        <v>1</v>
      </c>
      <c r="AB33" s="1118">
        <v>1</v>
      </c>
      <c r="AC33" s="1118">
        <v>1</v>
      </c>
    </row>
    <row r="34" spans="1:29" ht="15">
      <c r="A34" s="601"/>
      <c r="B34" s="2587" t="s">
        <v>497</v>
      </c>
      <c r="C34" s="147" t="s">
        <v>3351</v>
      </c>
      <c r="D34" s="633">
        <v>100</v>
      </c>
      <c r="E34" s="147" t="s">
        <v>3351</v>
      </c>
      <c r="F34" s="633">
        <f>SUMIF(108:108,E34,109:109)-SUMIF(108:108,C34,109:109)+100</f>
        <v>100</v>
      </c>
      <c r="G34" s="147" t="s">
        <v>3352</v>
      </c>
      <c r="H34" s="633">
        <f>SUMIF(108:108,G34,109:109)-SUMIF(108:108,C34,109:109)+100</f>
        <v>99</v>
      </c>
      <c r="I34" s="134" t="s">
        <v>3352</v>
      </c>
      <c r="J34" s="633">
        <f>SUMIF(108:108,I34,109:109)-SUMIF(108:108,C34,109:109)+100</f>
        <v>99</v>
      </c>
      <c r="K34" s="814">
        <v>0.5</v>
      </c>
      <c r="L34" s="2214"/>
      <c r="M34" s="2205"/>
      <c r="N34" s="2205"/>
      <c r="O34" s="2213"/>
      <c r="P34" s="3579"/>
      <c r="Q34" s="1114" t="str">
        <f t="shared" si="8"/>
        <v>土地级别</v>
      </c>
      <c r="R34" s="1115" t="s">
        <v>61</v>
      </c>
      <c r="S34" s="1116">
        <f t="shared" si="10"/>
        <v>100</v>
      </c>
      <c r="T34" s="1115" t="s">
        <v>61</v>
      </c>
      <c r="U34" s="1116">
        <f t="shared" si="11"/>
        <v>99</v>
      </c>
      <c r="V34" s="1115" t="s">
        <v>61</v>
      </c>
      <c r="W34" s="1116">
        <f t="shared" si="12"/>
        <v>99</v>
      </c>
      <c r="X34" s="1109"/>
      <c r="Y34" s="3579"/>
      <c r="Z34" s="1117" t="str">
        <f t="shared" si="13"/>
        <v>土地级别</v>
      </c>
      <c r="AA34" s="1118">
        <f t="shared" si="3"/>
        <v>1</v>
      </c>
      <c r="AB34" s="1118">
        <f t="shared" si="4"/>
        <v>1.0101010101010102</v>
      </c>
      <c r="AC34" s="1118">
        <f t="shared" si="5"/>
        <v>1.0101010101010102</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79"/>
      <c r="Q35" s="1114">
        <f t="shared" si="8"/>
        <v>111</v>
      </c>
      <c r="R35" s="1115" t="s">
        <v>61</v>
      </c>
      <c r="S35" s="1116">
        <f t="shared" si="10"/>
        <v>100</v>
      </c>
      <c r="T35" s="1115" t="s">
        <v>61</v>
      </c>
      <c r="U35" s="1116">
        <f t="shared" si="11"/>
        <v>100</v>
      </c>
      <c r="V35" s="1115" t="s">
        <v>61</v>
      </c>
      <c r="W35" s="1116">
        <f t="shared" si="12"/>
        <v>100</v>
      </c>
      <c r="X35" s="1109"/>
      <c r="Y35" s="3579"/>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80" t="s">
        <v>423</v>
      </c>
      <c r="Q36" s="1114">
        <f t="shared" si="8"/>
        <v>111</v>
      </c>
      <c r="R36" s="1115" t="s">
        <v>61</v>
      </c>
      <c r="S36" s="1116">
        <f t="shared" si="10"/>
        <v>100</v>
      </c>
      <c r="T36" s="1115" t="s">
        <v>61</v>
      </c>
      <c r="U36" s="1116">
        <f t="shared" si="11"/>
        <v>100</v>
      </c>
      <c r="V36" s="1115" t="s">
        <v>61</v>
      </c>
      <c r="W36" s="1116">
        <f t="shared" si="12"/>
        <v>100</v>
      </c>
      <c r="X36" s="1109"/>
      <c r="Y36" s="3581"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81"/>
      <c r="Q37" s="1114">
        <f t="shared" si="8"/>
        <v>111</v>
      </c>
      <c r="R37" s="1120" t="s">
        <v>61</v>
      </c>
      <c r="S37" s="1121">
        <f t="shared" si="10"/>
        <v>100</v>
      </c>
      <c r="T37" s="1120" t="s">
        <v>61</v>
      </c>
      <c r="U37" s="1121">
        <f t="shared" si="11"/>
        <v>100</v>
      </c>
      <c r="V37" s="1120" t="s">
        <v>61</v>
      </c>
      <c r="W37" s="1121">
        <f t="shared" si="12"/>
        <v>100</v>
      </c>
      <c r="X37" s="1122"/>
      <c r="Y37" s="3581"/>
      <c r="Z37" s="1123">
        <f t="shared" si="13"/>
        <v>111</v>
      </c>
      <c r="AA37" s="1118">
        <f t="shared" si="3"/>
        <v>1</v>
      </c>
      <c r="AB37" s="1118">
        <f t="shared" si="4"/>
        <v>1</v>
      </c>
      <c r="AC37" s="1118">
        <f t="shared" si="5"/>
        <v>1</v>
      </c>
    </row>
    <row r="38" spans="1:29" ht="15">
      <c r="A38" s="598" t="s">
        <v>2552</v>
      </c>
      <c r="B38" s="654" t="s">
        <v>498</v>
      </c>
      <c r="C38" s="950">
        <v>16641.88</v>
      </c>
      <c r="D38" s="666">
        <v>100</v>
      </c>
      <c r="E38" s="950">
        <f>土地案例!G3</f>
        <v>6360.4070000000002</v>
      </c>
      <c r="F38" s="666">
        <f>LOOKUP(E38,117:117,118:118)-LOOKUP(C38,117:117,118:118)+100</f>
        <v>96</v>
      </c>
      <c r="G38" s="950">
        <f>土地案例!G22</f>
        <v>14300</v>
      </c>
      <c r="H38" s="666">
        <f>LOOKUP(G38,117:117,118:118)-LOOKUP(C38,117:117,118:118)+100</f>
        <v>98</v>
      </c>
      <c r="I38" s="729">
        <f>土地案例!G38</f>
        <v>19721.84</v>
      </c>
      <c r="J38" s="666">
        <f>LOOKUP(I38,117:117,118:118)-LOOKUP(C38,117:117,118:118)+100</f>
        <v>100</v>
      </c>
      <c r="K38" s="815"/>
      <c r="L38" s="2214"/>
      <c r="M38" s="2205"/>
      <c r="N38" s="2205"/>
      <c r="O38" s="2213"/>
      <c r="P38" s="3581"/>
      <c r="Q38" s="1114" t="str">
        <f>B38</f>
        <v>宗地面积</v>
      </c>
      <c r="R38" s="1115" t="s">
        <v>61</v>
      </c>
      <c r="S38" s="1116">
        <f t="shared" si="10"/>
        <v>96</v>
      </c>
      <c r="T38" s="1115" t="s">
        <v>61</v>
      </c>
      <c r="U38" s="1116">
        <f t="shared" si="11"/>
        <v>98</v>
      </c>
      <c r="V38" s="1115" t="s">
        <v>61</v>
      </c>
      <c r="W38" s="1116">
        <f t="shared" si="12"/>
        <v>100</v>
      </c>
      <c r="X38" s="1109"/>
      <c r="Y38" s="3581"/>
      <c r="Z38" s="1117" t="str">
        <f t="shared" si="13"/>
        <v>宗地面积</v>
      </c>
      <c r="AA38" s="1118">
        <f t="shared" si="3"/>
        <v>1.0416666666666667</v>
      </c>
      <c r="AB38" s="1118">
        <f t="shared" si="4"/>
        <v>1.0204081632653061</v>
      </c>
      <c r="AC38" s="1118">
        <f t="shared" si="5"/>
        <v>1</v>
      </c>
    </row>
    <row r="39" spans="1:29" ht="15">
      <c r="A39" s="671"/>
      <c r="B39" s="620" t="s">
        <v>499</v>
      </c>
      <c r="C39" s="56" t="s">
        <v>3337</v>
      </c>
      <c r="D39" s="633">
        <v>100</v>
      </c>
      <c r="E39" s="56" t="s">
        <v>3337</v>
      </c>
      <c r="F39" s="633">
        <f>SUMIF(119:119,E39,120:120)-SUMIF(119:119,C39,120:120)+100</f>
        <v>100</v>
      </c>
      <c r="G39" s="56" t="s">
        <v>3337</v>
      </c>
      <c r="H39" s="633">
        <f>SUMIF(119:119,G39,120:120)-SUMIF(119:119,C39,120:120)+100</f>
        <v>100</v>
      </c>
      <c r="I39" s="56" t="s">
        <v>3337</v>
      </c>
      <c r="J39" s="633">
        <f>SUMIF(119:119,I39,120:120)-SUMIF(119:119,C39,120:120)+100</f>
        <v>100</v>
      </c>
      <c r="K39" s="814"/>
      <c r="L39" s="2214"/>
      <c r="M39" s="2205"/>
      <c r="N39" s="2205"/>
      <c r="O39" s="2213"/>
      <c r="P39" s="3581"/>
      <c r="Q39" s="1114" t="str">
        <f t="shared" ref="Q39:Q45" si="14">B39</f>
        <v>宗地形状</v>
      </c>
      <c r="R39" s="1115" t="s">
        <v>61</v>
      </c>
      <c r="S39" s="1116">
        <f t="shared" si="10"/>
        <v>100</v>
      </c>
      <c r="T39" s="1115" t="s">
        <v>61</v>
      </c>
      <c r="U39" s="1116">
        <f t="shared" si="11"/>
        <v>100</v>
      </c>
      <c r="V39" s="1115" t="s">
        <v>61</v>
      </c>
      <c r="W39" s="1116">
        <f t="shared" si="12"/>
        <v>100</v>
      </c>
      <c r="X39" s="1109"/>
      <c r="Y39" s="3581"/>
      <c r="Z39" s="1117" t="str">
        <f t="shared" si="13"/>
        <v>宗地形状</v>
      </c>
      <c r="AA39" s="1118">
        <f t="shared" si="3"/>
        <v>1</v>
      </c>
      <c r="AB39" s="1118">
        <f t="shared" si="4"/>
        <v>1</v>
      </c>
      <c r="AC39" s="1118">
        <f t="shared" si="5"/>
        <v>1</v>
      </c>
    </row>
    <row r="40" spans="1:29" ht="15">
      <c r="A40" s="671"/>
      <c r="B40" s="620" t="s">
        <v>500</v>
      </c>
      <c r="C40" s="56" t="s">
        <v>3341</v>
      </c>
      <c r="D40" s="633">
        <v>100</v>
      </c>
      <c r="E40" s="56" t="s">
        <v>3341</v>
      </c>
      <c r="F40" s="633">
        <f>SUMIF(121:121,E40,122:122)-SUMIF(121:121,C40,122:122)+100</f>
        <v>100</v>
      </c>
      <c r="G40" s="56" t="s">
        <v>3341</v>
      </c>
      <c r="H40" s="633">
        <f>SUMIF(121:121,G40,122:122)-SUMIF(121:121,C40,122:122)+100</f>
        <v>100</v>
      </c>
      <c r="I40" s="56" t="s">
        <v>3341</v>
      </c>
      <c r="J40" s="633">
        <f>SUMIF(121:121,I40,122:122)-SUMIF(121:121,C40,122:122)+100</f>
        <v>100</v>
      </c>
      <c r="K40" s="814"/>
      <c r="L40" s="2214"/>
      <c r="M40" s="2205"/>
      <c r="N40" s="2205"/>
      <c r="O40" s="2213"/>
      <c r="P40" s="3581"/>
      <c r="Q40" s="1114" t="str">
        <f t="shared" si="14"/>
        <v>临街宽度及深度</v>
      </c>
      <c r="R40" s="1115" t="s">
        <v>61</v>
      </c>
      <c r="S40" s="1116">
        <f t="shared" si="10"/>
        <v>100</v>
      </c>
      <c r="T40" s="1115" t="s">
        <v>61</v>
      </c>
      <c r="U40" s="1116">
        <f t="shared" si="11"/>
        <v>100</v>
      </c>
      <c r="V40" s="1115" t="s">
        <v>61</v>
      </c>
      <c r="W40" s="1116">
        <f t="shared" si="12"/>
        <v>100</v>
      </c>
      <c r="X40" s="1109"/>
      <c r="Y40" s="3581"/>
      <c r="Z40" s="1117" t="str">
        <f t="shared" si="13"/>
        <v>临街宽度及深度</v>
      </c>
      <c r="AA40" s="1118">
        <f t="shared" si="3"/>
        <v>1</v>
      </c>
      <c r="AB40" s="1118">
        <f t="shared" si="4"/>
        <v>1</v>
      </c>
      <c r="AC40" s="1118">
        <f t="shared" si="5"/>
        <v>1</v>
      </c>
    </row>
    <row r="41" spans="1:29" s="218" customFormat="1" ht="15">
      <c r="A41" s="672"/>
      <c r="B41" s="2423" t="s">
        <v>2414</v>
      </c>
      <c r="C41" s="901" t="s">
        <v>2945</v>
      </c>
      <c r="D41" s="235">
        <v>100</v>
      </c>
      <c r="E41" s="901" t="s">
        <v>2945</v>
      </c>
      <c r="F41" s="633">
        <f>SUMIF(123:123,E41,124:124)-SUMIF(123:123,C41,124:124)+100</f>
        <v>100</v>
      </c>
      <c r="G41" s="901" t="s">
        <v>115</v>
      </c>
      <c r="H41" s="633">
        <f>SUMIF(123:123,G41,124:124)-SUMIF(123:123,C41,124:124)+100</f>
        <v>99.5</v>
      </c>
      <c r="I41" s="901" t="s">
        <v>3207</v>
      </c>
      <c r="J41" s="633">
        <f>SUMIF(123:123,I41,124:124)-SUMIF(123:123,C41,124:124)+100</f>
        <v>98</v>
      </c>
      <c r="K41" s="814">
        <v>0.5</v>
      </c>
      <c r="L41" s="2206"/>
      <c r="M41" s="2207"/>
      <c r="N41" s="2207"/>
      <c r="O41" s="2208"/>
      <c r="P41" s="3581"/>
      <c r="Q41" s="1114" t="str">
        <f t="shared" si="14"/>
        <v>宗地开发程度</v>
      </c>
      <c r="R41" s="1110" t="s">
        <v>61</v>
      </c>
      <c r="S41" s="1111">
        <f t="shared" si="10"/>
        <v>100</v>
      </c>
      <c r="T41" s="1110" t="s">
        <v>61</v>
      </c>
      <c r="U41" s="1111">
        <f t="shared" si="11"/>
        <v>99.5</v>
      </c>
      <c r="V41" s="1110" t="s">
        <v>61</v>
      </c>
      <c r="W41" s="1111">
        <f t="shared" si="12"/>
        <v>98</v>
      </c>
      <c r="X41" s="1112"/>
      <c r="Y41" s="3581"/>
      <c r="Z41" s="206" t="str">
        <f t="shared" si="13"/>
        <v>宗地开发程度</v>
      </c>
      <c r="AA41" s="1113">
        <f t="shared" si="3"/>
        <v>1</v>
      </c>
      <c r="AB41" s="1113">
        <f t="shared" si="4"/>
        <v>1.0050251256281406</v>
      </c>
      <c r="AC41" s="1113">
        <f t="shared" si="5"/>
        <v>1.0204081632653061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81" t="s">
        <v>423</v>
      </c>
      <c r="Q42" s="1114" t="str">
        <f t="shared" si="14"/>
        <v>工程地质条件</v>
      </c>
      <c r="R42" s="1115" t="s">
        <v>61</v>
      </c>
      <c r="S42" s="1116">
        <f t="shared" si="10"/>
        <v>100</v>
      </c>
      <c r="T42" s="1115" t="s">
        <v>61</v>
      </c>
      <c r="U42" s="1116">
        <f t="shared" si="11"/>
        <v>100</v>
      </c>
      <c r="V42" s="1115" t="s">
        <v>61</v>
      </c>
      <c r="W42" s="1116">
        <f t="shared" si="12"/>
        <v>100</v>
      </c>
      <c r="X42" s="1109"/>
      <c r="Y42" s="3581"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81"/>
      <c r="Q43" s="1114">
        <f t="shared" si="14"/>
        <v>111</v>
      </c>
      <c r="R43" s="1115" t="s">
        <v>61</v>
      </c>
      <c r="S43" s="1116">
        <f t="shared" si="10"/>
        <v>100</v>
      </c>
      <c r="T43" s="1115" t="s">
        <v>61</v>
      </c>
      <c r="U43" s="1116">
        <f t="shared" si="11"/>
        <v>100</v>
      </c>
      <c r="V43" s="1115" t="s">
        <v>61</v>
      </c>
      <c r="W43" s="1116">
        <f t="shared" si="12"/>
        <v>100</v>
      </c>
      <c r="X43" s="1109"/>
      <c r="Y43" s="3581"/>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81"/>
      <c r="Q44" s="1114">
        <f t="shared" si="14"/>
        <v>111</v>
      </c>
      <c r="R44" s="1115" t="s">
        <v>61</v>
      </c>
      <c r="S44" s="1116">
        <f t="shared" si="10"/>
        <v>100</v>
      </c>
      <c r="T44" s="1115" t="s">
        <v>61</v>
      </c>
      <c r="U44" s="1116">
        <f t="shared" si="11"/>
        <v>100</v>
      </c>
      <c r="V44" s="1115" t="s">
        <v>61</v>
      </c>
      <c r="W44" s="1116">
        <f t="shared" si="12"/>
        <v>100</v>
      </c>
      <c r="X44" s="1109"/>
      <c r="Y44" s="3581"/>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81"/>
      <c r="Q45" s="1114">
        <f t="shared" si="14"/>
        <v>111</v>
      </c>
      <c r="R45" s="1120" t="s">
        <v>61</v>
      </c>
      <c r="S45" s="1121">
        <f t="shared" si="10"/>
        <v>100</v>
      </c>
      <c r="T45" s="1120" t="s">
        <v>61</v>
      </c>
      <c r="U45" s="1121">
        <f t="shared" si="11"/>
        <v>100</v>
      </c>
      <c r="V45" s="1120" t="s">
        <v>61</v>
      </c>
      <c r="W45" s="1121">
        <f t="shared" si="12"/>
        <v>100</v>
      </c>
      <c r="X45" s="1122"/>
      <c r="Y45" s="3581"/>
      <c r="Z45" s="1123">
        <f t="shared" si="13"/>
        <v>111</v>
      </c>
      <c r="AA45" s="1118">
        <f t="shared" si="3"/>
        <v>1</v>
      </c>
      <c r="AB45" s="1118">
        <f t="shared" si="4"/>
        <v>1</v>
      </c>
      <c r="AC45" s="1118">
        <f t="shared" si="5"/>
        <v>1</v>
      </c>
    </row>
    <row r="46" spans="1:29" ht="15">
      <c r="A46" s="678" t="s">
        <v>502</v>
      </c>
      <c r="B46" s="159" t="s">
        <v>160</v>
      </c>
      <c r="C46" s="953" t="s">
        <v>20</v>
      </c>
      <c r="D46" s="680"/>
      <c r="E46" s="681">
        <f>土地案例!Q3</f>
        <v>13332</v>
      </c>
      <c r="F46" s="682"/>
      <c r="G46" s="683">
        <f>土地案例!Q22</f>
        <v>13669</v>
      </c>
      <c r="H46" s="684"/>
      <c r="I46" s="681">
        <f>土地案例!P38</f>
        <v>14751</v>
      </c>
      <c r="J46" s="684"/>
      <c r="K46" s="1192"/>
      <c r="L46" s="2217"/>
      <c r="M46" s="2218"/>
      <c r="N46" s="2205"/>
      <c r="O46" s="2218"/>
      <c r="P46" s="3550" t="str">
        <f>A46</f>
        <v>成交单价</v>
      </c>
      <c r="Q46" s="3550"/>
      <c r="R46" s="3574">
        <f>E46</f>
        <v>13332</v>
      </c>
      <c r="S46" s="3574"/>
      <c r="T46" s="3574">
        <f>G46</f>
        <v>13669</v>
      </c>
      <c r="U46" s="3574"/>
      <c r="V46" s="3574">
        <f>I46</f>
        <v>14751</v>
      </c>
      <c r="W46" s="3574"/>
      <c r="X46" s="1098"/>
      <c r="Y46" s="1124"/>
      <c r="Z46" s="1098"/>
      <c r="AA46" s="1098"/>
      <c r="AB46" s="1098"/>
      <c r="AC46" s="1098"/>
    </row>
    <row r="47" spans="1:29" ht="15.75" thickBot="1">
      <c r="A47" s="685" t="s">
        <v>425</v>
      </c>
      <c r="B47" s="954"/>
      <c r="C47" s="689">
        <f>R48</f>
        <v>16536</v>
      </c>
      <c r="D47" s="688"/>
      <c r="E47" s="689">
        <f>R47</f>
        <v>14761</v>
      </c>
      <c r="F47" s="690"/>
      <c r="G47" s="687">
        <f>T47</f>
        <v>17196</v>
      </c>
      <c r="H47" s="688"/>
      <c r="I47" s="689">
        <f>V47</f>
        <v>17651</v>
      </c>
      <c r="J47" s="688"/>
      <c r="K47" s="1193"/>
      <c r="L47" s="2217"/>
      <c r="M47" s="2218"/>
      <c r="N47" s="2218"/>
      <c r="O47" s="2218"/>
      <c r="P47" s="3550" t="str">
        <f>A47</f>
        <v>比较价值（元/平方米）</v>
      </c>
      <c r="Q47" s="3550"/>
      <c r="R47" s="3586">
        <f>ROUND(PRODUCT(R46,AA7:AA45),0)</f>
        <v>14761</v>
      </c>
      <c r="S47" s="3586"/>
      <c r="T47" s="3586">
        <f>ROUND(PRODUCT(T46,AB7:AB45),0)</f>
        <v>17196</v>
      </c>
      <c r="U47" s="3586"/>
      <c r="V47" s="3586">
        <f>ROUND(PRODUCT(V46,AC7:AC45),0)</f>
        <v>17651</v>
      </c>
      <c r="W47" s="3586"/>
      <c r="X47" s="1098"/>
      <c r="Y47" s="1098"/>
      <c r="Z47" s="1098"/>
      <c r="AA47" s="1098"/>
      <c r="AB47" s="1098"/>
      <c r="AC47" s="1098"/>
    </row>
    <row r="48" spans="1:29" ht="15.75" thickBot="1">
      <c r="A48" s="62" t="s">
        <v>2882</v>
      </c>
      <c r="B48" s="692"/>
      <c r="C48" s="693">
        <f>R48</f>
        <v>16536</v>
      </c>
      <c r="D48" s="693"/>
      <c r="E48" s="693"/>
      <c r="F48" s="693"/>
      <c r="G48" s="693"/>
      <c r="H48" s="693"/>
      <c r="I48" s="693"/>
      <c r="J48" s="693"/>
      <c r="K48" s="1194"/>
      <c r="L48" s="2217"/>
      <c r="M48" s="2218"/>
      <c r="N48" s="2218"/>
      <c r="O48" s="2218"/>
      <c r="P48" s="3583" t="str">
        <f>A48</f>
        <v>估价对象XX用房的比较价值（楼面单价，元/平方米）</v>
      </c>
      <c r="Q48" s="3584"/>
      <c r="R48" s="3587">
        <f>ROUND(AVERAGE(R47:V47),0)</f>
        <v>16536</v>
      </c>
      <c r="S48" s="3587"/>
      <c r="T48" s="3587"/>
      <c r="U48" s="3587"/>
      <c r="V48" s="3587"/>
      <c r="W48" s="3587"/>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f>IF(E46&lt;E47,E47/E46-1,E46/E47-1)</f>
        <v>0.10718571857185721</v>
      </c>
      <c r="F51" s="699" t="str">
        <f>IF(OR(E51&gt;=0.3,E51&lt;=-0.3),"超过30%","")</f>
        <v/>
      </c>
      <c r="G51" s="698">
        <f>IF(G46&lt;G47,G47/G46-1,G46/G47-1)</f>
        <v>0.25802911698002773</v>
      </c>
      <c r="H51" s="699" t="str">
        <f>IF(OR(G51&gt;=0.3,G51&lt;=-0.3),"超过30%","")</f>
        <v/>
      </c>
      <c r="I51" s="698">
        <f>IF(I46&lt;I47,I47/I46-1,I46/I47-1)</f>
        <v>0.1965968408921428</v>
      </c>
      <c r="J51" s="699" t="str">
        <f>IF(OR(I51&gt;=0.3,I51&lt;=-0.3),"超过30%","")</f>
        <v/>
      </c>
      <c r="K51" s="2223"/>
      <c r="L51" s="2219"/>
      <c r="M51" s="2218"/>
      <c r="N51" s="2218"/>
      <c r="O51" s="2218"/>
    </row>
    <row r="52" spans="1:15" ht="13.5" customHeight="1">
      <c r="A52" s="2218"/>
      <c r="B52" s="2218"/>
      <c r="C52" s="696" t="s">
        <v>427</v>
      </c>
      <c r="D52" s="700"/>
      <c r="E52" s="698">
        <f>IF(E47&lt;G47,G47/E47-1,E47/G47-1)</f>
        <v>0.16496172346047011</v>
      </c>
      <c r="F52" s="699" t="str">
        <f>IF(OR(E52&gt;=0.2,E52&lt;=-0.2),"超过20%","")</f>
        <v/>
      </c>
      <c r="G52" s="698">
        <f>IF(G47&lt;I47,I47/G47-1,G47/I47-1)</f>
        <v>2.6459641777157428E-2</v>
      </c>
      <c r="H52" s="699" t="str">
        <f>IF(OR(G52&gt;=0.2,G52&lt;=-0.2),"超过20%","")</f>
        <v/>
      </c>
      <c r="I52" s="698">
        <f>IF(I47&lt;E47,E47/I47-1,I47/E47-1)</f>
        <v>0.19578619334733416</v>
      </c>
      <c r="J52" s="699" t="str">
        <f>IF(OR(I52&gt;=0.2,I52&lt;=-0.2),"超过20%","")</f>
        <v/>
      </c>
      <c r="K52" s="2223"/>
      <c r="L52" s="2219"/>
      <c r="M52" s="2218"/>
      <c r="N52" s="2218"/>
      <c r="O52" s="2218"/>
    </row>
    <row r="53" spans="1:15" s="701" customFormat="1" ht="13.5" customHeight="1">
      <c r="A53" s="2220"/>
      <c r="B53" s="2220"/>
      <c r="C53" s="696" t="s">
        <v>428</v>
      </c>
      <c r="D53" s="700"/>
      <c r="E53" s="698">
        <f>IF(E46&lt;G46,G46/E46-1,E46/G46-1)</f>
        <v>2.5277527752775253E-2</v>
      </c>
      <c r="F53" s="699" t="str">
        <f>IF(OR(E53&gt;=0.3,E53&lt;=-0.3),"超过30%","")</f>
        <v/>
      </c>
      <c r="G53" s="698">
        <f>IF(G46&lt;I46,I46/G46-1,G46/I46-1)</f>
        <v>7.9157217060501939E-2</v>
      </c>
      <c r="H53" s="699" t="str">
        <f>IF(OR(G53&gt;=0.3,G53&lt;=-0.3),"超过30%","")</f>
        <v/>
      </c>
      <c r="I53" s="698">
        <f>IF(I46&lt;E46,E46/I46-1,I46/E46-1)</f>
        <v>0.10643564356435653</v>
      </c>
      <c r="J53" s="699" t="str">
        <f>IF(OR(I53&gt;=0.3,I53&lt;=-0.3),"超过30%","")</f>
        <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54">
      <c r="A55" s="955" t="s">
        <v>503</v>
      </c>
      <c r="B55" s="956" t="s">
        <v>504</v>
      </c>
      <c r="C55" s="1610" t="s">
        <v>1807</v>
      </c>
      <c r="D55" s="2264" t="s">
        <v>2223</v>
      </c>
      <c r="E55" s="957" t="s">
        <v>505</v>
      </c>
      <c r="F55" s="958" t="s">
        <v>506</v>
      </c>
      <c r="G55" s="1611" t="s">
        <v>1806</v>
      </c>
      <c r="H55" s="1611">
        <f>项目基本情况!G8</f>
        <v>0</v>
      </c>
      <c r="I55" s="1607" t="s">
        <v>1808</v>
      </c>
      <c r="J55" s="1099"/>
      <c r="K55" s="2219"/>
      <c r="L55" s="2219"/>
      <c r="M55" s="2218"/>
      <c r="N55" s="2218"/>
      <c r="O55" s="2218"/>
    </row>
    <row r="56" spans="1:15" s="963" customFormat="1">
      <c r="A56" s="959" t="s">
        <v>507</v>
      </c>
      <c r="B56" s="960">
        <f>C48</f>
        <v>16536</v>
      </c>
      <c r="C56" s="961">
        <v>1</v>
      </c>
      <c r="D56" s="2265">
        <v>1</v>
      </c>
      <c r="E56" s="965">
        <f>'数据-取费表'!B5</f>
        <v>349.11</v>
      </c>
      <c r="F56" s="962">
        <f t="shared" ref="F56:F65" si="15">ROUND(B56*E56,0)</f>
        <v>5772883</v>
      </c>
      <c r="G56" s="1608">
        <v>1</v>
      </c>
      <c r="H56" s="1608">
        <v>1</v>
      </c>
      <c r="I56" s="2220"/>
      <c r="J56" s="2220"/>
      <c r="K56" s="2224"/>
      <c r="L56" s="2225"/>
      <c r="M56" s="2220"/>
      <c r="N56" s="2220"/>
      <c r="O56" s="1606"/>
    </row>
    <row r="57" spans="1:15" s="963" customFormat="1">
      <c r="A57" s="964" t="s">
        <v>508</v>
      </c>
      <c r="B57" s="395">
        <f>ROUND($C$48*C57*D57,0)</f>
        <v>0</v>
      </c>
      <c r="C57" s="334">
        <f>IF($C$55="北京市系数",G57,H57)</f>
        <v>0</v>
      </c>
      <c r="D57" s="2263">
        <v>0.25</v>
      </c>
      <c r="E57" s="965">
        <v>0</v>
      </c>
      <c r="F57" s="962">
        <f t="shared" si="15"/>
        <v>0</v>
      </c>
      <c r="G57" s="1608">
        <f>SUMIF(修正!$A$45:$A$56,项目基本情况!$F$9,修正!B45:B56)</f>
        <v>0</v>
      </c>
      <c r="H57" s="1609"/>
      <c r="I57" s="2218"/>
      <c r="J57" s="2223"/>
      <c r="K57" s="2219"/>
      <c r="L57" s="2219"/>
      <c r="M57" s="2218"/>
      <c r="N57" s="2218"/>
      <c r="O57" s="1606"/>
    </row>
    <row r="58" spans="1:15" s="963" customFormat="1">
      <c r="A58" s="964" t="s">
        <v>509</v>
      </c>
      <c r="B58" s="395">
        <f t="shared" ref="B58:B65" si="16">ROUND($C$48*C58*D58,0)</f>
        <v>0</v>
      </c>
      <c r="C58" s="334">
        <f t="shared" ref="C58:C65" si="17">IF($C$55="北京市系数",G58,H58)</f>
        <v>0</v>
      </c>
      <c r="D58" s="2263">
        <v>0.25</v>
      </c>
      <c r="E58" s="965">
        <v>0</v>
      </c>
      <c r="F58" s="962">
        <f t="shared" si="15"/>
        <v>0</v>
      </c>
      <c r="G58" s="1608">
        <f>SUMIF(修正!$A$45:$A$56,项目基本情况!$F$9,修正!C45:C56)</f>
        <v>0</v>
      </c>
      <c r="H58" s="1609"/>
      <c r="I58" s="2220"/>
      <c r="J58" s="2220"/>
      <c r="K58" s="2224"/>
      <c r="L58" s="2225"/>
      <c r="M58" s="2220"/>
      <c r="N58" s="2220"/>
      <c r="O58" s="1606"/>
    </row>
    <row r="59" spans="1:15" s="963" customFormat="1">
      <c r="A59" s="964" t="s">
        <v>510</v>
      </c>
      <c r="B59" s="395">
        <f t="shared" si="16"/>
        <v>0</v>
      </c>
      <c r="C59" s="334">
        <f t="shared" si="17"/>
        <v>0</v>
      </c>
      <c r="D59" s="2263">
        <v>0.25</v>
      </c>
      <c r="E59" s="965">
        <v>0</v>
      </c>
      <c r="F59" s="962">
        <f t="shared" si="15"/>
        <v>0</v>
      </c>
      <c r="G59" s="1608">
        <f>SUMIF(修正!$A$45:$A$56,项目基本情况!$F$9,修正!D45:D56)</f>
        <v>0</v>
      </c>
      <c r="H59" s="1609"/>
      <c r="I59" s="2218"/>
      <c r="J59" s="2223"/>
      <c r="K59" s="2219"/>
      <c r="L59" s="2219"/>
      <c r="M59" s="2218"/>
      <c r="N59" s="2218"/>
      <c r="O59" s="1606"/>
    </row>
    <row r="60" spans="1:15" s="963" customFormat="1">
      <c r="A60" s="964" t="s">
        <v>511</v>
      </c>
      <c r="B60" s="395">
        <f t="shared" si="16"/>
        <v>0</v>
      </c>
      <c r="C60" s="334">
        <f t="shared" si="17"/>
        <v>0</v>
      </c>
      <c r="D60" s="2263">
        <v>0.25</v>
      </c>
      <c r="E60" s="965">
        <v>0</v>
      </c>
      <c r="F60" s="962">
        <f t="shared" si="15"/>
        <v>0</v>
      </c>
      <c r="G60" s="1608">
        <f>SUMIF(修正!$A$45:$A$56,项目基本情况!$F$9,修正!E45:E56)</f>
        <v>0</v>
      </c>
      <c r="H60" s="1609"/>
      <c r="I60" s="2220"/>
      <c r="J60" s="2220"/>
      <c r="K60" s="2224"/>
      <c r="L60" s="2225"/>
      <c r="M60" s="2220"/>
      <c r="N60" s="2220"/>
      <c r="O60" s="1606"/>
    </row>
    <row r="61" spans="1:15" s="963" customFormat="1">
      <c r="A61" s="964" t="s">
        <v>512</v>
      </c>
      <c r="B61" s="395">
        <f t="shared" si="16"/>
        <v>0</v>
      </c>
      <c r="C61" s="334">
        <f t="shared" si="17"/>
        <v>0</v>
      </c>
      <c r="D61" s="2263">
        <v>0.25</v>
      </c>
      <c r="E61" s="965">
        <v>0</v>
      </c>
      <c r="F61" s="962">
        <f t="shared" si="15"/>
        <v>0</v>
      </c>
      <c r="G61" s="1608">
        <f>SUMIF(修正!A45:A56,项目基本情况!F9,修正!F45:F56)</f>
        <v>0</v>
      </c>
      <c r="H61" s="1609"/>
      <c r="I61" s="2218"/>
      <c r="J61" s="2223"/>
      <c r="K61" s="2219"/>
      <c r="L61" s="2219"/>
      <c r="M61" s="2218"/>
      <c r="N61" s="2218"/>
      <c r="O61" s="1606"/>
    </row>
    <row r="62" spans="1:15" s="963" customFormat="1">
      <c r="A62" s="964" t="s">
        <v>513</v>
      </c>
      <c r="B62" s="395">
        <f t="shared" si="16"/>
        <v>0</v>
      </c>
      <c r="C62" s="334">
        <f t="shared" si="17"/>
        <v>0</v>
      </c>
      <c r="D62" s="2263">
        <v>0.25</v>
      </c>
      <c r="E62" s="965">
        <v>0</v>
      </c>
      <c r="F62" s="962">
        <f t="shared" si="15"/>
        <v>0</v>
      </c>
      <c r="G62" s="1608">
        <f>SUMIF(修正!A45:A56,项目基本情况!F9,修正!G45:G56)</f>
        <v>0</v>
      </c>
      <c r="H62" s="1609"/>
      <c r="I62" s="2220"/>
      <c r="J62" s="2220"/>
      <c r="K62" s="2224"/>
      <c r="L62" s="2225"/>
      <c r="M62" s="2220"/>
      <c r="N62" s="2220"/>
      <c r="O62" s="1606"/>
    </row>
    <row r="63" spans="1:15" s="963" customFormat="1">
      <c r="A63" s="964" t="s">
        <v>514</v>
      </c>
      <c r="B63" s="395">
        <f t="shared" si="16"/>
        <v>0</v>
      </c>
      <c r="C63" s="334">
        <f>IF($C$55="北京市系数",G63,H63)</f>
        <v>0</v>
      </c>
      <c r="D63" s="2263">
        <v>0.25</v>
      </c>
      <c r="E63" s="965">
        <v>0</v>
      </c>
      <c r="F63" s="962">
        <f t="shared" si="15"/>
        <v>0</v>
      </c>
      <c r="G63" s="1608">
        <f>SUMIF(修正!A45:A56,项目基本情况!F9,修正!H45:H56)</f>
        <v>0</v>
      </c>
      <c r="H63" s="1609"/>
      <c r="I63" s="2218"/>
      <c r="J63" s="2223"/>
      <c r="K63" s="2219"/>
      <c r="L63" s="2219"/>
      <c r="M63" s="2218"/>
      <c r="N63" s="2218"/>
      <c r="O63" s="1606"/>
    </row>
    <row r="64" spans="1:15" s="963" customFormat="1">
      <c r="A64" s="964" t="s">
        <v>515</v>
      </c>
      <c r="B64" s="395">
        <f t="shared" si="16"/>
        <v>0</v>
      </c>
      <c r="C64" s="334">
        <f t="shared" si="17"/>
        <v>0</v>
      </c>
      <c r="D64" s="2263">
        <v>0.25</v>
      </c>
      <c r="E64" s="965">
        <v>0</v>
      </c>
      <c r="F64" s="962">
        <f t="shared" si="15"/>
        <v>0</v>
      </c>
      <c r="G64" s="1608">
        <f>G63</f>
        <v>0</v>
      </c>
      <c r="H64" s="1609"/>
      <c r="I64" s="2220"/>
      <c r="J64" s="2220"/>
      <c r="K64" s="2224"/>
      <c r="L64" s="2225"/>
      <c r="M64" s="2220"/>
      <c r="N64" s="2220"/>
      <c r="O64" s="1606"/>
    </row>
    <row r="65" spans="1:17" s="963" customFormat="1">
      <c r="A65" s="964" t="s">
        <v>516</v>
      </c>
      <c r="B65" s="395">
        <f t="shared" si="16"/>
        <v>0</v>
      </c>
      <c r="C65" s="334">
        <f t="shared" si="17"/>
        <v>0</v>
      </c>
      <c r="D65" s="2263">
        <v>0.25</v>
      </c>
      <c r="E65" s="965">
        <v>0</v>
      </c>
      <c r="F65" s="962">
        <f t="shared" si="15"/>
        <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349.11</v>
      </c>
      <c r="F66" s="969">
        <f>SUM(F56:F65)</f>
        <v>5772883</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2009-7-1</v>
      </c>
      <c r="D68" s="2795">
        <f>EDATE(C68,-3)</f>
        <v>39904</v>
      </c>
      <c r="E68" s="2795">
        <f t="shared" ref="E68:O68" si="18">EDATE(D68,-3)</f>
        <v>39814</v>
      </c>
      <c r="F68" s="2795">
        <f t="shared" si="18"/>
        <v>39722</v>
      </c>
      <c r="G68" s="2795">
        <f t="shared" si="18"/>
        <v>39630</v>
      </c>
      <c r="H68" s="2795">
        <f t="shared" si="18"/>
        <v>39539</v>
      </c>
      <c r="I68" s="2795">
        <f t="shared" si="18"/>
        <v>39448</v>
      </c>
      <c r="J68" s="2795">
        <f t="shared" si="18"/>
        <v>39356</v>
      </c>
      <c r="K68" s="2795">
        <f t="shared" si="18"/>
        <v>39264</v>
      </c>
      <c r="L68" s="2795">
        <f t="shared" si="18"/>
        <v>39173</v>
      </c>
      <c r="M68" s="2795">
        <f t="shared" si="18"/>
        <v>39083</v>
      </c>
      <c r="N68" s="2795">
        <f t="shared" si="18"/>
        <v>38991</v>
      </c>
      <c r="O68" s="2795">
        <f t="shared" si="18"/>
        <v>38899</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28.5">
      <c r="A70" s="2530" t="s">
        <v>2655</v>
      </c>
      <c r="B70" s="2529"/>
      <c r="C70" s="2796" t="str">
        <f>YEAR(C68)&amp;"-"&amp;ROUNDUP(MONTH(C68)/3,0)</f>
        <v>2009-3</v>
      </c>
      <c r="D70" s="2796" t="str">
        <f>YEAR(D68)&amp;"-"&amp;ROUNDUP(MONTH(D68)/3,0)</f>
        <v>2009-2</v>
      </c>
      <c r="E70" s="2796" t="str">
        <f t="shared" ref="E70:O70" si="19">YEAR(E68)&amp;"-"&amp;ROUNDUP(MONTH(E68)/3,0)</f>
        <v>2009-1</v>
      </c>
      <c r="F70" s="2796" t="str">
        <f t="shared" si="19"/>
        <v>2008-4</v>
      </c>
      <c r="G70" s="2796" t="str">
        <f t="shared" si="19"/>
        <v>2008-3</v>
      </c>
      <c r="H70" s="2796" t="str">
        <f t="shared" si="19"/>
        <v>2008-2</v>
      </c>
      <c r="I70" s="2796" t="str">
        <f t="shared" si="19"/>
        <v>2008-1</v>
      </c>
      <c r="J70" s="2796" t="str">
        <f t="shared" si="19"/>
        <v>2007-4</v>
      </c>
      <c r="K70" s="2796" t="str">
        <f t="shared" si="19"/>
        <v>2007-3</v>
      </c>
      <c r="L70" s="2796" t="str">
        <f t="shared" si="19"/>
        <v>2007-2</v>
      </c>
      <c r="M70" s="2796" t="str">
        <f t="shared" si="19"/>
        <v>2007-1</v>
      </c>
      <c r="N70" s="2796" t="str">
        <f t="shared" si="19"/>
        <v>2006-4</v>
      </c>
      <c r="O70" s="2796" t="str">
        <f t="shared" si="19"/>
        <v>2006-3</v>
      </c>
      <c r="P70" s="2798"/>
    </row>
    <row r="71" spans="1:17" s="218" customFormat="1" ht="29.25" customHeight="1">
      <c r="A71" s="2806" t="s">
        <v>25</v>
      </c>
      <c r="B71" s="501" t="str">
        <f>"北京市平均增长率"&amp;TEXT(SUMIF(基准地价修正!N21:N25,A71,基准地价修正!P21:P25),"0.00%")</f>
        <v>北京市平均增长率0.00%</v>
      </c>
      <c r="C71" s="805">
        <v>100</v>
      </c>
      <c r="D71" s="797">
        <f>C71-2</f>
        <v>98</v>
      </c>
      <c r="E71" s="797">
        <f t="shared" ref="E71:O71" si="20">D71-2</f>
        <v>96</v>
      </c>
      <c r="F71" s="797">
        <f t="shared" si="20"/>
        <v>94</v>
      </c>
      <c r="G71" s="797">
        <f t="shared" si="20"/>
        <v>92</v>
      </c>
      <c r="H71" s="797">
        <f t="shared" si="20"/>
        <v>90</v>
      </c>
      <c r="I71" s="797">
        <f t="shared" si="20"/>
        <v>88</v>
      </c>
      <c r="J71" s="797">
        <f t="shared" si="20"/>
        <v>86</v>
      </c>
      <c r="K71" s="797">
        <f t="shared" si="20"/>
        <v>84</v>
      </c>
      <c r="L71" s="797">
        <f t="shared" si="20"/>
        <v>82</v>
      </c>
      <c r="M71" s="797">
        <f t="shared" si="20"/>
        <v>80</v>
      </c>
      <c r="N71" s="797">
        <f t="shared" si="20"/>
        <v>78</v>
      </c>
      <c r="O71" s="797">
        <f t="shared" si="20"/>
        <v>76</v>
      </c>
      <c r="P71" s="703"/>
    </row>
    <row r="72" spans="1:17" s="218" customFormat="1" ht="15.75" thickBot="1">
      <c r="A72" s="714" t="s">
        <v>430</v>
      </c>
      <c r="B72" s="715"/>
      <c r="C72" s="3210">
        <v>0.02</v>
      </c>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ht="40.5">
      <c r="A75" s="726" t="s">
        <v>432</v>
      </c>
      <c r="B75" s="727" t="s">
        <v>433</v>
      </c>
      <c r="C75" s="69" t="s">
        <v>3357</v>
      </c>
      <c r="D75" s="69" t="s">
        <v>3358</v>
      </c>
      <c r="E75" s="69" t="s">
        <v>3359</v>
      </c>
      <c r="F75" s="69"/>
      <c r="G75" s="69"/>
      <c r="H75" s="69"/>
      <c r="I75" s="69"/>
      <c r="J75" s="69"/>
      <c r="K75" s="70"/>
      <c r="L75" s="71"/>
      <c r="M75" s="72"/>
      <c r="N75" s="2228"/>
      <c r="O75" s="2228"/>
      <c r="P75" s="205"/>
      <c r="Q75" s="703"/>
    </row>
    <row r="76" spans="1:17" ht="15.75" thickBot="1">
      <c r="A76" s="734"/>
      <c r="B76" s="735"/>
      <c r="C76" s="736">
        <v>100</v>
      </c>
      <c r="D76" s="736">
        <v>98</v>
      </c>
      <c r="E76" s="736">
        <v>98</v>
      </c>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43.5" thickTop="1">
      <c r="A79" s="734"/>
      <c r="B79" s="747" t="s">
        <v>419</v>
      </c>
      <c r="C79" s="748" t="str">
        <f>C80&amp;"（含）"&amp;"-"&amp;D80</f>
        <v>0（含）-1</v>
      </c>
      <c r="D79" s="748" t="str">
        <f t="shared" ref="D79:L79" si="21">D80&amp;"（含）"&amp;"-"&amp;E80</f>
        <v>1（含）-2</v>
      </c>
      <c r="E79" s="748" t="str">
        <f t="shared" si="21"/>
        <v>2（含）-3</v>
      </c>
      <c r="F79" s="748" t="str">
        <f t="shared" si="21"/>
        <v>3（含）-4</v>
      </c>
      <c r="G79" s="748" t="str">
        <f t="shared" si="21"/>
        <v>4（含）-5</v>
      </c>
      <c r="H79" s="748" t="str">
        <f t="shared" si="21"/>
        <v>5（含）-</v>
      </c>
      <c r="I79" s="748" t="str">
        <f t="shared" si="21"/>
        <v>（含）-</v>
      </c>
      <c r="J79" s="748" t="str">
        <f t="shared" si="21"/>
        <v>（含）-</v>
      </c>
      <c r="K79" s="748" t="str">
        <f t="shared" si="21"/>
        <v>（含）-</v>
      </c>
      <c r="L79" s="748" t="str">
        <f t="shared" si="21"/>
        <v>（含）-</v>
      </c>
      <c r="M79" s="645" t="str">
        <f>M80&amp;"（含）"&amp;"-"&amp;P80</f>
        <v>（含）-</v>
      </c>
      <c r="N79" s="2229"/>
      <c r="O79" s="2229"/>
      <c r="P79" s="205"/>
      <c r="Q79" s="703"/>
    </row>
    <row r="80" spans="1:17" ht="15">
      <c r="A80" s="734"/>
      <c r="B80" s="749"/>
      <c r="C80" s="750">
        <v>0</v>
      </c>
      <c r="D80" s="750">
        <v>1</v>
      </c>
      <c r="E80" s="750">
        <v>2</v>
      </c>
      <c r="F80" s="750">
        <v>3</v>
      </c>
      <c r="G80" s="750">
        <v>4</v>
      </c>
      <c r="H80" s="750">
        <v>5</v>
      </c>
      <c r="I80" s="750"/>
      <c r="J80" s="750"/>
      <c r="K80" s="751"/>
      <c r="L80" s="752"/>
      <c r="M80" s="753"/>
      <c r="N80" s="2228"/>
      <c r="O80" s="2228"/>
      <c r="P80" s="205"/>
      <c r="Q80" s="703"/>
    </row>
    <row r="81" spans="1:17" ht="15.75" thickBot="1">
      <c r="A81" s="734"/>
      <c r="B81" s="735"/>
      <c r="C81" s="745">
        <v>100</v>
      </c>
      <c r="D81" s="745">
        <f t="shared" ref="D81:M81" si="22">IF($B$46="单位面积地价",C81+$K11,C81-$K11)</f>
        <v>98</v>
      </c>
      <c r="E81" s="745">
        <f t="shared" si="22"/>
        <v>96</v>
      </c>
      <c r="F81" s="745">
        <f t="shared" si="22"/>
        <v>94</v>
      </c>
      <c r="G81" s="745">
        <f t="shared" si="22"/>
        <v>92</v>
      </c>
      <c r="H81" s="745">
        <f t="shared" si="22"/>
        <v>90</v>
      </c>
      <c r="I81" s="745">
        <f t="shared" si="22"/>
        <v>88</v>
      </c>
      <c r="J81" s="745">
        <f t="shared" si="22"/>
        <v>86</v>
      </c>
      <c r="K81" s="745">
        <f t="shared" si="22"/>
        <v>84</v>
      </c>
      <c r="L81" s="745">
        <f t="shared" si="22"/>
        <v>82</v>
      </c>
      <c r="M81" s="745">
        <f t="shared" si="22"/>
        <v>80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95</v>
      </c>
      <c r="E89" s="745">
        <f>D89-$K15</f>
        <v>90</v>
      </c>
      <c r="F89" s="745">
        <f>E89-$K15</f>
        <v>85</v>
      </c>
      <c r="G89" s="745">
        <f>F89-$K15</f>
        <v>80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97</v>
      </c>
      <c r="E95" s="745">
        <f>D95-$K21</f>
        <v>94</v>
      </c>
      <c r="F95" s="745">
        <f>E95-$K21</f>
        <v>91</v>
      </c>
      <c r="G95" s="745">
        <f>F95-$K21</f>
        <v>88</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98</v>
      </c>
      <c r="E97" s="745">
        <f>D97-$K23</f>
        <v>96</v>
      </c>
      <c r="F97" s="745">
        <f>E97-$K23</f>
        <v>94</v>
      </c>
      <c r="G97" s="745">
        <f>F97-$K23</f>
        <v>92</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97</v>
      </c>
      <c r="E99" s="745">
        <f>D99-$K25</f>
        <v>94</v>
      </c>
      <c r="F99" s="745">
        <f>E99-$K25</f>
        <v>91</v>
      </c>
      <c r="G99" s="745">
        <f>F99-$K25</f>
        <v>88</v>
      </c>
      <c r="H99" s="745"/>
      <c r="I99" s="745"/>
      <c r="J99" s="745"/>
      <c r="K99" s="745"/>
      <c r="L99" s="745"/>
      <c r="M99" s="746"/>
      <c r="N99" s="2229"/>
      <c r="O99" s="2229"/>
      <c r="P99" s="205"/>
      <c r="Q99" s="703"/>
    </row>
    <row r="100" spans="1:17" s="218" customFormat="1" ht="15.75" thickTop="1">
      <c r="A100" s="781"/>
      <c r="B100" s="919" t="s">
        <v>2551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97</v>
      </c>
      <c r="E101" s="745">
        <f>D101-$K27</f>
        <v>94</v>
      </c>
      <c r="F101" s="745">
        <f>E101-$K27</f>
        <v>91</v>
      </c>
      <c r="G101" s="745">
        <f>F101-$K27</f>
        <v>88</v>
      </c>
      <c r="H101" s="861"/>
      <c r="I101" s="861"/>
      <c r="J101" s="861"/>
      <c r="K101" s="861"/>
      <c r="L101" s="861"/>
      <c r="M101" s="648"/>
      <c r="N101" s="2229"/>
      <c r="O101" s="2229"/>
      <c r="P101" s="205"/>
      <c r="Q101" s="703"/>
    </row>
    <row r="102" spans="1:17" s="670" customFormat="1" ht="15.75" thickTop="1">
      <c r="A102" s="754"/>
      <c r="B102" s="917" t="s">
        <v>2550</v>
      </c>
      <c r="C102" s="129" t="s">
        <v>2538</v>
      </c>
      <c r="D102" s="129" t="s">
        <v>2539</v>
      </c>
      <c r="E102" s="129" t="s">
        <v>2540</v>
      </c>
      <c r="F102" s="129" t="s">
        <v>2541</v>
      </c>
      <c r="G102" s="129" t="s">
        <v>2542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27.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98</v>
      </c>
      <c r="E105" s="745">
        <f t="shared" ref="E105:M105" si="23">D105-$K31</f>
        <v>96</v>
      </c>
      <c r="F105" s="745">
        <f t="shared" si="23"/>
        <v>94</v>
      </c>
      <c r="G105" s="745">
        <f t="shared" si="23"/>
        <v>92</v>
      </c>
      <c r="H105" s="745">
        <f t="shared" si="23"/>
        <v>90</v>
      </c>
      <c r="I105" s="745">
        <f t="shared" si="23"/>
        <v>88</v>
      </c>
      <c r="J105" s="745">
        <f t="shared" si="23"/>
        <v>86</v>
      </c>
      <c r="K105" s="745">
        <f t="shared" si="23"/>
        <v>84</v>
      </c>
      <c r="L105" s="745">
        <f t="shared" si="23"/>
        <v>82</v>
      </c>
      <c r="M105" s="745">
        <f t="shared" si="23"/>
        <v>80</v>
      </c>
      <c r="N105" s="2229"/>
      <c r="O105" s="2229"/>
      <c r="P105" s="205"/>
      <c r="Q105" s="703"/>
    </row>
    <row r="106" spans="1:17" ht="27.75" thickTop="1">
      <c r="A106" s="734"/>
      <c r="B106" s="739" t="s">
        <v>455</v>
      </c>
      <c r="C106" s="86" t="s">
        <v>3327</v>
      </c>
      <c r="D106" s="86" t="s">
        <v>3329</v>
      </c>
      <c r="E106" s="86" t="s">
        <v>3330</v>
      </c>
      <c r="F106" s="86" t="s">
        <v>3332</v>
      </c>
      <c r="G106" s="86"/>
      <c r="H106" s="78"/>
      <c r="I106" s="78"/>
      <c r="J106" s="78"/>
      <c r="K106" s="79"/>
      <c r="L106" s="80"/>
      <c r="M106" s="81"/>
      <c r="N106" s="2228"/>
      <c r="O106" s="2228"/>
      <c r="P106" s="205"/>
      <c r="Q106" s="703"/>
    </row>
    <row r="107" spans="1:17" ht="15.75" thickBot="1">
      <c r="A107" s="734"/>
      <c r="B107" s="744"/>
      <c r="C107" s="745">
        <v>100</v>
      </c>
      <c r="D107" s="745">
        <f>C107-$K32</f>
        <v>98</v>
      </c>
      <c r="E107" s="745">
        <f t="shared" ref="E107:M107" si="24">D107-$K32</f>
        <v>96</v>
      </c>
      <c r="F107" s="745">
        <f t="shared" si="24"/>
        <v>94</v>
      </c>
      <c r="G107" s="745">
        <f t="shared" si="24"/>
        <v>92</v>
      </c>
      <c r="H107" s="745">
        <f t="shared" si="24"/>
        <v>90</v>
      </c>
      <c r="I107" s="745">
        <f t="shared" si="24"/>
        <v>88</v>
      </c>
      <c r="J107" s="745">
        <f t="shared" si="24"/>
        <v>86</v>
      </c>
      <c r="K107" s="745">
        <f t="shared" si="24"/>
        <v>84</v>
      </c>
      <c r="L107" s="745">
        <f t="shared" si="24"/>
        <v>82</v>
      </c>
      <c r="M107" s="745">
        <f t="shared" si="24"/>
        <v>80</v>
      </c>
      <c r="N107" s="2229"/>
      <c r="O107" s="2229"/>
      <c r="P107" s="205"/>
      <c r="Q107" s="703"/>
    </row>
    <row r="108" spans="1:17" ht="15.75" thickTop="1">
      <c r="A108" s="734"/>
      <c r="B108" s="739" t="s">
        <v>497</v>
      </c>
      <c r="C108" s="78" t="s">
        <v>3353</v>
      </c>
      <c r="D108" s="78" t="s">
        <v>3351</v>
      </c>
      <c r="E108" s="78" t="s">
        <v>3354</v>
      </c>
      <c r="F108" s="78" t="s">
        <v>3352</v>
      </c>
      <c r="G108" s="78" t="s">
        <v>3355</v>
      </c>
      <c r="H108" s="78"/>
      <c r="I108" s="78"/>
      <c r="J108" s="78"/>
      <c r="K108" s="79"/>
      <c r="L108" s="80"/>
      <c r="M108" s="81"/>
      <c r="N108" s="2228"/>
      <c r="O108" s="2228"/>
      <c r="P108" s="205"/>
      <c r="Q108" s="703"/>
    </row>
    <row r="109" spans="1:17" ht="15.75" thickBot="1">
      <c r="A109" s="734"/>
      <c r="B109" s="744"/>
      <c r="C109" s="745">
        <v>100</v>
      </c>
      <c r="D109" s="745">
        <f>C109-$K34</f>
        <v>99.5</v>
      </c>
      <c r="E109" s="745">
        <f t="shared" ref="E109:M109" si="25">D109-$K34</f>
        <v>99</v>
      </c>
      <c r="F109" s="745">
        <f t="shared" si="25"/>
        <v>98.5</v>
      </c>
      <c r="G109" s="745">
        <f t="shared" si="25"/>
        <v>98</v>
      </c>
      <c r="H109" s="745">
        <f t="shared" si="25"/>
        <v>97.5</v>
      </c>
      <c r="I109" s="745">
        <f t="shared" si="25"/>
        <v>97</v>
      </c>
      <c r="J109" s="745">
        <f t="shared" si="25"/>
        <v>96.5</v>
      </c>
      <c r="K109" s="745">
        <f t="shared" si="25"/>
        <v>96</v>
      </c>
      <c r="L109" s="745">
        <f t="shared" si="25"/>
        <v>95.5</v>
      </c>
      <c r="M109" s="745">
        <f t="shared" si="25"/>
        <v>95</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ht="42.75">
      <c r="A116" s="726" t="s">
        <v>422</v>
      </c>
      <c r="B116" s="727" t="s">
        <v>525</v>
      </c>
      <c r="C116" s="3059" t="str">
        <f t="shared" ref="C116:L116" si="26">C117&amp;"(含)"&amp;"-"&amp;D117</f>
        <v>0(含)-5000</v>
      </c>
      <c r="D116" s="3059" t="str">
        <f t="shared" si="26"/>
        <v>5000(含)-10000</v>
      </c>
      <c r="E116" s="3059" t="str">
        <f t="shared" si="26"/>
        <v>10000(含)-15000</v>
      </c>
      <c r="F116" s="3059" t="str">
        <f t="shared" si="26"/>
        <v>15000(含)-</v>
      </c>
      <c r="G116" s="3059" t="str">
        <f t="shared" si="26"/>
        <v>(含)-</v>
      </c>
      <c r="H116" s="3059" t="str">
        <f t="shared" si="26"/>
        <v>(含)-</v>
      </c>
      <c r="I116" s="3059" t="str">
        <f t="shared" si="26"/>
        <v>(含)-</v>
      </c>
      <c r="J116" s="3059" t="str">
        <f t="shared" si="26"/>
        <v>(含)-</v>
      </c>
      <c r="K116" s="3059" t="str">
        <f t="shared" si="26"/>
        <v>(含)-</v>
      </c>
      <c r="L116" s="3060" t="str">
        <f t="shared" si="26"/>
        <v>(含)-</v>
      </c>
      <c r="M116" s="3061" t="str">
        <f>M117&amp;"(含)"&amp;"-"&amp;P117</f>
        <v>(含)-</v>
      </c>
      <c r="N116" s="2228"/>
      <c r="O116" s="2228"/>
      <c r="P116" s="205"/>
      <c r="Q116" s="703"/>
    </row>
    <row r="117" spans="1:17" ht="15">
      <c r="A117" s="734"/>
      <c r="B117" s="747"/>
      <c r="C117" s="797">
        <v>0</v>
      </c>
      <c r="D117" s="797">
        <v>5000</v>
      </c>
      <c r="E117" s="797">
        <v>10000</v>
      </c>
      <c r="F117" s="797">
        <v>15000</v>
      </c>
      <c r="G117" s="797"/>
      <c r="H117" s="797"/>
      <c r="I117" s="797"/>
      <c r="J117" s="798"/>
      <c r="K117" s="798"/>
      <c r="L117" s="799"/>
      <c r="M117" s="800"/>
      <c r="N117" s="2228"/>
      <c r="O117" s="2228"/>
      <c r="P117" s="205"/>
      <c r="Q117" s="703"/>
    </row>
    <row r="118" spans="1:17" ht="15.75" thickBot="1">
      <c r="A118" s="734"/>
      <c r="B118" s="744"/>
      <c r="C118" s="772">
        <v>100</v>
      </c>
      <c r="D118" s="793">
        <v>102</v>
      </c>
      <c r="E118" s="793">
        <v>104</v>
      </c>
      <c r="F118" s="793">
        <v>106</v>
      </c>
      <c r="G118" s="793"/>
      <c r="H118" s="793"/>
      <c r="I118" s="793"/>
      <c r="J118" s="793"/>
      <c r="K118" s="793"/>
      <c r="L118" s="793"/>
      <c r="M118" s="794"/>
      <c r="N118" s="2229"/>
      <c r="O118" s="2229"/>
      <c r="P118" s="205"/>
      <c r="Q118" s="703"/>
    </row>
    <row r="119" spans="1:17" ht="27.75" thickTop="1">
      <c r="A119" s="801"/>
      <c r="B119" s="739" t="s">
        <v>526</v>
      </c>
      <c r="C119" s="78" t="s">
        <v>3336</v>
      </c>
      <c r="D119" s="78" t="s">
        <v>3338</v>
      </c>
      <c r="E119" s="78" t="s">
        <v>3339</v>
      </c>
      <c r="F119" s="78"/>
      <c r="G119" s="78"/>
      <c r="H119" s="78"/>
      <c r="I119" s="78"/>
      <c r="J119" s="78"/>
      <c r="K119" s="79"/>
      <c r="L119" s="80"/>
      <c r="M119" s="81"/>
      <c r="N119" s="2228"/>
      <c r="O119" s="2228"/>
      <c r="P119" s="205"/>
      <c r="Q119" s="703"/>
    </row>
    <row r="120" spans="1:17" ht="15.75" thickBot="1">
      <c r="A120" s="734"/>
      <c r="B120" s="744"/>
      <c r="C120" s="745">
        <v>100</v>
      </c>
      <c r="D120" s="745">
        <f t="shared" ref="D120:M120" si="27">C120-$K39</f>
        <v>100</v>
      </c>
      <c r="E120" s="745">
        <f t="shared" si="27"/>
        <v>100</v>
      </c>
      <c r="F120" s="745">
        <f t="shared" si="27"/>
        <v>100</v>
      </c>
      <c r="G120" s="745">
        <f t="shared" si="27"/>
        <v>100</v>
      </c>
      <c r="H120" s="745">
        <f t="shared" si="27"/>
        <v>100</v>
      </c>
      <c r="I120" s="745">
        <f t="shared" si="27"/>
        <v>100</v>
      </c>
      <c r="J120" s="745">
        <f t="shared" si="27"/>
        <v>100</v>
      </c>
      <c r="K120" s="745">
        <f t="shared" si="27"/>
        <v>100</v>
      </c>
      <c r="L120" s="745">
        <f t="shared" si="27"/>
        <v>100</v>
      </c>
      <c r="M120" s="746">
        <f t="shared" si="27"/>
        <v>100</v>
      </c>
      <c r="N120" s="2229"/>
      <c r="O120" s="2229"/>
      <c r="P120" s="205"/>
      <c r="Q120" s="703"/>
    </row>
    <row r="121" spans="1:17" ht="27.75" thickTop="1">
      <c r="A121" s="801"/>
      <c r="B121" s="739" t="s">
        <v>527</v>
      </c>
      <c r="C121" s="86" t="s">
        <v>3340</v>
      </c>
      <c r="D121" s="86" t="s">
        <v>3342</v>
      </c>
      <c r="E121" s="86" t="s">
        <v>3343</v>
      </c>
      <c r="F121" s="78"/>
      <c r="G121" s="78"/>
      <c r="H121" s="78"/>
      <c r="I121" s="78"/>
      <c r="J121" s="78"/>
      <c r="K121" s="79"/>
      <c r="L121" s="80"/>
      <c r="M121" s="81"/>
      <c r="N121" s="2228"/>
      <c r="O121" s="2228"/>
      <c r="P121" s="205"/>
      <c r="Q121" s="703"/>
    </row>
    <row r="122" spans="1:17" ht="15.75" thickBot="1">
      <c r="A122" s="734"/>
      <c r="B122" s="744"/>
      <c r="C122" s="745">
        <v>100</v>
      </c>
      <c r="D122" s="745">
        <f t="shared" ref="D122:M122" si="28">C122-$K40</f>
        <v>100</v>
      </c>
      <c r="E122" s="745">
        <f t="shared" si="28"/>
        <v>100</v>
      </c>
      <c r="F122" s="745">
        <f t="shared" si="28"/>
        <v>100</v>
      </c>
      <c r="G122" s="745">
        <f t="shared" si="28"/>
        <v>100</v>
      </c>
      <c r="H122" s="745">
        <f t="shared" si="28"/>
        <v>100</v>
      </c>
      <c r="I122" s="745">
        <f t="shared" si="28"/>
        <v>100</v>
      </c>
      <c r="J122" s="745">
        <f t="shared" si="28"/>
        <v>100</v>
      </c>
      <c r="K122" s="745">
        <f t="shared" si="28"/>
        <v>100</v>
      </c>
      <c r="L122" s="745">
        <f t="shared" si="28"/>
        <v>100</v>
      </c>
      <c r="M122" s="746">
        <f t="shared" si="28"/>
        <v>100</v>
      </c>
      <c r="N122" s="2229"/>
      <c r="O122" s="2229"/>
      <c r="P122" s="205"/>
      <c r="Q122" s="703"/>
    </row>
    <row r="123" spans="1:17" s="670" customFormat="1" ht="15" thickTop="1">
      <c r="A123" s="795"/>
      <c r="B123" s="917" t="s">
        <v>2415</v>
      </c>
      <c r="C123" s="86" t="s">
        <v>3344</v>
      </c>
      <c r="D123" s="86" t="s">
        <v>3345</v>
      </c>
      <c r="E123" s="86" t="s">
        <v>3346</v>
      </c>
      <c r="F123" s="86" t="s">
        <v>3347</v>
      </c>
      <c r="G123" s="86" t="s">
        <v>3348</v>
      </c>
      <c r="H123" s="78"/>
      <c r="I123" s="78"/>
      <c r="J123" s="78"/>
      <c r="K123" s="79"/>
      <c r="L123" s="80"/>
      <c r="M123" s="81"/>
      <c r="N123" s="2230"/>
      <c r="O123" s="2230"/>
      <c r="P123" s="760"/>
      <c r="Q123" s="761"/>
    </row>
    <row r="124" spans="1:17" s="670" customFormat="1" ht="15.75" thickBot="1">
      <c r="A124" s="754"/>
      <c r="B124" s="744"/>
      <c r="C124" s="745">
        <v>100</v>
      </c>
      <c r="D124" s="745">
        <f>C124-$K41</f>
        <v>99.5</v>
      </c>
      <c r="E124" s="745">
        <f t="shared" ref="E124:M124" si="29">D124-$K41</f>
        <v>99</v>
      </c>
      <c r="F124" s="745">
        <f t="shared" si="29"/>
        <v>98.5</v>
      </c>
      <c r="G124" s="745">
        <f t="shared" si="29"/>
        <v>98</v>
      </c>
      <c r="H124" s="745">
        <f t="shared" si="29"/>
        <v>97.5</v>
      </c>
      <c r="I124" s="745">
        <f t="shared" si="29"/>
        <v>97</v>
      </c>
      <c r="J124" s="745">
        <f t="shared" si="29"/>
        <v>96.5</v>
      </c>
      <c r="K124" s="745">
        <f t="shared" si="29"/>
        <v>96</v>
      </c>
      <c r="L124" s="745">
        <f t="shared" si="29"/>
        <v>95.5</v>
      </c>
      <c r="M124" s="746">
        <f t="shared" si="29"/>
        <v>95</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30">C126-$K42</f>
        <v>100</v>
      </c>
      <c r="E126" s="745">
        <f t="shared" si="30"/>
        <v>100</v>
      </c>
      <c r="F126" s="745">
        <f t="shared" si="30"/>
        <v>100</v>
      </c>
      <c r="G126" s="745">
        <f t="shared" si="30"/>
        <v>100</v>
      </c>
      <c r="H126" s="745">
        <f t="shared" si="30"/>
        <v>100</v>
      </c>
      <c r="I126" s="745">
        <f t="shared" si="30"/>
        <v>100</v>
      </c>
      <c r="J126" s="745">
        <f t="shared" si="30"/>
        <v>100</v>
      </c>
      <c r="K126" s="745">
        <f t="shared" si="30"/>
        <v>100</v>
      </c>
      <c r="L126" s="745">
        <f t="shared" si="30"/>
        <v>100</v>
      </c>
      <c r="M126" s="746">
        <f t="shared" si="30"/>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2196</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58" t="s">
        <v>405</v>
      </c>
      <c r="D4" s="3559"/>
      <c r="E4" s="3560" t="s">
        <v>406</v>
      </c>
      <c r="F4" s="3561"/>
      <c r="G4" s="3558" t="s">
        <v>407</v>
      </c>
      <c r="H4" s="3559"/>
      <c r="I4" s="3558" t="s">
        <v>408</v>
      </c>
      <c r="J4" s="3559"/>
      <c r="K4" s="812" t="s">
        <v>409</v>
      </c>
      <c r="L4" s="2204"/>
      <c r="M4" s="2205"/>
      <c r="N4" s="2205"/>
      <c r="O4" s="2205"/>
      <c r="P4" s="3562" t="s">
        <v>410</v>
      </c>
      <c r="Q4" s="3563"/>
      <c r="R4" s="3568" t="s">
        <v>406</v>
      </c>
      <c r="S4" s="3569"/>
      <c r="T4" s="3568" t="s">
        <v>407</v>
      </c>
      <c r="U4" s="3569"/>
      <c r="V4" s="3574" t="s">
        <v>408</v>
      </c>
      <c r="W4" s="3574"/>
      <c r="X4" s="1109"/>
      <c r="Y4" s="3568" t="s">
        <v>410</v>
      </c>
      <c r="Z4" s="3569"/>
      <c r="AA4" s="3555" t="s">
        <v>406</v>
      </c>
      <c r="AB4" s="3556" t="s">
        <v>407</v>
      </c>
      <c r="AC4" s="3555" t="s">
        <v>408</v>
      </c>
    </row>
    <row r="5" spans="1:29" ht="15">
      <c r="A5" s="601"/>
      <c r="B5" s="602"/>
      <c r="C5" s="3478" t="s">
        <v>1037</v>
      </c>
      <c r="D5" s="3479"/>
      <c r="E5" s="3536" t="s">
        <v>1038</v>
      </c>
      <c r="F5" s="3537"/>
      <c r="G5" s="3478" t="s">
        <v>1041</v>
      </c>
      <c r="H5" s="3479"/>
      <c r="I5" s="3478" t="s">
        <v>1039</v>
      </c>
      <c r="J5" s="3479"/>
      <c r="K5" s="812"/>
      <c r="L5" s="2204"/>
      <c r="M5" s="2205"/>
      <c r="N5" s="2205"/>
      <c r="O5" s="2205"/>
      <c r="P5" s="3564"/>
      <c r="Q5" s="3565"/>
      <c r="R5" s="3570"/>
      <c r="S5" s="3571"/>
      <c r="T5" s="3570"/>
      <c r="U5" s="3571"/>
      <c r="V5" s="3574"/>
      <c r="W5" s="3574"/>
      <c r="X5" s="1109"/>
      <c r="Y5" s="3570"/>
      <c r="Z5" s="3571"/>
      <c r="AA5" s="3556"/>
      <c r="AB5" s="3556"/>
      <c r="AC5" s="3556"/>
    </row>
    <row r="6" spans="1:29" ht="15.75" thickBot="1">
      <c r="A6" s="603"/>
      <c r="B6" s="604"/>
      <c r="C6" s="3480" t="s">
        <v>1040</v>
      </c>
      <c r="D6" s="3481"/>
      <c r="E6" s="3482" t="s">
        <v>1040</v>
      </c>
      <c r="F6" s="3483"/>
      <c r="G6" s="3480" t="s">
        <v>1040</v>
      </c>
      <c r="H6" s="3481"/>
      <c r="I6" s="3480" t="s">
        <v>1040</v>
      </c>
      <c r="J6" s="3481"/>
      <c r="K6" s="812" t="s">
        <v>411</v>
      </c>
      <c r="L6" s="2204"/>
      <c r="M6" s="2205"/>
      <c r="N6" s="2205"/>
      <c r="O6" s="2205"/>
      <c r="P6" s="3566"/>
      <c r="Q6" s="3567"/>
      <c r="R6" s="3570"/>
      <c r="S6" s="3571"/>
      <c r="T6" s="3572"/>
      <c r="U6" s="3573"/>
      <c r="V6" s="3574"/>
      <c r="W6" s="3574"/>
      <c r="X6" s="1109"/>
      <c r="Y6" s="3572"/>
      <c r="Z6" s="3573"/>
      <c r="AA6" s="3557"/>
      <c r="AB6" s="3557"/>
      <c r="AC6" s="3557"/>
    </row>
    <row r="7" spans="1:29" s="218" customFormat="1" ht="15.75" thickBot="1">
      <c r="A7" s="605" t="s">
        <v>412</v>
      </c>
      <c r="B7" s="606"/>
      <c r="C7" s="607">
        <f>'数据-取费表'!B2</f>
        <v>39996</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53" t="s">
        <v>413</v>
      </c>
      <c r="Q7" s="3577"/>
      <c r="R7" s="1110" t="s">
        <v>61</v>
      </c>
      <c r="S7" s="1111">
        <f t="shared" ref="S7:S15" si="0">F7</f>
        <v>0</v>
      </c>
      <c r="T7" s="1110" t="s">
        <v>61</v>
      </c>
      <c r="U7" s="1111">
        <f t="shared" ref="U7:U15" si="1">H7</f>
        <v>0</v>
      </c>
      <c r="V7" s="1110" t="s">
        <v>61</v>
      </c>
      <c r="W7" s="1111">
        <f t="shared" ref="W7:W15" si="2">J7</f>
        <v>0</v>
      </c>
      <c r="X7" s="1112"/>
      <c r="Y7" s="3553" t="s">
        <v>413</v>
      </c>
      <c r="Z7" s="3554"/>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550" t="s">
        <v>416</v>
      </c>
      <c r="Q9" s="192" t="str">
        <f t="shared" ref="Q9:Q15" si="6">B9</f>
        <v>用途</v>
      </c>
      <c r="R9" s="1110" t="s">
        <v>61</v>
      </c>
      <c r="S9" s="1111">
        <f t="shared" si="0"/>
        <v>100</v>
      </c>
      <c r="T9" s="1110" t="s">
        <v>61</v>
      </c>
      <c r="U9" s="1111">
        <f t="shared" si="1"/>
        <v>100</v>
      </c>
      <c r="V9" s="1110" t="s">
        <v>61</v>
      </c>
      <c r="W9" s="1111">
        <f t="shared" si="2"/>
        <v>100</v>
      </c>
      <c r="X9" s="1112"/>
      <c r="Y9" s="3386"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09"/>
      <c r="M10" s="2210"/>
      <c r="N10" s="2210"/>
      <c r="O10" s="2211"/>
      <c r="P10" s="3550"/>
      <c r="Q10" s="192" t="str">
        <f t="shared" si="6"/>
        <v>土地使用年限（年）</v>
      </c>
      <c r="R10" s="1110" t="s">
        <v>61</v>
      </c>
      <c r="S10" s="1111">
        <f t="shared" si="0"/>
        <v>100</v>
      </c>
      <c r="T10" s="1110" t="s">
        <v>61</v>
      </c>
      <c r="U10" s="1111">
        <f t="shared" si="1"/>
        <v>100</v>
      </c>
      <c r="V10" s="1110" t="s">
        <v>61</v>
      </c>
      <c r="W10" s="1111">
        <f t="shared" si="2"/>
        <v>100</v>
      </c>
      <c r="X10" s="1112"/>
      <c r="Y10" s="3386"/>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550"/>
      <c r="Q11" s="192" t="str">
        <f t="shared" si="6"/>
        <v>容积率</v>
      </c>
      <c r="R11" s="1110" t="s">
        <v>61</v>
      </c>
      <c r="S11" s="1111" t="e">
        <f t="shared" si="0"/>
        <v>#N/A</v>
      </c>
      <c r="T11" s="1110" t="s">
        <v>61</v>
      </c>
      <c r="U11" s="1111" t="e">
        <f t="shared" si="1"/>
        <v>#N/A</v>
      </c>
      <c r="V11" s="1110" t="s">
        <v>61</v>
      </c>
      <c r="W11" s="1111" t="e">
        <f t="shared" si="2"/>
        <v>#N/A</v>
      </c>
      <c r="X11" s="1112"/>
      <c r="Y11" s="3386"/>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550"/>
      <c r="Q12" s="192">
        <f t="shared" si="6"/>
        <v>111</v>
      </c>
      <c r="R12" s="1110" t="s">
        <v>61</v>
      </c>
      <c r="S12" s="1111">
        <f t="shared" si="0"/>
        <v>100</v>
      </c>
      <c r="T12" s="1110" t="s">
        <v>61</v>
      </c>
      <c r="U12" s="1111">
        <f t="shared" si="1"/>
        <v>100</v>
      </c>
      <c r="V12" s="1110" t="s">
        <v>61</v>
      </c>
      <c r="W12" s="1111">
        <f t="shared" si="2"/>
        <v>100</v>
      </c>
      <c r="X12" s="1112"/>
      <c r="Y12" s="3386"/>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550"/>
      <c r="Q13" s="192">
        <f t="shared" si="6"/>
        <v>111</v>
      </c>
      <c r="R13" s="1110" t="s">
        <v>61</v>
      </c>
      <c r="S13" s="1111">
        <f t="shared" si="0"/>
        <v>100</v>
      </c>
      <c r="T13" s="1110" t="s">
        <v>61</v>
      </c>
      <c r="U13" s="1111">
        <f t="shared" si="1"/>
        <v>100</v>
      </c>
      <c r="V13" s="1110" t="s">
        <v>61</v>
      </c>
      <c r="W13" s="1111">
        <f t="shared" si="2"/>
        <v>100</v>
      </c>
      <c r="X13" s="1112"/>
      <c r="Y13" s="3386"/>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550"/>
      <c r="Q14" s="192">
        <f t="shared" si="6"/>
        <v>111</v>
      </c>
      <c r="R14" s="1110" t="s">
        <v>61</v>
      </c>
      <c r="S14" s="1111">
        <f t="shared" si="0"/>
        <v>100</v>
      </c>
      <c r="T14" s="1110" t="s">
        <v>61</v>
      </c>
      <c r="U14" s="1111">
        <f t="shared" si="1"/>
        <v>100</v>
      </c>
      <c r="V14" s="1110" t="s">
        <v>61</v>
      </c>
      <c r="W14" s="1111">
        <f t="shared" si="2"/>
        <v>100</v>
      </c>
      <c r="X14" s="1112"/>
      <c r="Y14" s="3386"/>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78" t="s">
        <v>421</v>
      </c>
      <c r="Q15" s="1114" t="str">
        <f t="shared" si="6"/>
        <v>产业集聚程度</v>
      </c>
      <c r="R15" s="1115" t="s">
        <v>61</v>
      </c>
      <c r="S15" s="1116">
        <f t="shared" si="0"/>
        <v>100</v>
      </c>
      <c r="T15" s="1115" t="s">
        <v>61</v>
      </c>
      <c r="U15" s="1116">
        <f t="shared" si="1"/>
        <v>100</v>
      </c>
      <c r="V15" s="1115" t="s">
        <v>61</v>
      </c>
      <c r="W15" s="1116">
        <f t="shared" si="2"/>
        <v>100</v>
      </c>
      <c r="X15" s="1109"/>
      <c r="Y15" s="3578"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79"/>
      <c r="Q16" s="1114"/>
      <c r="R16" s="1115"/>
      <c r="S16" s="1116"/>
      <c r="T16" s="1115"/>
      <c r="U16" s="1116"/>
      <c r="V16" s="1115"/>
      <c r="W16" s="1116"/>
      <c r="X16" s="1109"/>
      <c r="Y16" s="3579"/>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79"/>
      <c r="Q17" s="1114" t="str">
        <f>B17</f>
        <v>交通便捷度</v>
      </c>
      <c r="R17" s="1115" t="s">
        <v>61</v>
      </c>
      <c r="S17" s="1116">
        <f>F17</f>
        <v>100</v>
      </c>
      <c r="T17" s="1115" t="s">
        <v>61</v>
      </c>
      <c r="U17" s="1116">
        <f>H17</f>
        <v>100</v>
      </c>
      <c r="V17" s="1115" t="s">
        <v>61</v>
      </c>
      <c r="W17" s="1116">
        <f>J17</f>
        <v>100</v>
      </c>
      <c r="X17" s="1109"/>
      <c r="Y17" s="3579"/>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79"/>
      <c r="Q18" s="1114"/>
      <c r="R18" s="1115"/>
      <c r="S18" s="1116"/>
      <c r="T18" s="1115"/>
      <c r="U18" s="1116"/>
      <c r="V18" s="1115"/>
      <c r="W18" s="1116"/>
      <c r="X18" s="1109"/>
      <c r="Y18" s="3579"/>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79"/>
      <c r="Q19" s="1114" t="str">
        <f t="shared" ref="Q19:Q33" si="8">B19</f>
        <v>区域土地利用方向</v>
      </c>
      <c r="R19" s="1115" t="s">
        <v>61</v>
      </c>
      <c r="S19" s="1116">
        <f>F19</f>
        <v>100</v>
      </c>
      <c r="T19" s="1115" t="s">
        <v>61</v>
      </c>
      <c r="U19" s="1116">
        <f>H19</f>
        <v>100</v>
      </c>
      <c r="V19" s="1115" t="s">
        <v>61</v>
      </c>
      <c r="W19" s="1116">
        <f>J19</f>
        <v>100</v>
      </c>
      <c r="X19" s="1109"/>
      <c r="Y19" s="3579"/>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79"/>
      <c r="Q20" s="1282"/>
      <c r="R20" s="1115"/>
      <c r="S20" s="1116"/>
      <c r="T20" s="1115"/>
      <c r="U20" s="1116"/>
      <c r="V20" s="1115"/>
      <c r="W20" s="1116"/>
      <c r="X20" s="1281"/>
      <c r="Y20" s="3579"/>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79"/>
      <c r="Q21" s="1114" t="str">
        <f t="shared" si="8"/>
        <v>环境状况</v>
      </c>
      <c r="R21" s="1115" t="s">
        <v>61</v>
      </c>
      <c r="S21" s="1116">
        <f>F21</f>
        <v>100</v>
      </c>
      <c r="T21" s="1115" t="s">
        <v>61</v>
      </c>
      <c r="U21" s="1116">
        <f>H21</f>
        <v>100</v>
      </c>
      <c r="V21" s="1115" t="s">
        <v>61</v>
      </c>
      <c r="W21" s="1116">
        <f>J21</f>
        <v>100</v>
      </c>
      <c r="X21" s="1109"/>
      <c r="Y21" s="3579"/>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79"/>
      <c r="Q22" s="1114"/>
      <c r="R22" s="1115"/>
      <c r="S22" s="1116"/>
      <c r="T22" s="1115"/>
      <c r="U22" s="1116"/>
      <c r="V22" s="1115"/>
      <c r="W22" s="1116"/>
      <c r="X22" s="1109"/>
      <c r="Y22" s="3579"/>
      <c r="Z22" s="1117"/>
      <c r="AA22" s="1118">
        <v>1</v>
      </c>
      <c r="AB22" s="1118">
        <v>1</v>
      </c>
      <c r="AC22" s="1118">
        <v>1</v>
      </c>
    </row>
    <row r="23" spans="1:29" s="218" customFormat="1" ht="40.5">
      <c r="A23" s="851"/>
      <c r="B23" s="892" t="s">
        <v>2543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79"/>
      <c r="Q23" s="192" t="str">
        <f t="shared" si="8"/>
        <v>公共配套设施</v>
      </c>
      <c r="R23" s="1110" t="s">
        <v>61</v>
      </c>
      <c r="S23" s="1111">
        <f>F23</f>
        <v>100</v>
      </c>
      <c r="T23" s="1110" t="s">
        <v>61</v>
      </c>
      <c r="U23" s="1111">
        <f>H23</f>
        <v>100</v>
      </c>
      <c r="V23" s="1110" t="s">
        <v>61</v>
      </c>
      <c r="W23" s="1111">
        <f>J23</f>
        <v>100</v>
      </c>
      <c r="X23" s="1112"/>
      <c r="Y23" s="3579"/>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79"/>
      <c r="Q24" s="192"/>
      <c r="R24" s="1110"/>
      <c r="S24" s="1111"/>
      <c r="T24" s="1110"/>
      <c r="U24" s="1111"/>
      <c r="V24" s="1110"/>
      <c r="W24" s="1111"/>
      <c r="X24" s="1112"/>
      <c r="Y24" s="3579"/>
      <c r="Z24" s="206"/>
      <c r="AA24" s="1113">
        <v>1</v>
      </c>
      <c r="AB24" s="1113">
        <v>1</v>
      </c>
      <c r="AC24" s="1113">
        <v>1</v>
      </c>
    </row>
    <row r="25" spans="1:29" s="218" customFormat="1" ht="40.5">
      <c r="A25" s="851"/>
      <c r="B25" s="894" t="s">
        <v>2550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79"/>
      <c r="Q25" s="2545" t="str">
        <f t="shared" ref="Q25" si="9">B25</f>
        <v>基础设施水平</v>
      </c>
      <c r="R25" s="1110" t="s">
        <v>61</v>
      </c>
      <c r="S25" s="1111">
        <f>F25</f>
        <v>100</v>
      </c>
      <c r="T25" s="1110" t="s">
        <v>61</v>
      </c>
      <c r="U25" s="1111">
        <f>H25</f>
        <v>100</v>
      </c>
      <c r="V25" s="1110" t="s">
        <v>61</v>
      </c>
      <c r="W25" s="1111">
        <f>J25</f>
        <v>100</v>
      </c>
      <c r="X25" s="1112"/>
      <c r="Y25" s="3579"/>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79"/>
      <c r="Q26" s="2545"/>
      <c r="R26" s="1110"/>
      <c r="S26" s="1111"/>
      <c r="T26" s="1110"/>
      <c r="U26" s="1111"/>
      <c r="V26" s="1110"/>
      <c r="W26" s="1111"/>
      <c r="X26" s="1112"/>
      <c r="Y26" s="3579"/>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79"/>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79"/>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79"/>
      <c r="Q28" s="1114" t="str">
        <f t="shared" si="8"/>
        <v>毗邻道路的类型与等级</v>
      </c>
      <c r="R28" s="1115" t="s">
        <v>61</v>
      </c>
      <c r="S28" s="1116">
        <f t="shared" si="10"/>
        <v>100</v>
      </c>
      <c r="T28" s="1115" t="s">
        <v>61</v>
      </c>
      <c r="U28" s="1116">
        <f t="shared" si="11"/>
        <v>100</v>
      </c>
      <c r="V28" s="1115" t="s">
        <v>61</v>
      </c>
      <c r="W28" s="1116">
        <f t="shared" si="12"/>
        <v>100</v>
      </c>
      <c r="X28" s="1109"/>
      <c r="Y28" s="3579"/>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79"/>
      <c r="Q29" s="1114"/>
      <c r="R29" s="1115"/>
      <c r="S29" s="1116"/>
      <c r="T29" s="1115"/>
      <c r="U29" s="1116"/>
      <c r="V29" s="1115"/>
      <c r="W29" s="1116"/>
      <c r="X29" s="1109"/>
      <c r="Y29" s="3579"/>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79"/>
      <c r="Q30" s="1114" t="str">
        <f t="shared" si="8"/>
        <v>土地级别</v>
      </c>
      <c r="R30" s="1115" t="s">
        <v>61</v>
      </c>
      <c r="S30" s="1116">
        <f t="shared" si="10"/>
        <v>100</v>
      </c>
      <c r="T30" s="1115" t="s">
        <v>61</v>
      </c>
      <c r="U30" s="1116">
        <f t="shared" si="11"/>
        <v>100</v>
      </c>
      <c r="V30" s="1115" t="s">
        <v>61</v>
      </c>
      <c r="W30" s="1116">
        <f t="shared" si="12"/>
        <v>100</v>
      </c>
      <c r="X30" s="1109"/>
      <c r="Y30" s="3579"/>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79"/>
      <c r="Q31" s="1114">
        <f t="shared" si="8"/>
        <v>111</v>
      </c>
      <c r="R31" s="1115" t="s">
        <v>61</v>
      </c>
      <c r="S31" s="1116">
        <f t="shared" si="10"/>
        <v>100</v>
      </c>
      <c r="T31" s="1115" t="s">
        <v>61</v>
      </c>
      <c r="U31" s="1116">
        <f t="shared" si="11"/>
        <v>100</v>
      </c>
      <c r="V31" s="1115" t="s">
        <v>61</v>
      </c>
      <c r="W31" s="1116">
        <f t="shared" si="12"/>
        <v>100</v>
      </c>
      <c r="X31" s="1109"/>
      <c r="Y31" s="3579"/>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80" t="s">
        <v>423</v>
      </c>
      <c r="Q32" s="1114">
        <f t="shared" si="8"/>
        <v>111</v>
      </c>
      <c r="R32" s="1115" t="s">
        <v>61</v>
      </c>
      <c r="S32" s="1116">
        <f t="shared" si="10"/>
        <v>100</v>
      </c>
      <c r="T32" s="1115" t="s">
        <v>61</v>
      </c>
      <c r="U32" s="1116">
        <f t="shared" si="11"/>
        <v>100</v>
      </c>
      <c r="V32" s="1115" t="s">
        <v>61</v>
      </c>
      <c r="W32" s="1116">
        <f t="shared" si="12"/>
        <v>100</v>
      </c>
      <c r="X32" s="1109"/>
      <c r="Y32" s="3581"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81"/>
      <c r="Q33" s="1114">
        <f t="shared" si="8"/>
        <v>111</v>
      </c>
      <c r="R33" s="1120" t="s">
        <v>61</v>
      </c>
      <c r="S33" s="1121">
        <f t="shared" si="10"/>
        <v>100</v>
      </c>
      <c r="T33" s="1120" t="s">
        <v>61</v>
      </c>
      <c r="U33" s="1121">
        <f t="shared" si="11"/>
        <v>100</v>
      </c>
      <c r="V33" s="1120" t="s">
        <v>61</v>
      </c>
      <c r="W33" s="1121">
        <f t="shared" si="12"/>
        <v>100</v>
      </c>
      <c r="X33" s="1122"/>
      <c r="Y33" s="3581"/>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81"/>
      <c r="Q34" s="1114" t="str">
        <f>B34</f>
        <v>宗地面积</v>
      </c>
      <c r="R34" s="1115" t="s">
        <v>61</v>
      </c>
      <c r="S34" s="1116" t="e">
        <f t="shared" si="10"/>
        <v>#N/A</v>
      </c>
      <c r="T34" s="1115" t="s">
        <v>61</v>
      </c>
      <c r="U34" s="1116" t="e">
        <f t="shared" si="11"/>
        <v>#N/A</v>
      </c>
      <c r="V34" s="1115" t="s">
        <v>61</v>
      </c>
      <c r="W34" s="1116" t="e">
        <f t="shared" si="12"/>
        <v>#N/A</v>
      </c>
      <c r="X34" s="1109"/>
      <c r="Y34" s="3581"/>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81"/>
      <c r="Q35" s="1114" t="str">
        <f t="shared" ref="Q35:Q40" si="14">B35</f>
        <v>宗地形状</v>
      </c>
      <c r="R35" s="1115" t="s">
        <v>61</v>
      </c>
      <c r="S35" s="1116">
        <f t="shared" si="10"/>
        <v>100</v>
      </c>
      <c r="T35" s="1115" t="s">
        <v>61</v>
      </c>
      <c r="U35" s="1116">
        <f t="shared" si="11"/>
        <v>100</v>
      </c>
      <c r="V35" s="1115" t="s">
        <v>61</v>
      </c>
      <c r="W35" s="1116">
        <f t="shared" si="12"/>
        <v>100</v>
      </c>
      <c r="X35" s="1109"/>
      <c r="Y35" s="3581"/>
      <c r="Z35" s="1117" t="str">
        <f t="shared" si="13"/>
        <v>宗地形状</v>
      </c>
      <c r="AA35" s="1118">
        <f t="shared" si="3"/>
        <v>1</v>
      </c>
      <c r="AB35" s="1118">
        <f t="shared" si="4"/>
        <v>1</v>
      </c>
      <c r="AC35" s="1118">
        <f t="shared" si="5"/>
        <v>1</v>
      </c>
    </row>
    <row r="36" spans="1:29" s="218" customFormat="1" ht="15">
      <c r="A36" s="672"/>
      <c r="B36" s="2423" t="s">
        <v>2414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81"/>
      <c r="Q36" s="1114" t="str">
        <f t="shared" si="14"/>
        <v>宗地开发程度</v>
      </c>
      <c r="R36" s="1110" t="s">
        <v>61</v>
      </c>
      <c r="S36" s="1111">
        <f t="shared" si="10"/>
        <v>100</v>
      </c>
      <c r="T36" s="1110" t="s">
        <v>61</v>
      </c>
      <c r="U36" s="1111">
        <f t="shared" si="11"/>
        <v>100</v>
      </c>
      <c r="V36" s="1110" t="s">
        <v>61</v>
      </c>
      <c r="W36" s="1111">
        <f t="shared" si="12"/>
        <v>100</v>
      </c>
      <c r="X36" s="1112"/>
      <c r="Y36" s="3581"/>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81" t="s">
        <v>532</v>
      </c>
      <c r="Q37" s="1114" t="str">
        <f t="shared" si="14"/>
        <v>工程地质条件</v>
      </c>
      <c r="R37" s="1115" t="s">
        <v>61</v>
      </c>
      <c r="S37" s="1116">
        <f t="shared" si="10"/>
        <v>100</v>
      </c>
      <c r="T37" s="1115" t="s">
        <v>61</v>
      </c>
      <c r="U37" s="1116">
        <f t="shared" si="11"/>
        <v>100</v>
      </c>
      <c r="V37" s="1115" t="s">
        <v>61</v>
      </c>
      <c r="W37" s="1116">
        <f t="shared" si="12"/>
        <v>100</v>
      </c>
      <c r="X37" s="1109"/>
      <c r="Y37" s="3581"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81"/>
      <c r="Q38" s="1114">
        <f t="shared" si="14"/>
        <v>111</v>
      </c>
      <c r="R38" s="1115" t="s">
        <v>61</v>
      </c>
      <c r="S38" s="1116">
        <f t="shared" si="10"/>
        <v>100</v>
      </c>
      <c r="T38" s="1115" t="s">
        <v>61</v>
      </c>
      <c r="U38" s="1116">
        <f t="shared" si="11"/>
        <v>100</v>
      </c>
      <c r="V38" s="1115" t="s">
        <v>61</v>
      </c>
      <c r="W38" s="1116">
        <f t="shared" si="12"/>
        <v>100</v>
      </c>
      <c r="X38" s="1109"/>
      <c r="Y38" s="3581"/>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81"/>
      <c r="Q39" s="1114">
        <f t="shared" si="14"/>
        <v>111</v>
      </c>
      <c r="R39" s="1115" t="s">
        <v>61</v>
      </c>
      <c r="S39" s="1116">
        <f t="shared" si="10"/>
        <v>100</v>
      </c>
      <c r="T39" s="1115" t="s">
        <v>61</v>
      </c>
      <c r="U39" s="1116">
        <f t="shared" si="11"/>
        <v>100</v>
      </c>
      <c r="V39" s="1115" t="s">
        <v>61</v>
      </c>
      <c r="W39" s="1116">
        <f t="shared" si="12"/>
        <v>100</v>
      </c>
      <c r="X39" s="1109"/>
      <c r="Y39" s="3581"/>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81"/>
      <c r="Q40" s="1114">
        <f t="shared" si="14"/>
        <v>111</v>
      </c>
      <c r="R40" s="1120" t="s">
        <v>61</v>
      </c>
      <c r="S40" s="1121">
        <f t="shared" si="10"/>
        <v>100</v>
      </c>
      <c r="T40" s="1120" t="s">
        <v>61</v>
      </c>
      <c r="U40" s="1121">
        <f t="shared" si="11"/>
        <v>100</v>
      </c>
      <c r="V40" s="1120" t="s">
        <v>61</v>
      </c>
      <c r="W40" s="1121">
        <f t="shared" si="12"/>
        <v>100</v>
      </c>
      <c r="X40" s="1122"/>
      <c r="Y40" s="3581"/>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550" t="str">
        <f>A41</f>
        <v>成交单价</v>
      </c>
      <c r="Q41" s="3550"/>
      <c r="R41" s="3574">
        <f>E41</f>
        <v>0</v>
      </c>
      <c r="S41" s="3574"/>
      <c r="T41" s="3574">
        <f>G41</f>
        <v>0</v>
      </c>
      <c r="U41" s="3574"/>
      <c r="V41" s="3574">
        <f>I41</f>
        <v>0</v>
      </c>
      <c r="W41" s="3574"/>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550" t="str">
        <f>A42</f>
        <v>比较价值（元/平方米）</v>
      </c>
      <c r="Q42" s="3550"/>
      <c r="R42" s="3586" t="e">
        <f>ROUND(PRODUCT(R41,AA7:AA40),0)</f>
        <v>#DIV/0!</v>
      </c>
      <c r="S42" s="3586"/>
      <c r="T42" s="3586" t="e">
        <f>ROUND(PRODUCT(T41,AB7:AB40),0)</f>
        <v>#DIV/0!</v>
      </c>
      <c r="U42" s="3586"/>
      <c r="V42" s="3586" t="e">
        <f>ROUND(PRODUCT(V41,AC7:AC40),0)</f>
        <v>#DIV/0!</v>
      </c>
      <c r="W42" s="3586"/>
      <c r="X42" s="1098"/>
      <c r="Y42" s="1098"/>
      <c r="Z42" s="1098"/>
      <c r="AA42" s="1098"/>
      <c r="AB42" s="1098"/>
      <c r="AC42" s="1098"/>
    </row>
    <row r="43" spans="1:29" ht="15.75" thickBot="1">
      <c r="A43" s="62" t="s">
        <v>2882</v>
      </c>
      <c r="B43" s="692"/>
      <c r="C43" s="693" t="e">
        <f>R43</f>
        <v>#DIV/0!</v>
      </c>
      <c r="D43" s="693"/>
      <c r="E43" s="693"/>
      <c r="F43" s="693"/>
      <c r="G43" s="693"/>
      <c r="H43" s="693"/>
      <c r="I43" s="693"/>
      <c r="J43" s="693"/>
      <c r="K43" s="1194"/>
      <c r="L43" s="2217"/>
      <c r="M43" s="2205"/>
      <c r="N43" s="2205"/>
      <c r="O43" s="2218"/>
      <c r="P43" s="3583" t="str">
        <f>A43</f>
        <v>估价对象XX用房的比较价值（楼面单价，元/平方米）</v>
      </c>
      <c r="Q43" s="3584"/>
      <c r="R43" s="3587" t="e">
        <f>ROUND(AVERAGE(R42:V42),0)</f>
        <v>#DIV/0!</v>
      </c>
      <c r="S43" s="3587"/>
      <c r="T43" s="3587"/>
      <c r="U43" s="3587"/>
      <c r="V43" s="3587"/>
      <c r="W43" s="3587"/>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1807</v>
      </c>
      <c r="D50" s="2264" t="s">
        <v>2223</v>
      </c>
      <c r="E50" s="957" t="s">
        <v>505</v>
      </c>
      <c r="F50" s="958" t="s">
        <v>506</v>
      </c>
      <c r="G50" s="1599" t="s">
        <v>1806</v>
      </c>
      <c r="H50" s="1599">
        <f>项目基本情况!G8</f>
        <v>0</v>
      </c>
      <c r="I50" s="2235" t="s">
        <v>1808</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2009-7-1</v>
      </c>
      <c r="D63" s="2795">
        <f>EDATE(C63,-3)</f>
        <v>39904</v>
      </c>
      <c r="E63" s="2795">
        <f t="shared" ref="E63:O63" si="18">EDATE(D63,-3)</f>
        <v>39814</v>
      </c>
      <c r="F63" s="2795">
        <f t="shared" si="18"/>
        <v>39722</v>
      </c>
      <c r="G63" s="2795">
        <f t="shared" si="18"/>
        <v>39630</v>
      </c>
      <c r="H63" s="2795">
        <f t="shared" si="18"/>
        <v>39539</v>
      </c>
      <c r="I63" s="2795">
        <f t="shared" si="18"/>
        <v>39448</v>
      </c>
      <c r="J63" s="2795">
        <f t="shared" si="18"/>
        <v>39356</v>
      </c>
      <c r="K63" s="2795">
        <f t="shared" si="18"/>
        <v>39264</v>
      </c>
      <c r="L63" s="2795">
        <f t="shared" si="18"/>
        <v>39173</v>
      </c>
      <c r="M63" s="2795">
        <f t="shared" si="18"/>
        <v>39083</v>
      </c>
      <c r="N63" s="2795">
        <f t="shared" si="18"/>
        <v>38991</v>
      </c>
      <c r="O63" s="2795">
        <f t="shared" si="18"/>
        <v>38899</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2655</v>
      </c>
      <c r="B65" s="2529"/>
      <c r="C65" s="2796" t="str">
        <f>YEAR(C63)&amp;"-"&amp;ROUNDUP(MONTH(C63)/3,0)</f>
        <v>2009-3</v>
      </c>
      <c r="D65" s="2796" t="str">
        <f t="shared" ref="D65:O65" si="19">YEAR(D63)&amp;"-"&amp;ROUNDUP(MONTH(D63)/3,0)</f>
        <v>2009-2</v>
      </c>
      <c r="E65" s="2796" t="str">
        <f t="shared" si="19"/>
        <v>2009-1</v>
      </c>
      <c r="F65" s="2796" t="str">
        <f t="shared" si="19"/>
        <v>2008-4</v>
      </c>
      <c r="G65" s="2796" t="str">
        <f t="shared" si="19"/>
        <v>2008-3</v>
      </c>
      <c r="H65" s="2796" t="str">
        <f t="shared" si="19"/>
        <v>2008-2</v>
      </c>
      <c r="I65" s="2796" t="str">
        <f t="shared" si="19"/>
        <v>2008-1</v>
      </c>
      <c r="J65" s="2796" t="str">
        <f t="shared" si="19"/>
        <v>2007-4</v>
      </c>
      <c r="K65" s="2796" t="str">
        <f t="shared" si="19"/>
        <v>2007-3</v>
      </c>
      <c r="L65" s="2796" t="str">
        <f t="shared" si="19"/>
        <v>2007-2</v>
      </c>
      <c r="M65" s="2796" t="str">
        <f t="shared" si="19"/>
        <v>2007-1</v>
      </c>
      <c r="N65" s="2796" t="str">
        <f t="shared" si="19"/>
        <v>2006-4</v>
      </c>
      <c r="O65" s="2796" t="str">
        <f t="shared" si="19"/>
        <v>2006-3</v>
      </c>
      <c r="P65" s="706"/>
    </row>
    <row r="66" spans="1:17" s="218" customFormat="1" ht="33.75" customHeight="1">
      <c r="A66" s="2794" t="s">
        <v>2656</v>
      </c>
      <c r="B66" s="501" t="str">
        <f>"北京市平均增长率"&amp;TEXT(基准地价修正!P24,"0.00%")</f>
        <v>北京市平均增长率0.00%</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2550</v>
      </c>
      <c r="C93" s="129" t="s">
        <v>2538</v>
      </c>
      <c r="D93" s="129" t="s">
        <v>2539</v>
      </c>
      <c r="E93" s="129" t="s">
        <v>2540</v>
      </c>
      <c r="F93" s="129" t="s">
        <v>2541</v>
      </c>
      <c r="G93" s="129" t="s">
        <v>2542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2415</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1944</v>
      </c>
      <c r="B1" s="1757"/>
      <c r="C1" s="1757"/>
      <c r="D1" s="1757"/>
      <c r="E1" s="1757"/>
      <c r="F1" s="1757"/>
      <c r="G1" s="1757"/>
    </row>
    <row r="2" spans="1:7">
      <c r="A2" s="1856"/>
    </row>
    <row r="3" spans="1:7" s="2022" customFormat="1" ht="18.75">
      <c r="A3" s="2021" t="str">
        <f>IF(ISNUMBER(FIND("公司",项目基本情况!B4)),项目基本情况!B4&amp;"：",项目基本情况!B4&amp;"  先生/女士：")</f>
        <v>江西省检察院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1946</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估价对象为北京市房地产，为所有。根据《不动产权证书》[]，估价对象建筑面积为349.11平方米，（分摊）出让国有建设用地使用权面积为平方米。估价对象用途为。</v>
      </c>
      <c r="B6" s="1756"/>
      <c r="C6" s="1756"/>
      <c r="D6" s="1756"/>
      <c r="E6" s="1756"/>
      <c r="F6" s="1756"/>
      <c r="G6" s="1756"/>
    </row>
    <row r="7" spans="1:7" ht="18.75">
      <c r="A7" s="1751" t="s">
        <v>1947</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1948</v>
      </c>
      <c r="B9" s="1792"/>
    </row>
    <row r="10" spans="1:7" ht="18.75">
      <c r="A10" s="1753" t="str">
        <f>TEXT(项目基本情况!D2,"yyyy年m月d日;;")&amp;IF(项目基本情况!B2=项目基本情况!D2,"（评估专业人员实地查勘之日）","")</f>
        <v>2009年7月2日</v>
      </c>
      <c r="B10" s="1754"/>
      <c r="C10" s="1754"/>
      <c r="D10" s="1754"/>
      <c r="E10" s="1754"/>
      <c r="F10" s="1754"/>
      <c r="G10" s="1754"/>
    </row>
    <row r="11" spans="1:7" ht="18.75">
      <c r="A11" s="1752" t="s">
        <v>1949</v>
      </c>
    </row>
    <row r="12" spans="1:7" ht="75">
      <c r="A12" s="1756" t="s">
        <v>2716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2911</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1955</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2416</v>
      </c>
      <c r="D1" s="1444">
        <f>SUM(D29:D30,D33:D39)</f>
        <v>0</v>
      </c>
      <c r="E1" s="1444"/>
      <c r="F1" s="1444"/>
      <c r="G1" s="1444"/>
      <c r="H1" s="1444"/>
      <c r="I1" s="1444"/>
      <c r="J1" s="1444"/>
      <c r="L1" s="1710" t="s">
        <v>1139</v>
      </c>
      <c r="M1" s="1928">
        <f>SUMPRODUCT((区片价!B5:B9=I2)*(区片价!C3:F3=E2)*(区片价!C5:F9))</f>
        <v>0</v>
      </c>
      <c r="N1" s="1931">
        <f>SUMPRODUCT((因素修正幅度!B5:B9=I2)*(因素修正幅度!C3:F3=E2)*(因素修正幅度!C5:F9))</f>
        <v>0</v>
      </c>
      <c r="O1" s="2238"/>
      <c r="P1" s="2238"/>
      <c r="Q1" s="2238"/>
      <c r="R1" s="2858" t="s">
        <v>2743</v>
      </c>
      <c r="S1" s="2858" t="s">
        <v>2744</v>
      </c>
      <c r="T1" s="2858" t="s">
        <v>2745</v>
      </c>
      <c r="U1" s="2858" t="s">
        <v>2746</v>
      </c>
      <c r="V1" s="2858" t="s">
        <v>2747</v>
      </c>
      <c r="W1" s="2859"/>
      <c r="X1" s="2859"/>
      <c r="Y1" s="2859"/>
      <c r="Z1" s="2859"/>
      <c r="AA1" s="2859"/>
      <c r="AB1" s="2859"/>
      <c r="AC1" s="2860"/>
      <c r="AD1" s="2861"/>
      <c r="AE1" s="2861"/>
      <c r="AF1" s="2861"/>
      <c r="AG1" s="2861"/>
      <c r="AH1" s="2861"/>
      <c r="AI1" s="2861"/>
      <c r="AJ1" s="2862"/>
    </row>
    <row r="2" spans="1:36" ht="24">
      <c r="A2" s="33" t="s">
        <v>1707</v>
      </c>
      <c r="B2" s="385" t="e">
        <f>C26</f>
        <v>#DIV/0!</v>
      </c>
      <c r="C2" s="1284" t="s">
        <v>1853</v>
      </c>
      <c r="D2" s="1449" t="s">
        <v>1903</v>
      </c>
      <c r="E2" s="1617"/>
      <c r="F2" s="1449" t="s">
        <v>1708</v>
      </c>
      <c r="G2" s="1713">
        <f>项目基本情况!F9</f>
        <v>0</v>
      </c>
      <c r="H2" s="1716" t="s">
        <v>1709</v>
      </c>
      <c r="I2" s="1713">
        <f>项目基本情况!F10</f>
        <v>0</v>
      </c>
      <c r="J2" s="1450"/>
      <c r="L2" s="1711" t="s">
        <v>1199</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1710</v>
      </c>
      <c r="B3" s="385" t="e">
        <f>ROUND(B2/D1,0)</f>
        <v>#DIV/0!</v>
      </c>
      <c r="C3" s="1284" t="s">
        <v>1711</v>
      </c>
      <c r="D3" s="1449" t="s">
        <v>1050</v>
      </c>
      <c r="E3" s="1618"/>
      <c r="F3" s="1664" t="s">
        <v>1886</v>
      </c>
      <c r="G3" s="1451">
        <f>项目基本情况!C15</f>
        <v>0</v>
      </c>
      <c r="H3" s="1452" t="s">
        <v>1051</v>
      </c>
      <c r="I3" s="1619">
        <v>7</v>
      </c>
      <c r="J3" s="1450" t="s">
        <v>1052</v>
      </c>
      <c r="L3" s="1711" t="s">
        <v>1377</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604"/>
      <c r="B4" s="3605"/>
      <c r="C4" s="3605"/>
      <c r="D4" s="3606"/>
      <c r="E4" s="3606"/>
      <c r="F4" s="3606"/>
      <c r="G4" s="3606"/>
      <c r="H4" s="3606"/>
      <c r="I4" s="3606"/>
      <c r="J4" s="3607"/>
      <c r="L4" s="1711" t="s">
        <v>1048</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1712</v>
      </c>
      <c r="B5" s="1454" t="s">
        <v>1713</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1" t="s">
        <v>1458</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1713</v>
      </c>
      <c r="C6" s="1463">
        <f>SUMIF(L1:L12,G2,M1:M12)</f>
        <v>0</v>
      </c>
      <c r="D6" s="1464" t="s">
        <v>1714</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88" t="str">
        <f>IF(E2="商业",IF(C8="不临58条商业街","",2),"")</f>
        <v/>
      </c>
      <c r="B7" s="1468" t="s">
        <v>1715</v>
      </c>
      <c r="C7" s="1469" t="e">
        <f>IF(C8="不临58条商业街",1,ROUND(1+(1.6*E8+1.2*E9+0.8*E10+0.4*E11)*C9,4))</f>
        <v>#DIV/0!</v>
      </c>
      <c r="D7" s="1470" t="s">
        <v>1716</v>
      </c>
      <c r="E7" s="1620"/>
      <c r="F7" s="1471"/>
      <c r="G7" s="1472"/>
      <c r="H7" s="1472"/>
      <c r="I7" s="1472"/>
      <c r="J7" s="1473"/>
      <c r="K7" s="2244"/>
      <c r="L7" s="1711" t="s">
        <v>1461</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2748</v>
      </c>
      <c r="X7" s="2869">
        <f>G2</f>
        <v>0</v>
      </c>
      <c r="Y7" s="2869" t="s">
        <v>2749</v>
      </c>
      <c r="Z7" s="2870">
        <f>G3</f>
        <v>0</v>
      </c>
      <c r="AA7" s="2871"/>
      <c r="AB7" s="2871"/>
      <c r="AC7" s="2872"/>
      <c r="AD7" s="2873"/>
      <c r="AE7" s="2873"/>
      <c r="AF7" s="2873"/>
      <c r="AG7" s="2873"/>
      <c r="AH7" s="2873"/>
      <c r="AI7" s="2873"/>
      <c r="AJ7" s="2874"/>
    </row>
    <row r="8" spans="1:36" ht="15">
      <c r="A8" s="3589"/>
      <c r="B8" s="1452" t="s">
        <v>1717</v>
      </c>
      <c r="C8" s="1621"/>
      <c r="D8" s="1474" t="s">
        <v>1053</v>
      </c>
      <c r="E8" s="1475" t="e">
        <f>ROUND(C11/E7,4)</f>
        <v>#DIV/0!</v>
      </c>
      <c r="F8" s="1476" t="s">
        <v>1718</v>
      </c>
      <c r="G8" s="1477"/>
      <c r="H8" s="1477"/>
      <c r="I8" s="1477"/>
      <c r="J8" s="1478"/>
      <c r="L8" s="1711" t="s">
        <v>1463</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601" t="s">
        <v>2750</v>
      </c>
      <c r="X8" s="3602"/>
      <c r="Y8" s="2875" t="s">
        <v>167</v>
      </c>
      <c r="Z8" s="2875" t="s">
        <v>168</v>
      </c>
      <c r="AA8" s="2875" t="s">
        <v>163</v>
      </c>
      <c r="AB8" s="2875" t="s">
        <v>164</v>
      </c>
      <c r="AC8" s="2875" t="s">
        <v>165</v>
      </c>
      <c r="AD8" s="2875" t="s">
        <v>166</v>
      </c>
      <c r="AE8" s="2875" t="s">
        <v>1212</v>
      </c>
      <c r="AF8" s="2875" t="s">
        <v>1091</v>
      </c>
      <c r="AG8" s="2875" t="s">
        <v>1234</v>
      </c>
      <c r="AH8" s="2875" t="s">
        <v>1093</v>
      </c>
      <c r="AI8" s="2875" t="s">
        <v>1094</v>
      </c>
      <c r="AJ8" s="2875" t="s">
        <v>1095</v>
      </c>
    </row>
    <row r="9" spans="1:36" ht="15">
      <c r="A9" s="3589"/>
      <c r="B9" s="1452" t="s">
        <v>1719</v>
      </c>
      <c r="C9" s="1479">
        <f>SUMIF(修正!C59:C119,C8,修正!E59:E119)</f>
        <v>0</v>
      </c>
      <c r="D9" s="334" t="s">
        <v>1054</v>
      </c>
      <c r="E9" s="334" t="e">
        <f>ROUND(C11/E7,4)</f>
        <v>#DIV/0!</v>
      </c>
      <c r="F9" s="1476" t="s">
        <v>1720</v>
      </c>
      <c r="G9" s="1477"/>
      <c r="H9" s="1477"/>
      <c r="I9" s="1477"/>
      <c r="J9" s="1478"/>
      <c r="L9" s="1711" t="s">
        <v>1465</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603" t="s">
        <v>2751</v>
      </c>
      <c r="X9" s="2876" t="s">
        <v>2400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89"/>
      <c r="B10" s="1452" t="s">
        <v>1721</v>
      </c>
      <c r="C10" s="334">
        <f>SUMIF(修正!C59:C119,C8,修正!F59:F119)</f>
        <v>0</v>
      </c>
      <c r="D10" s="334" t="s">
        <v>1055</v>
      </c>
      <c r="E10" s="334" t="e">
        <f>ROUND(C11/E7,4)</f>
        <v>#DIV/0!</v>
      </c>
      <c r="F10" s="1476" t="s">
        <v>1722</v>
      </c>
      <c r="G10" s="1477"/>
      <c r="H10" s="1477"/>
      <c r="I10" s="1477"/>
      <c r="J10" s="1478"/>
      <c r="L10" s="1711" t="s">
        <v>1469</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603"/>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89"/>
      <c r="B11" s="1480" t="s">
        <v>1723</v>
      </c>
      <c r="C11" s="1481">
        <f>C10/4</f>
        <v>0</v>
      </c>
      <c r="D11" s="1481" t="s">
        <v>1056</v>
      </c>
      <c r="E11" s="1481" t="e">
        <f>ROUND(C11/E7,4)</f>
        <v>#DIV/0!</v>
      </c>
      <c r="F11" s="1482" t="s">
        <v>1724</v>
      </c>
      <c r="G11" s="1483"/>
      <c r="H11" s="1483"/>
      <c r="I11" s="1483"/>
      <c r="J11" s="1484"/>
      <c r="L11" s="1711" t="s">
        <v>1901</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603" t="s">
        <v>2752</v>
      </c>
      <c r="X11" s="2880" t="s">
        <v>2749</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88" t="str">
        <f>IF(E2="住宅",2,"")</f>
        <v/>
      </c>
      <c r="B12" s="1485" t="s">
        <v>1725</v>
      </c>
      <c r="C12" s="1469">
        <f>ROUND(C15*D15*E15*F15*G15*H15*I15*J15,4)</f>
        <v>1.32</v>
      </c>
      <c r="D12" s="1486" t="s">
        <v>1726</v>
      </c>
      <c r="E12" s="1487"/>
      <c r="F12" s="1487"/>
      <c r="G12" s="1488"/>
      <c r="H12" s="1488"/>
      <c r="I12" s="1488"/>
      <c r="J12" s="1489"/>
      <c r="L12" s="1712" t="s">
        <v>1902</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603"/>
      <c r="X12" s="2882" t="s">
        <v>2403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608"/>
      <c r="B13" s="1490" t="s">
        <v>1727</v>
      </c>
      <c r="C13" s="1491" t="s">
        <v>1728</v>
      </c>
      <c r="D13" s="1492" t="s">
        <v>1729</v>
      </c>
      <c r="E13" s="1492" t="s">
        <v>1730</v>
      </c>
      <c r="F13" s="30" t="s">
        <v>1057</v>
      </c>
      <c r="G13" s="1622" t="s">
        <v>1791</v>
      </c>
      <c r="H13" s="1622" t="s">
        <v>1791</v>
      </c>
      <c r="I13" s="1622" t="s">
        <v>1791</v>
      </c>
      <c r="J13" s="1623" t="s">
        <v>1791</v>
      </c>
      <c r="L13" s="2238"/>
      <c r="M13" s="2238"/>
      <c r="N13" s="2238"/>
      <c r="O13" s="2238"/>
      <c r="P13" s="2238"/>
      <c r="Q13" s="2238"/>
      <c r="R13" s="2863">
        <v>12</v>
      </c>
      <c r="S13" s="2864"/>
      <c r="T13" s="2863" t="e">
        <f t="shared" si="0"/>
        <v>#DIV/0!</v>
      </c>
      <c r="U13" s="2864"/>
      <c r="V13" s="2863" t="e">
        <f t="shared" si="1"/>
        <v>#DIV/0!</v>
      </c>
      <c r="W13" s="3603"/>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608"/>
      <c r="B14" s="1493"/>
      <c r="C14" s="1624" t="s">
        <v>150</v>
      </c>
      <c r="D14" s="1293" t="s">
        <v>151</v>
      </c>
      <c r="E14" s="1293" t="s">
        <v>151</v>
      </c>
      <c r="F14" s="1625" t="s">
        <v>1058</v>
      </c>
      <c r="G14" s="1494" t="s">
        <v>1763</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609"/>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88" t="b">
        <f>IF(E2="办公",2,IF(E2="工业",2,IF(E2="住宅",3,IF(E2="商业",IF(C8="不临58条商业街",2,3)))))</f>
        <v>0</v>
      </c>
      <c r="B16" s="1468" t="s">
        <v>1732</v>
      </c>
      <c r="C16" s="1612" t="e">
        <f>ROUND(SUM(G17:J17)/C17,0)</f>
        <v>#DIV/0!</v>
      </c>
      <c r="D16" s="1499" t="s">
        <v>1733</v>
      </c>
      <c r="E16" s="1628"/>
      <c r="F16" s="1629"/>
      <c r="G16" s="1630"/>
      <c r="H16" s="1630"/>
      <c r="I16" s="1630"/>
      <c r="J16" s="1631"/>
      <c r="L16" s="2535" t="s">
        <v>2520</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89"/>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2521</v>
      </c>
      <c r="M17" s="345">
        <f ca="1">ROUND($E$20*(1+M16),3)</f>
        <v>6.6000000000000003E-2</v>
      </c>
      <c r="N17" s="345">
        <f ca="1">ROUND($E$20*(1+N16),3)</f>
        <v>6.4000000000000001E-2</v>
      </c>
      <c r="O17" s="345">
        <f ca="1">ROUND($E$20*(1+O16),3)</f>
        <v>6.0999999999999999E-2</v>
      </c>
      <c r="P17" s="2540">
        <f ca="1">ROUND($E$20*(1+P16),3)</f>
        <v>5.8000000000000003E-2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39996</v>
      </c>
      <c r="H19" s="2781" t="s">
        <v>2804</v>
      </c>
      <c r="I19" s="1517" t="str">
        <f>IF(H19="季度增幅（自定义）",SUMIF(N21:N24,E2,O21:O24),"")</f>
        <v/>
      </c>
      <c r="J19" s="1512"/>
      <c r="K19" s="2241"/>
      <c r="L19" s="3009" t="s">
        <v>2802</v>
      </c>
      <c r="M19" s="3010">
        <f>ROUND(SUMIF(地价!B2:F2,E2,地价!B19:F19),0)</f>
        <v>0</v>
      </c>
      <c r="N19" s="2541" t="s">
        <v>2522</v>
      </c>
      <c r="O19" s="1518" t="e">
        <f>ROUNDDOWN(DATEDIF(E19,G19,"M")/3,0)</f>
        <v>#NUM!</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6">
        <f ca="1">存贷款利率!D4/100</f>
        <v>5.3099999999999994E-2</v>
      </c>
      <c r="F20" s="1577" t="s">
        <v>1744</v>
      </c>
      <c r="G20" s="1578">
        <f>SUMIF(M15:P15,E2,M17:P17)</f>
        <v>0</v>
      </c>
      <c r="H20" s="1577" t="s">
        <v>1745</v>
      </c>
      <c r="I20" s="1579">
        <f>'数据-取费表'!B13</f>
        <v>68.63</v>
      </c>
      <c r="J20" s="1580">
        <f>IF(E2="住宅",70,IF(E2="商业",40,50))</f>
        <v>50</v>
      </c>
      <c r="K20" s="2241"/>
      <c r="L20" s="3011" t="s">
        <v>2803</v>
      </c>
      <c r="M20" s="3012">
        <f>ROUND(SUMPRODUCT((地价!A4:A19=YEAR(G19)&amp;"-"&amp;ROUNDUP(MONTH(G19)/3,0))*(地价!B2:F2=E2)*(地价!B4:F19)),0)</f>
        <v>0</v>
      </c>
      <c r="N20" s="2782" t="s">
        <v>2650</v>
      </c>
      <c r="O20" s="2783" t="s">
        <v>2651</v>
      </c>
      <c r="P20" s="2784" t="s">
        <v>2658</v>
      </c>
      <c r="R20" s="2238"/>
      <c r="S20" s="2238"/>
      <c r="T20" s="2238"/>
      <c r="U20" s="2238"/>
      <c r="V20" s="2238"/>
      <c r="W20" s="2238"/>
      <c r="X20" s="2238"/>
      <c r="Y20" s="2238"/>
      <c r="Z20" s="2238"/>
      <c r="AA20" s="2238"/>
      <c r="AB20" s="2238"/>
      <c r="AC20" s="2238"/>
      <c r="AD20" s="2238"/>
      <c r="AE20" s="2241"/>
      <c r="AF20" s="2241"/>
    </row>
    <row r="21" spans="1:37" s="1460" customFormat="1" ht="14.25">
      <c r="A21" s="1581" t="s">
        <v>1746</v>
      </c>
      <c r="B21" s="1632" t="s">
        <v>1072</v>
      </c>
      <c r="C21" s="1582" t="b">
        <f>IF(B21="容积率修正",IF(G3&lt;=10,D22,J22),C23)</f>
        <v>0</v>
      </c>
      <c r="D21" s="1583"/>
      <c r="E21" s="1583"/>
      <c r="F21" s="1583"/>
      <c r="G21" s="1583"/>
      <c r="H21" s="1583"/>
      <c r="I21" s="1583"/>
      <c r="J21" s="1584"/>
      <c r="K21" s="2241"/>
      <c r="N21" s="2785" t="s">
        <v>2652</v>
      </c>
      <c r="O21" s="2786"/>
      <c r="P21" s="2787">
        <f>SUMPRODUCT((地价!A3:A19=YEAR(G19)&amp;"-"&amp;ROUNDUP(MONTH(G19)/3,0))*(地价!AD2:AH2=N21)*(地价!AD3:AH19))</f>
        <v>0</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1"/>
      <c r="N22" s="2785" t="s">
        <v>2653</v>
      </c>
      <c r="O22" s="2786"/>
      <c r="P22" s="2787">
        <f>SUMPRODUCT((地价!A3:A19=YEAR(G19)&amp;"-"&amp;ROUNDUP(MONTH(G19)/3,0))*(地价!AD2:AH2=N22)*(地价!AD3:AH19))</f>
        <v>0</v>
      </c>
      <c r="R22" s="2238"/>
      <c r="S22" s="2238"/>
      <c r="T22" s="2238"/>
      <c r="U22" s="2238"/>
      <c r="V22" s="2238"/>
      <c r="W22" s="2238"/>
      <c r="X22" s="2238"/>
      <c r="Y22" s="2238"/>
      <c r="Z22" s="2238"/>
      <c r="AA22" s="2238"/>
      <c r="AB22" s="2238"/>
      <c r="AC22" s="2238"/>
      <c r="AD22" s="2238"/>
      <c r="AE22" s="2241"/>
      <c r="AF22" s="2241"/>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0</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1749</v>
      </c>
      <c r="B24" s="1588" t="s">
        <v>1750</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0</v>
      </c>
      <c r="R24" s="2238"/>
      <c r="S24" s="2238"/>
      <c r="T24" s="2238"/>
      <c r="U24" s="2238"/>
      <c r="V24" s="2238"/>
      <c r="W24" s="2238"/>
      <c r="X24" s="2238"/>
      <c r="Y24" s="2238"/>
      <c r="Z24" s="2238"/>
      <c r="AA24" s="2238"/>
      <c r="AB24" s="2238"/>
      <c r="AC24" s="2238"/>
      <c r="AD24" s="2238"/>
      <c r="AE24" s="2241"/>
      <c r="AF24" s="2241"/>
    </row>
    <row r="25" spans="1:37" ht="15" thickBot="1">
      <c r="A25" s="1528" t="s">
        <v>1751</v>
      </c>
      <c r="B25" s="1529" t="s">
        <v>1752</v>
      </c>
      <c r="C25" s="1530"/>
      <c r="D25" s="1472"/>
      <c r="E25" s="1472"/>
      <c r="F25" s="1531"/>
      <c r="G25" s="1472"/>
      <c r="H25" s="1472"/>
      <c r="I25" s="1472"/>
      <c r="J25" s="1473"/>
      <c r="L25" s="2238"/>
      <c r="M25" s="2238"/>
      <c r="N25" s="2791" t="s">
        <v>2654</v>
      </c>
      <c r="O25" s="2792"/>
      <c r="P25" s="2790">
        <f>SUMPRODUCT((地价!A3:A19=YEAR(G19)&amp;"-"&amp;ROUNDUP(MONTH(G19)/3,0))*(地价!AD2:AH2=N25)*(地价!AD3:AH19))</f>
        <v>0</v>
      </c>
      <c r="R25" s="2238"/>
      <c r="S25" s="2238"/>
      <c r="T25" s="2238"/>
      <c r="U25" s="2238"/>
      <c r="V25" s="2238"/>
      <c r="W25" s="2238"/>
      <c r="X25" s="2238"/>
      <c r="Y25" s="2238"/>
      <c r="Z25" s="2238"/>
      <c r="AA25" s="2238"/>
      <c r="AB25" s="2238"/>
      <c r="AC25" s="2238"/>
      <c r="AD25" s="2238"/>
      <c r="AE25" s="2239"/>
      <c r="AF25" s="2239"/>
    </row>
    <row r="26" spans="1:37" ht="13.5">
      <c r="A26" s="1535"/>
      <c r="B26" s="1522" t="s">
        <v>1788</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1789</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1787</v>
      </c>
      <c r="C28" s="1546" t="s">
        <v>1757</v>
      </c>
      <c r="D28" s="1546" t="s">
        <v>1778</v>
      </c>
      <c r="E28" s="1547" t="s">
        <v>1779</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1782</v>
      </c>
      <c r="C29" s="340" t="e">
        <f>ROUND(C5*C18*C19*C20*C21*C24,0)</f>
        <v>#DIV/0!</v>
      </c>
      <c r="D29" s="1572"/>
      <c r="E29" s="1616" t="e">
        <f>ROUND(C29*D29,0)</f>
        <v>#DIV/0!</v>
      </c>
      <c r="F29" s="1550" t="s">
        <v>1758</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1784</v>
      </c>
      <c r="C31" s="1560" t="s">
        <v>1785</v>
      </c>
      <c r="D31" s="1488"/>
      <c r="E31" s="1560"/>
      <c r="F31" s="1560"/>
      <c r="G31" s="1486" t="s">
        <v>1786</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98" t="s">
        <v>2909</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99"/>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99"/>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600"/>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1073</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1687</v>
      </c>
      <c r="B47" s="1307" t="s">
        <v>1688</v>
      </c>
      <c r="C47" s="1308" t="s">
        <v>1689</v>
      </c>
      <c r="D47" s="1309" t="s">
        <v>1772</v>
      </c>
      <c r="E47" s="1310" t="s">
        <v>1774</v>
      </c>
      <c r="F47" s="1311" t="s">
        <v>2170</v>
      </c>
      <c r="G47" s="1309" t="s">
        <v>1767</v>
      </c>
      <c r="H47" s="2411" t="s">
        <v>2381</v>
      </c>
      <c r="I47" s="1309" t="s">
        <v>1773</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24">
      <c r="A48" s="1306" t="s">
        <v>1690</v>
      </c>
      <c r="B48" s="1312">
        <f>估价对象房地状况!C16</f>
        <v>0</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1692</v>
      </c>
      <c r="B49" s="1317" t="str">
        <f>估价对象房地状况!C18</f>
        <v>估价对象周边道路密集、公共交通通达情况好、停车便捷程度好，综合评价交通便捷度好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1693</v>
      </c>
      <c r="B50" s="1317" t="str">
        <f>估价对象房地状况!C19</f>
        <v>好</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1694</v>
      </c>
      <c r="B51" s="3057" t="s">
        <v>2880</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1695</v>
      </c>
      <c r="B52" s="1317" t="str">
        <f>估价对象房地状况!C24</f>
        <v>城市支路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1696</v>
      </c>
      <c r="B53" s="3058" t="s">
        <v>2881</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1697</v>
      </c>
      <c r="B54" s="2407" t="str">
        <f>估价对象房地状况!C21</f>
        <v>估价对象所在区域公共配套设施齐备</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1698</v>
      </c>
      <c r="B55" s="1317" t="str">
        <f>估价对象房地状况!C22</f>
        <v>估价对象所在区域基础设施水平达到七通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1699</v>
      </c>
      <c r="B56" s="1322" t="str">
        <f>估价对象房地状况!C20</f>
        <v>区域自然环境：玉渊潭公园、中塔公园；人文环境：北京工商大学、首都师范大学；综合评价环境状况好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1075</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1687</v>
      </c>
      <c r="B58" s="1317"/>
      <c r="C58" s="1308" t="s">
        <v>1689</v>
      </c>
      <c r="D58" s="1309" t="s">
        <v>1769</v>
      </c>
      <c r="E58" s="1310" t="s">
        <v>1771</v>
      </c>
      <c r="F58" s="1311" t="s">
        <v>2170</v>
      </c>
      <c r="G58" s="1309" t="s">
        <v>1767</v>
      </c>
      <c r="H58" s="2411" t="s">
        <v>2382</v>
      </c>
      <c r="I58" s="1309" t="s">
        <v>1770</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24">
      <c r="A59" s="1306" t="s">
        <v>1700</v>
      </c>
      <c r="B59" s="1312">
        <f>估价对象房地状况!C17</f>
        <v>0</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1692</v>
      </c>
      <c r="B60" s="1317" t="str">
        <f>估价对象房地状况!C18</f>
        <v>估价对象周边道路密集、公共交通通达情况好、停车便捷程度好，综合评价交通便捷度好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1693</v>
      </c>
      <c r="B61" s="1317" t="str">
        <f>估价对象房地状况!C19</f>
        <v>好</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1694</v>
      </c>
      <c r="B62" s="3057" t="s">
        <v>2880</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1695</v>
      </c>
      <c r="B63" s="1317" t="str">
        <f>估价对象房地状况!C24</f>
        <v>城市支路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1696</v>
      </c>
      <c r="B64" s="3058" t="s">
        <v>2881</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1697</v>
      </c>
      <c r="B65" s="2407" t="str">
        <f>估价对象房地状况!C21</f>
        <v>估价对象所在区域公共配套设施齐备</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1698</v>
      </c>
      <c r="B66" s="2407" t="str">
        <f>估价对象房地状况!C22</f>
        <v>估价对象所在区域基础设施水平达到七通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1699</v>
      </c>
      <c r="B67" s="1325" t="str">
        <f>估价对象房地状况!C20</f>
        <v>区域自然环境：玉渊潭公园、中塔公园；人文环境：北京工商大学、首都师范大学；综合评价环境状况好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1762</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1687</v>
      </c>
      <c r="B69" s="1317"/>
      <c r="C69" s="1308" t="s">
        <v>1689</v>
      </c>
      <c r="D69" s="1309" t="s">
        <v>1769</v>
      </c>
      <c r="E69" s="1310" t="s">
        <v>1771</v>
      </c>
      <c r="F69" s="1311" t="s">
        <v>2170</v>
      </c>
      <c r="G69" s="1309" t="s">
        <v>1767</v>
      </c>
      <c r="H69" s="2411" t="s">
        <v>2382</v>
      </c>
      <c r="I69" s="1309" t="s">
        <v>1770</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1701</v>
      </c>
      <c r="B70" s="1312" t="str">
        <f>估价对象房地状况!C15</f>
        <v>估价对象周边居住用地比例大、居住小区规模和社区发展完善程度好，综合评价居住社区成熟度好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1692</v>
      </c>
      <c r="B71" s="1317" t="str">
        <f>估价对象房地状况!C18</f>
        <v>估价对象周边道路密集、公共交通通达情况好、停车便捷程度好，综合评价交通便捷度好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1693</v>
      </c>
      <c r="B72" s="1317" t="str">
        <f>估价对象房地状况!C19</f>
        <v>好</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1702</v>
      </c>
      <c r="B73" s="1317" t="str">
        <f>估价对象房地状况!C24</f>
        <v>城市支路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1697</v>
      </c>
      <c r="B74" s="2407" t="str">
        <f>估价对象房地状况!C21</f>
        <v>估价对象所在区域公共配套设施齐备</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1698</v>
      </c>
      <c r="B75" s="2407" t="str">
        <f>估价对象房地状况!C22</f>
        <v>估价对象所在区域基础设施水平达到七通</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1696</v>
      </c>
      <c r="B76" s="3058" t="s">
        <v>2881</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1699</v>
      </c>
      <c r="B77" s="1312" t="str">
        <f>估价对象房地状况!C20</f>
        <v>区域自然环境：玉渊潭公园、中塔公园；人文环境：北京工商大学、首都师范大学；综合评价环境状况好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1703</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1113</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2170</v>
      </c>
      <c r="G80" s="1309" t="s">
        <v>1767</v>
      </c>
      <c r="H80" s="2411" t="s">
        <v>2382</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1693</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1702</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1697</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1698</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1696</v>
      </c>
      <c r="B87" s="3058" t="s">
        <v>2881</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1705</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90" t="s">
        <v>2383</v>
      </c>
      <c r="B90" s="3590"/>
      <c r="C90" s="3590"/>
      <c r="D90" s="3590"/>
      <c r="E90" s="3590"/>
      <c r="F90" s="3590"/>
      <c r="G90" s="3590"/>
      <c r="H90" s="3590"/>
      <c r="I90" s="3590"/>
      <c r="J90" s="3590"/>
      <c r="K90" s="2420"/>
      <c r="L90" s="2420"/>
      <c r="M90" s="2420"/>
      <c r="N90" s="2420"/>
    </row>
    <row r="91" spans="1:37">
      <c r="A91" s="3592" t="s">
        <v>2384</v>
      </c>
      <c r="B91" s="3592" t="s">
        <v>2385</v>
      </c>
      <c r="C91" s="1407" t="s">
        <v>2386</v>
      </c>
      <c r="D91" s="1408"/>
      <c r="E91" s="1408"/>
      <c r="F91" s="1408"/>
      <c r="G91" s="1408"/>
      <c r="H91" s="1408"/>
      <c r="I91" s="1408"/>
      <c r="J91" s="1409"/>
      <c r="K91" s="1397"/>
      <c r="L91" s="1397"/>
      <c r="M91" s="1397"/>
      <c r="N91" s="1397"/>
    </row>
    <row r="92" spans="1:37">
      <c r="A92" s="3592"/>
      <c r="B92" s="3592"/>
      <c r="C92" s="2419" t="s">
        <v>2387</v>
      </c>
      <c r="D92" s="2419" t="s">
        <v>2388</v>
      </c>
      <c r="E92" s="2419" t="s">
        <v>2389</v>
      </c>
      <c r="F92" s="2419" t="s">
        <v>2390</v>
      </c>
      <c r="G92" s="2419" t="s">
        <v>2391</v>
      </c>
      <c r="H92" s="2419" t="s">
        <v>2392</v>
      </c>
      <c r="I92" s="2419" t="s">
        <v>2393</v>
      </c>
      <c r="J92" s="2419" t="s">
        <v>2394</v>
      </c>
      <c r="K92" s="2419" t="s">
        <v>2395</v>
      </c>
      <c r="L92" s="2419" t="s">
        <v>2396</v>
      </c>
      <c r="M92" s="2419" t="s">
        <v>2397</v>
      </c>
      <c r="N92" s="2419" t="s">
        <v>2398</v>
      </c>
    </row>
    <row r="93" spans="1:37">
      <c r="A93" s="3593" t="s">
        <v>2399</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94"/>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94"/>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94"/>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94"/>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94"/>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94"/>
      <c r="B99" s="1410" t="s">
        <v>2400</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95"/>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93" t="s">
        <v>2401</v>
      </c>
      <c r="B101" s="1414" t="s">
        <v>2402</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94"/>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94"/>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94"/>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94"/>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94"/>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94"/>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94"/>
      <c r="B108" s="3596" t="s">
        <v>2403</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95"/>
      <c r="B109" s="3597"/>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91" t="s">
        <v>2404</v>
      </c>
      <c r="B110" s="3591"/>
      <c r="C110" s="3591"/>
      <c r="D110" s="3591"/>
      <c r="E110" s="3591"/>
      <c r="F110" s="3591"/>
      <c r="G110" s="3591"/>
      <c r="H110" s="3591"/>
      <c r="I110" s="3591"/>
      <c r="J110" s="3591"/>
      <c r="K110" s="2418"/>
      <c r="L110" s="2418"/>
      <c r="M110" s="2418"/>
      <c r="N110" s="2418"/>
    </row>
    <row r="112" spans="1:14" ht="12.75" thickBot="1"/>
    <row r="113" spans="1:13" ht="25.5" thickBot="1">
      <c r="A113" s="1423" t="s">
        <v>2405</v>
      </c>
      <c r="B113" s="2421">
        <f>G3</f>
        <v>0</v>
      </c>
      <c r="C113" s="1424" t="s">
        <v>2406</v>
      </c>
      <c r="D113" s="1425">
        <f>SUMPRODUCT((A115:A118=F113)*(B114:M114=H113)*B115:M118)</f>
        <v>0</v>
      </c>
      <c r="E113" s="1426" t="s">
        <v>2384</v>
      </c>
      <c r="F113" s="1427">
        <f>E2</f>
        <v>0</v>
      </c>
      <c r="G113" s="1426" t="s">
        <v>2407</v>
      </c>
      <c r="H113" s="1427">
        <f>G2</f>
        <v>0</v>
      </c>
      <c r="I113" s="1426"/>
      <c r="J113" s="1418"/>
      <c r="K113" s="1418"/>
      <c r="L113" s="1418"/>
      <c r="M113" s="1418"/>
    </row>
    <row r="114" spans="1:13" ht="12.75">
      <c r="A114" s="1430"/>
      <c r="B114" s="1431" t="s">
        <v>2387</v>
      </c>
      <c r="C114" s="1431" t="s">
        <v>2388</v>
      </c>
      <c r="D114" s="1431" t="s">
        <v>2389</v>
      </c>
      <c r="E114" s="1432" t="s">
        <v>2390</v>
      </c>
      <c r="F114" s="1432" t="s">
        <v>2391</v>
      </c>
      <c r="G114" s="1432" t="s">
        <v>2392</v>
      </c>
      <c r="H114" s="1433" t="s">
        <v>2393</v>
      </c>
      <c r="I114" s="1433" t="s">
        <v>2394</v>
      </c>
      <c r="J114" s="1434" t="s">
        <v>2395</v>
      </c>
      <c r="K114" s="1434" t="s">
        <v>2396</v>
      </c>
      <c r="L114" s="1434" t="s">
        <v>2397</v>
      </c>
      <c r="M114" s="1435" t="s">
        <v>2398</v>
      </c>
    </row>
    <row r="115" spans="1:13" ht="12.75">
      <c r="A115" s="1436" t="s">
        <v>2408</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2409</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2410</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2411</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10" t="s">
        <v>2012</v>
      </c>
      <c r="B1" s="3610"/>
    </row>
    <row r="2" spans="1:6" ht="14.25" thickBot="1">
      <c r="A2" s="1904"/>
      <c r="B2" s="1904"/>
    </row>
    <row r="3" spans="1:6" ht="14.25" thickBot="1">
      <c r="A3" s="1904"/>
      <c r="B3" s="1904"/>
      <c r="C3" s="1907" t="s">
        <v>2013</v>
      </c>
      <c r="D3" s="1907" t="s">
        <v>2014</v>
      </c>
      <c r="E3" s="1907" t="s">
        <v>2015</v>
      </c>
      <c r="F3" s="1907" t="s">
        <v>2016</v>
      </c>
    </row>
    <row r="4" spans="1:6" ht="14.25" thickBot="1">
      <c r="A4" s="1908" t="s">
        <v>2017</v>
      </c>
      <c r="B4" s="1909" t="s">
        <v>2018</v>
      </c>
      <c r="C4" s="1907"/>
      <c r="D4" s="1907"/>
      <c r="E4" s="1907"/>
      <c r="F4" s="1907"/>
    </row>
    <row r="5" spans="1:6" ht="14.25" thickBot="1">
      <c r="A5" s="1342" t="s">
        <v>2019</v>
      </c>
      <c r="B5" s="1343" t="s">
        <v>2020</v>
      </c>
      <c r="C5" s="1910">
        <v>8.8999999999999996E-2</v>
      </c>
      <c r="D5" s="1910">
        <v>7.3999999999999996E-2</v>
      </c>
      <c r="E5" s="1910">
        <v>7.4999999999999997E-2</v>
      </c>
      <c r="F5" s="1911">
        <v>0.1</v>
      </c>
    </row>
    <row r="6" spans="1:6" ht="14.25" thickBot="1">
      <c r="A6" s="1342" t="s">
        <v>1139</v>
      </c>
      <c r="B6" s="1336" t="s">
        <v>2021</v>
      </c>
      <c r="C6" s="1912">
        <v>0.1</v>
      </c>
      <c r="D6" s="1912">
        <v>9.0999999999999998E-2</v>
      </c>
      <c r="E6" s="1912">
        <v>9.0999999999999998E-2</v>
      </c>
      <c r="F6" s="1913">
        <v>0.1</v>
      </c>
    </row>
    <row r="7" spans="1:6" ht="14.25" thickBot="1">
      <c r="A7" s="1342" t="s">
        <v>1139</v>
      </c>
      <c r="B7" s="1350" t="s">
        <v>1128</v>
      </c>
      <c r="C7" s="1912">
        <v>8.5999999999999993E-2</v>
      </c>
      <c r="D7" s="1912">
        <v>9.6000000000000002E-2</v>
      </c>
      <c r="E7" s="1912">
        <v>7.5999999999999998E-2</v>
      </c>
      <c r="F7" s="1913">
        <v>0.1</v>
      </c>
    </row>
    <row r="8" spans="1:6" ht="14.25" thickBot="1">
      <c r="A8" s="1342" t="s">
        <v>1139</v>
      </c>
      <c r="B8" s="1336" t="s">
        <v>1140</v>
      </c>
      <c r="C8" s="1912">
        <v>9.9000000000000005E-2</v>
      </c>
      <c r="D8" s="1912">
        <v>9.8000000000000004E-2</v>
      </c>
      <c r="E8" s="1912">
        <v>9.8000000000000004E-2</v>
      </c>
      <c r="F8" s="1913">
        <v>0.1</v>
      </c>
    </row>
    <row r="9" spans="1:6" ht="14.25" thickBot="1">
      <c r="A9" s="1359" t="s">
        <v>1139</v>
      </c>
      <c r="B9" s="1351" t="s">
        <v>1152</v>
      </c>
      <c r="C9" s="1914">
        <v>0.05</v>
      </c>
      <c r="D9" s="1915"/>
      <c r="E9" s="1915"/>
      <c r="F9" s="1916"/>
    </row>
    <row r="10" spans="1:6" ht="14.25" thickBot="1">
      <c r="A10" s="1342" t="s">
        <v>1199</v>
      </c>
      <c r="B10" s="1343" t="s">
        <v>2022</v>
      </c>
      <c r="C10" s="1910">
        <v>8.8999999999999996E-2</v>
      </c>
      <c r="D10" s="1910">
        <v>7.2999999999999995E-2</v>
      </c>
      <c r="E10" s="1910">
        <v>8.2000000000000003E-2</v>
      </c>
      <c r="F10" s="1911">
        <v>0.1</v>
      </c>
    </row>
    <row r="11" spans="1:6" ht="14.25" thickBot="1">
      <c r="A11" s="1342" t="s">
        <v>1199</v>
      </c>
      <c r="B11" s="1350" t="s">
        <v>1115</v>
      </c>
      <c r="C11" s="1912">
        <v>8.8999999999999996E-2</v>
      </c>
      <c r="D11" s="1912">
        <v>7.2999999999999995E-2</v>
      </c>
      <c r="E11" s="1912">
        <v>8.2000000000000003E-2</v>
      </c>
      <c r="F11" s="1913">
        <v>0.1</v>
      </c>
    </row>
    <row r="12" spans="1:6" ht="14.25" thickBot="1">
      <c r="A12" s="1342" t="s">
        <v>1199</v>
      </c>
      <c r="B12" s="1350" t="s">
        <v>1049</v>
      </c>
      <c r="C12" s="1912">
        <v>6.0999999999999999E-2</v>
      </c>
      <c r="D12" s="1912">
        <v>7.0999999999999994E-2</v>
      </c>
      <c r="E12" s="1912">
        <v>9.6000000000000002E-2</v>
      </c>
      <c r="F12" s="1913">
        <v>0.1</v>
      </c>
    </row>
    <row r="13" spans="1:6" ht="14.25" thickBot="1">
      <c r="A13" s="1342" t="s">
        <v>1199</v>
      </c>
      <c r="B13" s="1350" t="s">
        <v>1141</v>
      </c>
      <c r="C13" s="1912">
        <v>6.9000000000000006E-2</v>
      </c>
      <c r="D13" s="1912">
        <v>6.5000000000000002E-2</v>
      </c>
      <c r="E13" s="1912">
        <v>6.6000000000000003E-2</v>
      </c>
      <c r="F13" s="1913">
        <v>0.1</v>
      </c>
    </row>
    <row r="14" spans="1:6" ht="14.25" thickBot="1">
      <c r="A14" s="1342" t="s">
        <v>1199</v>
      </c>
      <c r="B14" s="1350" t="s">
        <v>1153</v>
      </c>
      <c r="C14" s="1912">
        <v>0.1</v>
      </c>
      <c r="D14" s="1912">
        <v>6.5000000000000002E-2</v>
      </c>
      <c r="E14" s="1912">
        <v>7.0000000000000007E-2</v>
      </c>
      <c r="F14" s="1913">
        <v>0.1</v>
      </c>
    </row>
    <row r="15" spans="1:6" ht="14.25" thickBot="1">
      <c r="A15" s="1342" t="s">
        <v>1199</v>
      </c>
      <c r="B15" s="1350" t="s">
        <v>1165</v>
      </c>
      <c r="C15" s="1912">
        <v>9.8000000000000004E-2</v>
      </c>
      <c r="D15" s="1912">
        <v>8.8999999999999996E-2</v>
      </c>
      <c r="E15" s="1912">
        <v>8.8999999999999996E-2</v>
      </c>
      <c r="F15" s="1913">
        <v>0.1</v>
      </c>
    </row>
    <row r="16" spans="1:6" ht="14.25" thickBot="1">
      <c r="A16" s="1342" t="s">
        <v>1199</v>
      </c>
      <c r="B16" s="1350" t="s">
        <v>1177</v>
      </c>
      <c r="C16" s="1912">
        <v>7.0000000000000007E-2</v>
      </c>
      <c r="D16" s="1912">
        <v>9.2999999999999999E-2</v>
      </c>
      <c r="E16" s="1912">
        <v>9.6000000000000002E-2</v>
      </c>
      <c r="F16" s="1913">
        <v>0.1</v>
      </c>
    </row>
    <row r="17" spans="1:6" ht="14.25" thickBot="1">
      <c r="A17" s="1342" t="s">
        <v>1199</v>
      </c>
      <c r="B17" s="1350" t="s">
        <v>1189</v>
      </c>
      <c r="C17" s="1912">
        <v>9.5000000000000001E-2</v>
      </c>
      <c r="D17" s="1912">
        <v>0.1</v>
      </c>
      <c r="E17" s="1912">
        <v>0.1</v>
      </c>
      <c r="F17" s="1917"/>
    </row>
    <row r="18" spans="1:6" ht="14.25" thickBot="1">
      <c r="A18" s="1342" t="s">
        <v>1199</v>
      </c>
      <c r="B18" s="1350" t="s">
        <v>1202</v>
      </c>
      <c r="C18" s="1912">
        <v>7.3999999999999996E-2</v>
      </c>
      <c r="D18" s="1912">
        <v>9.9000000000000005E-2</v>
      </c>
      <c r="E18" s="1912">
        <v>0.1</v>
      </c>
      <c r="F18" s="1917"/>
    </row>
    <row r="19" spans="1:6" ht="14.25" thickBot="1">
      <c r="A19" s="1342" t="s">
        <v>1199</v>
      </c>
      <c r="B19" s="1350" t="s">
        <v>1213</v>
      </c>
      <c r="C19" s="1912">
        <v>9.9000000000000005E-2</v>
      </c>
      <c r="D19" s="1912">
        <v>7.5999999999999998E-2</v>
      </c>
      <c r="E19" s="1912">
        <v>8.6999999999999994E-2</v>
      </c>
      <c r="F19" s="1917"/>
    </row>
    <row r="20" spans="1:6" ht="14.25" thickBot="1">
      <c r="A20" s="1342" t="s">
        <v>1199</v>
      </c>
      <c r="B20" s="1350" t="s">
        <v>1224</v>
      </c>
      <c r="C20" s="1912">
        <v>9.8000000000000004E-2</v>
      </c>
      <c r="D20" s="1912">
        <v>8.5000000000000006E-2</v>
      </c>
      <c r="E20" s="1912">
        <v>8.2000000000000003E-2</v>
      </c>
      <c r="F20" s="1917"/>
    </row>
    <row r="21" spans="1:6" ht="14.25" thickBot="1">
      <c r="A21" s="1342" t="s">
        <v>1199</v>
      </c>
      <c r="B21" s="1350" t="s">
        <v>1235</v>
      </c>
      <c r="C21" s="1912">
        <v>6.6000000000000003E-2</v>
      </c>
      <c r="D21" s="1912">
        <v>6.4000000000000001E-2</v>
      </c>
      <c r="E21" s="1912">
        <v>6.5000000000000002E-2</v>
      </c>
      <c r="F21" s="1917"/>
    </row>
    <row r="22" spans="1:6" ht="14.25" thickBot="1">
      <c r="A22" s="1342" t="s">
        <v>1199</v>
      </c>
      <c r="B22" s="1350" t="s">
        <v>2023</v>
      </c>
      <c r="C22" s="1912">
        <v>0.08</v>
      </c>
      <c r="D22" s="1912">
        <v>9.8000000000000004E-2</v>
      </c>
      <c r="E22" s="1912">
        <v>9.8000000000000004E-2</v>
      </c>
      <c r="F22" s="1917"/>
    </row>
    <row r="23" spans="1:6" ht="14.25" thickBot="1">
      <c r="A23" s="1342" t="s">
        <v>1199</v>
      </c>
      <c r="B23" s="1350" t="s">
        <v>1257</v>
      </c>
      <c r="C23" s="1912">
        <v>9.9000000000000005E-2</v>
      </c>
      <c r="D23" s="1912">
        <v>9.8000000000000004E-2</v>
      </c>
      <c r="E23" s="1912">
        <v>9.0999999999999998E-2</v>
      </c>
      <c r="F23" s="1917"/>
    </row>
    <row r="24" spans="1:6" ht="14.25" thickBot="1">
      <c r="A24" s="1342" t="s">
        <v>1199</v>
      </c>
      <c r="B24" s="1350" t="s">
        <v>1268</v>
      </c>
      <c r="C24" s="1912">
        <v>8.8999999999999996E-2</v>
      </c>
      <c r="D24" s="1912">
        <v>9.7000000000000003E-2</v>
      </c>
      <c r="E24" s="1912">
        <v>7.0000000000000007E-2</v>
      </c>
      <c r="F24" s="1917"/>
    </row>
    <row r="25" spans="1:6" ht="14.25" thickBot="1">
      <c r="A25" s="1342" t="s">
        <v>1199</v>
      </c>
      <c r="B25" s="1350" t="s">
        <v>1278</v>
      </c>
      <c r="C25" s="1912">
        <v>8.8999999999999996E-2</v>
      </c>
      <c r="D25" s="1912">
        <v>0.1</v>
      </c>
      <c r="E25" s="1912">
        <v>8.1000000000000003E-2</v>
      </c>
      <c r="F25" s="1917"/>
    </row>
    <row r="26" spans="1:6" ht="14.25" thickBot="1">
      <c r="A26" s="1342" t="s">
        <v>1199</v>
      </c>
      <c r="B26" s="1350" t="s">
        <v>1288</v>
      </c>
      <c r="C26" s="1918"/>
      <c r="D26" s="1912">
        <v>9.6000000000000002E-2</v>
      </c>
      <c r="E26" s="1912">
        <v>9.2999999999999999E-2</v>
      </c>
      <c r="F26" s="1917"/>
    </row>
    <row r="27" spans="1:6" ht="14.25" thickBot="1">
      <c r="A27" s="1342" t="s">
        <v>1199</v>
      </c>
      <c r="B27" s="1350" t="s">
        <v>1298</v>
      </c>
      <c r="C27" s="1918"/>
      <c r="D27" s="1912">
        <v>7.5999999999999998E-2</v>
      </c>
      <c r="E27" s="1912">
        <v>9.1999999999999998E-2</v>
      </c>
      <c r="F27" s="1917"/>
    </row>
    <row r="28" spans="1:6" ht="14.25" thickBot="1">
      <c r="A28" s="1359" t="s">
        <v>1199</v>
      </c>
      <c r="B28" s="1351" t="s">
        <v>1308</v>
      </c>
      <c r="C28" s="1915"/>
      <c r="D28" s="1914">
        <v>7.5999999999999998E-2</v>
      </c>
      <c r="E28" s="1914">
        <v>9.1999999999999998E-2</v>
      </c>
      <c r="F28" s="1916"/>
    </row>
    <row r="29" spans="1:6" ht="14.25" thickBot="1">
      <c r="A29" s="1342" t="s">
        <v>1377</v>
      </c>
      <c r="B29" s="1343" t="s">
        <v>2024</v>
      </c>
      <c r="C29" s="1910">
        <v>6.4000000000000001E-2</v>
      </c>
      <c r="D29" s="1910">
        <v>6.5000000000000002E-2</v>
      </c>
      <c r="E29" s="1910">
        <v>6.9000000000000006E-2</v>
      </c>
      <c r="F29" s="1911">
        <v>0.1</v>
      </c>
    </row>
    <row r="30" spans="1:6" ht="14.25" thickBot="1">
      <c r="A30" s="1342" t="s">
        <v>1377</v>
      </c>
      <c r="B30" s="1350" t="s">
        <v>1116</v>
      </c>
      <c r="C30" s="1912">
        <v>6.4000000000000001E-2</v>
      </c>
      <c r="D30" s="1912">
        <v>9.9000000000000005E-2</v>
      </c>
      <c r="E30" s="1912">
        <v>0.1</v>
      </c>
      <c r="F30" s="1913">
        <v>0.1</v>
      </c>
    </row>
    <row r="31" spans="1:6" ht="14.25" thickBot="1">
      <c r="A31" s="1342" t="s">
        <v>1377</v>
      </c>
      <c r="B31" s="1350" t="s">
        <v>1129</v>
      </c>
      <c r="C31" s="1912">
        <v>0.1</v>
      </c>
      <c r="D31" s="1912">
        <v>9.5000000000000001E-2</v>
      </c>
      <c r="E31" s="1912">
        <v>8.8999999999999996E-2</v>
      </c>
      <c r="F31" s="1913">
        <v>0.1</v>
      </c>
    </row>
    <row r="32" spans="1:6" ht="14.25" thickBot="1">
      <c r="A32" s="1342" t="s">
        <v>1377</v>
      </c>
      <c r="B32" s="1350" t="s">
        <v>1142</v>
      </c>
      <c r="C32" s="1912">
        <v>0.05</v>
      </c>
      <c r="D32" s="1912">
        <v>0.05</v>
      </c>
      <c r="E32" s="1912">
        <v>8.7999999999999995E-2</v>
      </c>
      <c r="F32" s="1913">
        <v>0.1</v>
      </c>
    </row>
    <row r="33" spans="1:6" ht="14.25" thickBot="1">
      <c r="A33" s="1342" t="s">
        <v>1377</v>
      </c>
      <c r="B33" s="1350" t="s">
        <v>1154</v>
      </c>
      <c r="C33" s="1912">
        <v>7.4999999999999997E-2</v>
      </c>
      <c r="D33" s="1912">
        <v>9.4E-2</v>
      </c>
      <c r="E33" s="1912">
        <v>9.7000000000000003E-2</v>
      </c>
      <c r="F33" s="1913">
        <v>0.1</v>
      </c>
    </row>
    <row r="34" spans="1:6" ht="14.25" thickBot="1">
      <c r="A34" s="1342" t="s">
        <v>1377</v>
      </c>
      <c r="B34" s="1350" t="s">
        <v>1166</v>
      </c>
      <c r="C34" s="1912">
        <v>9.8000000000000004E-2</v>
      </c>
      <c r="D34" s="1912">
        <v>8.5999999999999993E-2</v>
      </c>
      <c r="E34" s="1912">
        <v>9.7000000000000003E-2</v>
      </c>
      <c r="F34" s="1913">
        <v>0.1</v>
      </c>
    </row>
    <row r="35" spans="1:6" ht="14.25" thickBot="1">
      <c r="A35" s="1342" t="s">
        <v>1377</v>
      </c>
      <c r="B35" s="1350" t="s">
        <v>1178</v>
      </c>
      <c r="C35" s="1912">
        <v>5.8999999999999997E-2</v>
      </c>
      <c r="D35" s="1912">
        <v>6.5000000000000002E-2</v>
      </c>
      <c r="E35" s="1912">
        <v>7.0000000000000007E-2</v>
      </c>
      <c r="F35" s="1913">
        <v>0.1</v>
      </c>
    </row>
    <row r="36" spans="1:6" ht="14.25" thickBot="1">
      <c r="A36" s="1342" t="s">
        <v>1377</v>
      </c>
      <c r="B36" s="1350" t="s">
        <v>1190</v>
      </c>
      <c r="C36" s="1912">
        <v>6.3E-2</v>
      </c>
      <c r="D36" s="1912">
        <v>0.1</v>
      </c>
      <c r="E36" s="1912">
        <v>0.1</v>
      </c>
      <c r="F36" s="1913">
        <v>0.1</v>
      </c>
    </row>
    <row r="37" spans="1:6" ht="14.25" thickBot="1">
      <c r="A37" s="1342" t="s">
        <v>1377</v>
      </c>
      <c r="B37" s="1350" t="s">
        <v>1203</v>
      </c>
      <c r="C37" s="1912">
        <v>7.3999999999999996E-2</v>
      </c>
      <c r="D37" s="1912">
        <v>0.1</v>
      </c>
      <c r="E37" s="1912">
        <v>0.1</v>
      </c>
      <c r="F37" s="1913">
        <v>0.1</v>
      </c>
    </row>
    <row r="38" spans="1:6" ht="14.25" thickBot="1">
      <c r="A38" s="1342" t="s">
        <v>1377</v>
      </c>
      <c r="B38" s="1350" t="s">
        <v>1214</v>
      </c>
      <c r="C38" s="1912">
        <v>0.1</v>
      </c>
      <c r="D38" s="1912">
        <v>9.6000000000000002E-2</v>
      </c>
      <c r="E38" s="1912">
        <v>9.6000000000000002E-2</v>
      </c>
      <c r="F38" s="1917"/>
    </row>
    <row r="39" spans="1:6" ht="14.25" thickBot="1">
      <c r="A39" s="1342" t="s">
        <v>1377</v>
      </c>
      <c r="B39" s="1350" t="s">
        <v>1225</v>
      </c>
      <c r="C39" s="1912">
        <v>0.1</v>
      </c>
      <c r="D39" s="1912">
        <v>9.6000000000000002E-2</v>
      </c>
      <c r="E39" s="1912">
        <v>9.6000000000000002E-2</v>
      </c>
      <c r="F39" s="1917"/>
    </row>
    <row r="40" spans="1:6" ht="14.25" thickBot="1">
      <c r="A40" s="1342" t="s">
        <v>1377</v>
      </c>
      <c r="B40" s="1350" t="s">
        <v>1236</v>
      </c>
      <c r="C40" s="1912">
        <v>9.6000000000000002E-2</v>
      </c>
      <c r="D40" s="1912">
        <v>0.1</v>
      </c>
      <c r="E40" s="1912">
        <v>9.9000000000000005E-2</v>
      </c>
      <c r="F40" s="1917"/>
    </row>
    <row r="41" spans="1:6" ht="14.25" thickBot="1">
      <c r="A41" s="1342" t="s">
        <v>1377</v>
      </c>
      <c r="B41" s="1350" t="s">
        <v>1247</v>
      </c>
      <c r="C41" s="1912">
        <v>9.6000000000000002E-2</v>
      </c>
      <c r="D41" s="1912">
        <v>9.8000000000000004E-2</v>
      </c>
      <c r="E41" s="1912">
        <v>9.8000000000000004E-2</v>
      </c>
      <c r="F41" s="1917"/>
    </row>
    <row r="42" spans="1:6" ht="14.25" thickBot="1">
      <c r="A42" s="1342" t="s">
        <v>1377</v>
      </c>
      <c r="B42" s="1350" t="s">
        <v>1258</v>
      </c>
      <c r="C42" s="1912">
        <v>0.1</v>
      </c>
      <c r="D42" s="1912">
        <v>8.7999999999999995E-2</v>
      </c>
      <c r="E42" s="1912">
        <v>0.1</v>
      </c>
      <c r="F42" s="1917"/>
    </row>
    <row r="43" spans="1:6" ht="14.25" thickBot="1">
      <c r="A43" s="1342" t="s">
        <v>1377</v>
      </c>
      <c r="B43" s="1350" t="s">
        <v>1269</v>
      </c>
      <c r="C43" s="1912">
        <v>9.8000000000000004E-2</v>
      </c>
      <c r="D43" s="1912">
        <v>9.7000000000000003E-2</v>
      </c>
      <c r="E43" s="1912">
        <v>9.6000000000000002E-2</v>
      </c>
      <c r="F43" s="1917"/>
    </row>
    <row r="44" spans="1:6" ht="14.25" thickBot="1">
      <c r="A44" s="1342" t="s">
        <v>1377</v>
      </c>
      <c r="B44" s="1350" t="s">
        <v>1279</v>
      </c>
      <c r="C44" s="1912">
        <v>8.5999999999999993E-2</v>
      </c>
      <c r="D44" s="1912">
        <v>7.9000000000000001E-2</v>
      </c>
      <c r="E44" s="1912">
        <v>7.0999999999999994E-2</v>
      </c>
      <c r="F44" s="1917"/>
    </row>
    <row r="45" spans="1:6" ht="14.25" thickBot="1">
      <c r="A45" s="1342" t="s">
        <v>1377</v>
      </c>
      <c r="B45" s="1350" t="s">
        <v>1289</v>
      </c>
      <c r="C45" s="1912">
        <v>9.8000000000000004E-2</v>
      </c>
      <c r="D45" s="1912">
        <v>9.6000000000000002E-2</v>
      </c>
      <c r="E45" s="1912">
        <v>9.6000000000000002E-2</v>
      </c>
      <c r="F45" s="1917"/>
    </row>
    <row r="46" spans="1:6" ht="14.25" thickBot="1">
      <c r="A46" s="1342" t="s">
        <v>1377</v>
      </c>
      <c r="B46" s="1350" t="s">
        <v>1299</v>
      </c>
      <c r="C46" s="1912">
        <v>8.5999999999999993E-2</v>
      </c>
      <c r="D46" s="1912">
        <v>9.8000000000000004E-2</v>
      </c>
      <c r="E46" s="1912">
        <v>8.7999999999999995E-2</v>
      </c>
      <c r="F46" s="1917"/>
    </row>
    <row r="47" spans="1:6" ht="14.25" thickBot="1">
      <c r="A47" s="1342" t="s">
        <v>1377</v>
      </c>
      <c r="B47" s="1350" t="s">
        <v>1309</v>
      </c>
      <c r="C47" s="1912">
        <v>9.6000000000000002E-2</v>
      </c>
      <c r="D47" s="1918"/>
      <c r="E47" s="1912">
        <v>6.9000000000000006E-2</v>
      </c>
      <c r="F47" s="1917"/>
    </row>
    <row r="48" spans="1:6" ht="14.25" thickBot="1">
      <c r="A48" s="1359" t="s">
        <v>1377</v>
      </c>
      <c r="B48" s="1351" t="s">
        <v>1318</v>
      </c>
      <c r="C48" s="1914">
        <v>9.8000000000000004E-2</v>
      </c>
      <c r="D48" s="1915"/>
      <c r="E48" s="1914">
        <v>9.5000000000000001E-2</v>
      </c>
      <c r="F48" s="1916"/>
    </row>
    <row r="49" spans="1:6" ht="14.25" thickBot="1">
      <c r="A49" s="1342" t="s">
        <v>1048</v>
      </c>
      <c r="B49" s="1343" t="s">
        <v>2025</v>
      </c>
      <c r="C49" s="1910">
        <v>9.7000000000000003E-2</v>
      </c>
      <c r="D49" s="1910">
        <v>9.5000000000000001E-2</v>
      </c>
      <c r="E49" s="1910">
        <v>9.7000000000000003E-2</v>
      </c>
      <c r="F49" s="1911">
        <v>0.1</v>
      </c>
    </row>
    <row r="50" spans="1:6" ht="14.25" thickBot="1">
      <c r="A50" s="1342" t="s">
        <v>1048</v>
      </c>
      <c r="B50" s="1336" t="s">
        <v>1117</v>
      </c>
      <c r="C50" s="1912">
        <v>7.4999999999999997E-2</v>
      </c>
      <c r="D50" s="1912">
        <v>9.5000000000000001E-2</v>
      </c>
      <c r="E50" s="1912">
        <v>0.1</v>
      </c>
      <c r="F50" s="1913">
        <v>0.1</v>
      </c>
    </row>
    <row r="51" spans="1:6" ht="14.25" thickBot="1">
      <c r="A51" s="1342" t="s">
        <v>1048</v>
      </c>
      <c r="B51" s="1336" t="s">
        <v>1130</v>
      </c>
      <c r="C51" s="1912">
        <v>9.8000000000000004E-2</v>
      </c>
      <c r="D51" s="1912">
        <v>8.8999999999999996E-2</v>
      </c>
      <c r="E51" s="1912">
        <v>0.1</v>
      </c>
      <c r="F51" s="1913">
        <v>0.1</v>
      </c>
    </row>
    <row r="52" spans="1:6" ht="14.25" thickBot="1">
      <c r="A52" s="1342" t="s">
        <v>1048</v>
      </c>
      <c r="B52" s="1336" t="s">
        <v>1143</v>
      </c>
      <c r="C52" s="1912">
        <v>9.8000000000000004E-2</v>
      </c>
      <c r="D52" s="1912">
        <v>9.7000000000000003E-2</v>
      </c>
      <c r="E52" s="1912">
        <v>8.1000000000000003E-2</v>
      </c>
      <c r="F52" s="1913">
        <v>0.1</v>
      </c>
    </row>
    <row r="53" spans="1:6" ht="14.25" thickBot="1">
      <c r="A53" s="1342" t="s">
        <v>1048</v>
      </c>
      <c r="B53" s="1336" t="s">
        <v>1155</v>
      </c>
      <c r="C53" s="1912">
        <v>9.7000000000000003E-2</v>
      </c>
      <c r="D53" s="1912">
        <v>7.5999999999999998E-2</v>
      </c>
      <c r="E53" s="1912">
        <v>7.0999999999999994E-2</v>
      </c>
      <c r="F53" s="1913">
        <v>0.1</v>
      </c>
    </row>
    <row r="54" spans="1:6" ht="14.25" thickBot="1">
      <c r="A54" s="1342" t="s">
        <v>1048</v>
      </c>
      <c r="B54" s="1336" t="s">
        <v>1167</v>
      </c>
      <c r="C54" s="1912">
        <v>7.5999999999999998E-2</v>
      </c>
      <c r="D54" s="1912">
        <v>0.1</v>
      </c>
      <c r="E54" s="1912">
        <v>9.9000000000000005E-2</v>
      </c>
      <c r="F54" s="1913">
        <v>0.1</v>
      </c>
    </row>
    <row r="55" spans="1:6" ht="14.25" thickBot="1">
      <c r="A55" s="1342" t="s">
        <v>1048</v>
      </c>
      <c r="B55" s="1336" t="s">
        <v>1179</v>
      </c>
      <c r="C55" s="1912">
        <v>0.1</v>
      </c>
      <c r="D55" s="1912">
        <v>0.1</v>
      </c>
      <c r="E55" s="1912">
        <v>9.6000000000000002E-2</v>
      </c>
      <c r="F55" s="1913">
        <v>0.1</v>
      </c>
    </row>
    <row r="56" spans="1:6" ht="14.25" thickBot="1">
      <c r="A56" s="1342" t="s">
        <v>1048</v>
      </c>
      <c r="B56" s="1336" t="s">
        <v>1191</v>
      </c>
      <c r="C56" s="1912">
        <v>0.1</v>
      </c>
      <c r="D56" s="1912">
        <v>9.6000000000000002E-2</v>
      </c>
      <c r="E56" s="1912">
        <v>5.1999999999999998E-2</v>
      </c>
      <c r="F56" s="1913">
        <v>0.1</v>
      </c>
    </row>
    <row r="57" spans="1:6" ht="14.25" thickBot="1">
      <c r="A57" s="1342" t="s">
        <v>1048</v>
      </c>
      <c r="B57" s="1336" t="s">
        <v>1204</v>
      </c>
      <c r="C57" s="1912">
        <v>9.7000000000000003E-2</v>
      </c>
      <c r="D57" s="1912">
        <v>9.6000000000000002E-2</v>
      </c>
      <c r="E57" s="1912">
        <v>9.6000000000000002E-2</v>
      </c>
      <c r="F57" s="1913">
        <v>0.1</v>
      </c>
    </row>
    <row r="58" spans="1:6" ht="14.25" thickBot="1">
      <c r="A58" s="1342" t="s">
        <v>1048</v>
      </c>
      <c r="B58" s="1336" t="s">
        <v>1215</v>
      </c>
      <c r="C58" s="1912">
        <v>9.6000000000000002E-2</v>
      </c>
      <c r="D58" s="1912">
        <v>9.9000000000000005E-2</v>
      </c>
      <c r="E58" s="1912">
        <v>9.6000000000000002E-2</v>
      </c>
      <c r="F58" s="1913">
        <v>0.1</v>
      </c>
    </row>
    <row r="59" spans="1:6" ht="14.25" thickBot="1">
      <c r="A59" s="1342" t="s">
        <v>1048</v>
      </c>
      <c r="B59" s="1336" t="s">
        <v>1226</v>
      </c>
      <c r="C59" s="1912">
        <v>7.1999999999999995E-2</v>
      </c>
      <c r="D59" s="1912">
        <v>9.6000000000000002E-2</v>
      </c>
      <c r="E59" s="1912">
        <v>7.0999999999999994E-2</v>
      </c>
      <c r="F59" s="1913">
        <v>0.1</v>
      </c>
    </row>
    <row r="60" spans="1:6" ht="14.25" thickBot="1">
      <c r="A60" s="1342" t="s">
        <v>1048</v>
      </c>
      <c r="B60" s="1336" t="s">
        <v>1237</v>
      </c>
      <c r="C60" s="1912">
        <v>9.6000000000000002E-2</v>
      </c>
      <c r="D60" s="1912">
        <v>8.8999999999999996E-2</v>
      </c>
      <c r="E60" s="1912">
        <v>9.6000000000000002E-2</v>
      </c>
      <c r="F60" s="1913">
        <v>0.1</v>
      </c>
    </row>
    <row r="61" spans="1:6" ht="14.25" thickBot="1">
      <c r="A61" s="1342" t="s">
        <v>1048</v>
      </c>
      <c r="B61" s="1336" t="s">
        <v>1248</v>
      </c>
      <c r="C61" s="1912">
        <v>8.8999999999999996E-2</v>
      </c>
      <c r="D61" s="1912">
        <v>9.8000000000000004E-2</v>
      </c>
      <c r="E61" s="1912">
        <v>8.7999999999999995E-2</v>
      </c>
      <c r="F61" s="1917"/>
    </row>
    <row r="62" spans="1:6" ht="14.25" thickBot="1">
      <c r="A62" s="1342" t="s">
        <v>1048</v>
      </c>
      <c r="B62" s="1336" t="s">
        <v>1259</v>
      </c>
      <c r="C62" s="1912">
        <v>9.8000000000000004E-2</v>
      </c>
      <c r="D62" s="1912">
        <v>9.2999999999999999E-2</v>
      </c>
      <c r="E62" s="1912">
        <v>9.7000000000000003E-2</v>
      </c>
      <c r="F62" s="1917"/>
    </row>
    <row r="63" spans="1:6" ht="14.25" thickBot="1">
      <c r="A63" s="1342" t="s">
        <v>1048</v>
      </c>
      <c r="B63" s="1336" t="s">
        <v>1270</v>
      </c>
      <c r="C63" s="1912">
        <v>9.6000000000000002E-2</v>
      </c>
      <c r="D63" s="1912">
        <v>9.8000000000000004E-2</v>
      </c>
      <c r="E63" s="1912">
        <v>0.09</v>
      </c>
      <c r="F63" s="1917"/>
    </row>
    <row r="64" spans="1:6" ht="14.25" thickBot="1">
      <c r="A64" s="1342" t="s">
        <v>1048</v>
      </c>
      <c r="B64" s="1336" t="s">
        <v>1280</v>
      </c>
      <c r="C64" s="1912">
        <v>9.9000000000000005E-2</v>
      </c>
      <c r="D64" s="1912">
        <v>9.7000000000000003E-2</v>
      </c>
      <c r="E64" s="1912">
        <v>9.9000000000000005E-2</v>
      </c>
      <c r="F64" s="1917"/>
    </row>
    <row r="65" spans="1:6" ht="14.25" thickBot="1">
      <c r="A65" s="1342" t="s">
        <v>1048</v>
      </c>
      <c r="B65" s="1336" t="s">
        <v>1290</v>
      </c>
      <c r="C65" s="1912">
        <v>9.8000000000000004E-2</v>
      </c>
      <c r="D65" s="1912">
        <v>9.6000000000000002E-2</v>
      </c>
      <c r="E65" s="1912">
        <v>9.6000000000000002E-2</v>
      </c>
      <c r="F65" s="1917"/>
    </row>
    <row r="66" spans="1:6" ht="14.25" thickBot="1">
      <c r="A66" s="1342" t="s">
        <v>1048</v>
      </c>
      <c r="B66" s="1336" t="s">
        <v>1300</v>
      </c>
      <c r="C66" s="1912">
        <v>9.6000000000000002E-2</v>
      </c>
      <c r="D66" s="1912">
        <v>9.1999999999999998E-2</v>
      </c>
      <c r="E66" s="1912">
        <v>9.6000000000000002E-2</v>
      </c>
      <c r="F66" s="1917"/>
    </row>
    <row r="67" spans="1:6" ht="14.25" thickBot="1">
      <c r="A67" s="1342" t="s">
        <v>1048</v>
      </c>
      <c r="B67" s="1336" t="s">
        <v>1310</v>
      </c>
      <c r="C67" s="1912">
        <v>9.4E-2</v>
      </c>
      <c r="D67" s="1912">
        <v>0.1</v>
      </c>
      <c r="E67" s="1912">
        <v>8.7999999999999995E-2</v>
      </c>
      <c r="F67" s="1917"/>
    </row>
    <row r="68" spans="1:6" ht="14.25" thickBot="1">
      <c r="A68" s="1342" t="s">
        <v>1048</v>
      </c>
      <c r="B68" s="1336" t="s">
        <v>1319</v>
      </c>
      <c r="C68" s="1912">
        <v>0.1</v>
      </c>
      <c r="D68" s="1912">
        <v>8.7999999999999995E-2</v>
      </c>
      <c r="E68" s="1912">
        <v>9.7000000000000003E-2</v>
      </c>
      <c r="F68" s="1917"/>
    </row>
    <row r="69" spans="1:6" ht="14.25" thickBot="1">
      <c r="A69" s="1342" t="s">
        <v>1048</v>
      </c>
      <c r="B69" s="1336" t="s">
        <v>1328</v>
      </c>
      <c r="C69" s="1912">
        <v>6.4000000000000001E-2</v>
      </c>
      <c r="D69" s="1912">
        <v>0.1</v>
      </c>
      <c r="E69" s="1912">
        <v>0.1</v>
      </c>
      <c r="F69" s="1917"/>
    </row>
    <row r="70" spans="1:6" ht="14.25" thickBot="1">
      <c r="A70" s="1342" t="s">
        <v>1048</v>
      </c>
      <c r="B70" s="1336" t="s">
        <v>1336</v>
      </c>
      <c r="C70" s="1912">
        <v>9.0999999999999998E-2</v>
      </c>
      <c r="D70" s="1918"/>
      <c r="E70" s="1918"/>
      <c r="F70" s="1917"/>
    </row>
    <row r="71" spans="1:6" ht="14.25" thickBot="1">
      <c r="A71" s="1342" t="s">
        <v>1048</v>
      </c>
      <c r="B71" s="1336" t="s">
        <v>1343</v>
      </c>
      <c r="C71" s="1912">
        <v>0.1</v>
      </c>
      <c r="D71" s="1918"/>
      <c r="E71" s="1918"/>
      <c r="F71" s="1917"/>
    </row>
    <row r="72" spans="1:6" ht="14.25" thickBot="1">
      <c r="A72" s="1342" t="s">
        <v>1048</v>
      </c>
      <c r="B72" s="1336" t="s">
        <v>2026</v>
      </c>
      <c r="C72" s="1918"/>
      <c r="D72" s="1918"/>
      <c r="E72" s="1918"/>
      <c r="F72" s="1913">
        <v>0.05</v>
      </c>
    </row>
    <row r="73" spans="1:6" ht="14.25" thickBot="1">
      <c r="A73" s="1342" t="s">
        <v>1048</v>
      </c>
      <c r="B73" s="1336" t="s">
        <v>2027</v>
      </c>
      <c r="C73" s="1918"/>
      <c r="D73" s="1918"/>
      <c r="E73" s="1918"/>
      <c r="F73" s="1913">
        <v>0.05</v>
      </c>
    </row>
    <row r="74" spans="1:6" ht="14.25" thickBot="1">
      <c r="A74" s="1342" t="s">
        <v>1048</v>
      </c>
      <c r="B74" s="1336" t="s">
        <v>2028</v>
      </c>
      <c r="C74" s="1918"/>
      <c r="D74" s="1918"/>
      <c r="E74" s="1918"/>
      <c r="F74" s="1913">
        <v>0.05</v>
      </c>
    </row>
    <row r="75" spans="1:6" ht="14.25" thickBot="1">
      <c r="A75" s="1359" t="s">
        <v>1048</v>
      </c>
      <c r="B75" s="1352" t="s">
        <v>2029</v>
      </c>
      <c r="C75" s="1915"/>
      <c r="D75" s="1915"/>
      <c r="E75" s="1915"/>
      <c r="F75" s="1919">
        <v>0.05</v>
      </c>
    </row>
    <row r="76" spans="1:6" ht="14.25" thickBot="1">
      <c r="A76" s="1342" t="s">
        <v>1458</v>
      </c>
      <c r="B76" s="1343" t="s">
        <v>2030</v>
      </c>
      <c r="C76" s="1910">
        <v>0.1</v>
      </c>
      <c r="D76" s="1910">
        <v>0.1</v>
      </c>
      <c r="E76" s="1910">
        <v>0.1</v>
      </c>
      <c r="F76" s="1911">
        <v>0.1</v>
      </c>
    </row>
    <row r="77" spans="1:6" ht="14.25" thickBot="1">
      <c r="A77" s="1342" t="s">
        <v>1458</v>
      </c>
      <c r="B77" s="1336" t="s">
        <v>1118</v>
      </c>
      <c r="C77" s="1912">
        <v>8.7999999999999995E-2</v>
      </c>
      <c r="D77" s="1912">
        <v>8.6999999999999994E-2</v>
      </c>
      <c r="E77" s="1912">
        <v>7.9000000000000001E-2</v>
      </c>
      <c r="F77" s="1913">
        <v>0.1</v>
      </c>
    </row>
    <row r="78" spans="1:6" ht="14.25" thickBot="1">
      <c r="A78" s="1342" t="s">
        <v>1458</v>
      </c>
      <c r="B78" s="1336" t="s">
        <v>1131</v>
      </c>
      <c r="C78" s="1912">
        <v>8.6999999999999994E-2</v>
      </c>
      <c r="D78" s="1912">
        <v>8.4000000000000005E-2</v>
      </c>
      <c r="E78" s="1912">
        <v>9.6000000000000002E-2</v>
      </c>
      <c r="F78" s="1913">
        <v>0.1</v>
      </c>
    </row>
    <row r="79" spans="1:6" ht="14.25" thickBot="1">
      <c r="A79" s="1342" t="s">
        <v>1458</v>
      </c>
      <c r="B79" s="1336" t="s">
        <v>1144</v>
      </c>
      <c r="C79" s="1912">
        <v>9.8000000000000004E-2</v>
      </c>
      <c r="D79" s="1912">
        <v>9.8000000000000004E-2</v>
      </c>
      <c r="E79" s="1912">
        <v>9.0999999999999998E-2</v>
      </c>
      <c r="F79" s="1913">
        <v>0.1</v>
      </c>
    </row>
    <row r="80" spans="1:6" ht="14.25" thickBot="1">
      <c r="A80" s="1342" t="s">
        <v>1458</v>
      </c>
      <c r="B80" s="1336" t="s">
        <v>1156</v>
      </c>
      <c r="C80" s="1912">
        <v>9.6000000000000002E-2</v>
      </c>
      <c r="D80" s="1912">
        <v>9.6000000000000002E-2</v>
      </c>
      <c r="E80" s="1912">
        <v>0.1</v>
      </c>
      <c r="F80" s="1913">
        <v>0.1</v>
      </c>
    </row>
    <row r="81" spans="1:6" ht="14.25" thickBot="1">
      <c r="A81" s="1342" t="s">
        <v>1458</v>
      </c>
      <c r="B81" s="1336" t="s">
        <v>1168</v>
      </c>
      <c r="C81" s="1912">
        <v>9.9000000000000005E-2</v>
      </c>
      <c r="D81" s="1912">
        <v>9.9000000000000005E-2</v>
      </c>
      <c r="E81" s="1912">
        <v>9.8000000000000004E-2</v>
      </c>
      <c r="F81" s="1913">
        <v>0.1</v>
      </c>
    </row>
    <row r="82" spans="1:6" ht="14.25" thickBot="1">
      <c r="A82" s="1342" t="s">
        <v>1458</v>
      </c>
      <c r="B82" s="1336" t="s">
        <v>1180</v>
      </c>
      <c r="C82" s="1912">
        <v>9.9000000000000005E-2</v>
      </c>
      <c r="D82" s="1912">
        <v>9.9000000000000005E-2</v>
      </c>
      <c r="E82" s="1912">
        <v>9.7000000000000003E-2</v>
      </c>
      <c r="F82" s="1913">
        <v>0.1</v>
      </c>
    </row>
    <row r="83" spans="1:6" ht="14.25" thickBot="1">
      <c r="A83" s="1342" t="s">
        <v>1458</v>
      </c>
      <c r="B83" s="1336" t="s">
        <v>1192</v>
      </c>
      <c r="C83" s="1912">
        <v>9.8000000000000004E-2</v>
      </c>
      <c r="D83" s="1912">
        <v>9.8000000000000004E-2</v>
      </c>
      <c r="E83" s="1912">
        <v>9.8000000000000004E-2</v>
      </c>
      <c r="F83" s="1913">
        <v>0.1</v>
      </c>
    </row>
    <row r="84" spans="1:6" ht="14.25" thickBot="1">
      <c r="A84" s="1342" t="s">
        <v>1458</v>
      </c>
      <c r="B84" s="1336" t="s">
        <v>1205</v>
      </c>
      <c r="C84" s="1912">
        <v>9.9000000000000005E-2</v>
      </c>
      <c r="D84" s="1912">
        <v>9.9000000000000005E-2</v>
      </c>
      <c r="E84" s="1912">
        <v>9.9000000000000005E-2</v>
      </c>
      <c r="F84" s="1913">
        <v>0.1</v>
      </c>
    </row>
    <row r="85" spans="1:6" ht="14.25" thickBot="1">
      <c r="A85" s="1342" t="s">
        <v>1458</v>
      </c>
      <c r="B85" s="1336" t="s">
        <v>1216</v>
      </c>
      <c r="C85" s="1912">
        <v>9.9000000000000005E-2</v>
      </c>
      <c r="D85" s="1912">
        <v>9.9000000000000005E-2</v>
      </c>
      <c r="E85" s="1912">
        <v>9.9000000000000005E-2</v>
      </c>
      <c r="F85" s="1913">
        <v>0.1</v>
      </c>
    </row>
    <row r="86" spans="1:6" ht="14.25" thickBot="1">
      <c r="A86" s="1342" t="s">
        <v>1458</v>
      </c>
      <c r="B86" s="1336" t="s">
        <v>1227</v>
      </c>
      <c r="C86" s="1912">
        <v>0.1</v>
      </c>
      <c r="D86" s="1912">
        <v>0.1</v>
      </c>
      <c r="E86" s="1912">
        <v>7.6999999999999999E-2</v>
      </c>
      <c r="F86" s="1913">
        <v>0.1</v>
      </c>
    </row>
    <row r="87" spans="1:6" ht="14.25" thickBot="1">
      <c r="A87" s="1342" t="s">
        <v>1458</v>
      </c>
      <c r="B87" s="1336" t="s">
        <v>1238</v>
      </c>
      <c r="C87" s="1912">
        <v>0.1</v>
      </c>
      <c r="D87" s="1912">
        <v>0.1</v>
      </c>
      <c r="E87" s="1912">
        <v>9.8000000000000004E-2</v>
      </c>
      <c r="F87" s="1917"/>
    </row>
    <row r="88" spans="1:6" ht="14.25" thickBot="1">
      <c r="A88" s="1342" t="s">
        <v>1458</v>
      </c>
      <c r="B88" s="1336" t="s">
        <v>1249</v>
      </c>
      <c r="C88" s="1912">
        <v>9.1999999999999998E-2</v>
      </c>
      <c r="D88" s="1912">
        <v>8.5000000000000006E-2</v>
      </c>
      <c r="E88" s="1912">
        <v>9.6000000000000002E-2</v>
      </c>
      <c r="F88" s="1917"/>
    </row>
    <row r="89" spans="1:6" ht="14.25" thickBot="1">
      <c r="A89" s="1342" t="s">
        <v>1458</v>
      </c>
      <c r="B89" s="1336" t="s">
        <v>1260</v>
      </c>
      <c r="C89" s="1912">
        <v>0.1</v>
      </c>
      <c r="D89" s="1912">
        <v>0.1</v>
      </c>
      <c r="E89" s="1912">
        <v>9.7000000000000003E-2</v>
      </c>
      <c r="F89" s="1917"/>
    </row>
    <row r="90" spans="1:6" ht="14.25" thickBot="1">
      <c r="A90" s="1342" t="s">
        <v>1458</v>
      </c>
      <c r="B90" s="1336" t="s">
        <v>1271</v>
      </c>
      <c r="C90" s="1912">
        <v>9.8000000000000004E-2</v>
      </c>
      <c r="D90" s="1912">
        <v>9.8000000000000004E-2</v>
      </c>
      <c r="E90" s="1912">
        <v>8.7999999999999995E-2</v>
      </c>
      <c r="F90" s="1917"/>
    </row>
    <row r="91" spans="1:6" ht="14.25" thickBot="1">
      <c r="A91" s="1342" t="s">
        <v>1458</v>
      </c>
      <c r="B91" s="1336" t="s">
        <v>1281</v>
      </c>
      <c r="C91" s="1912">
        <v>9.9000000000000005E-2</v>
      </c>
      <c r="D91" s="1912">
        <v>9.9000000000000005E-2</v>
      </c>
      <c r="E91" s="1912">
        <v>9.0999999999999998E-2</v>
      </c>
      <c r="F91" s="1917"/>
    </row>
    <row r="92" spans="1:6" ht="14.25" thickBot="1">
      <c r="A92" s="1342" t="s">
        <v>1458</v>
      </c>
      <c r="B92" s="1336" t="s">
        <v>1291</v>
      </c>
      <c r="C92" s="1912">
        <v>9.6000000000000002E-2</v>
      </c>
      <c r="D92" s="1912">
        <v>9.6000000000000002E-2</v>
      </c>
      <c r="E92" s="1912">
        <v>7.2999999999999995E-2</v>
      </c>
      <c r="F92" s="1917"/>
    </row>
    <row r="93" spans="1:6" ht="14.25" thickBot="1">
      <c r="A93" s="1342" t="s">
        <v>1458</v>
      </c>
      <c r="B93" s="1336" t="s">
        <v>1301</v>
      </c>
      <c r="C93" s="1912">
        <v>9.6000000000000002E-2</v>
      </c>
      <c r="D93" s="1912">
        <v>9.6000000000000002E-2</v>
      </c>
      <c r="E93" s="1912">
        <v>9.9000000000000005E-2</v>
      </c>
      <c r="F93" s="1917"/>
    </row>
    <row r="94" spans="1:6" ht="14.25" thickBot="1">
      <c r="A94" s="1342" t="s">
        <v>1458</v>
      </c>
      <c r="B94" s="1336" t="s">
        <v>1311</v>
      </c>
      <c r="C94" s="1912">
        <v>7.5999999999999998E-2</v>
      </c>
      <c r="D94" s="1912">
        <v>7.3999999999999996E-2</v>
      </c>
      <c r="E94" s="1912">
        <v>9.7000000000000003E-2</v>
      </c>
      <c r="F94" s="1917"/>
    </row>
    <row r="95" spans="1:6" ht="14.25" thickBot="1">
      <c r="A95" s="1342" t="s">
        <v>1458</v>
      </c>
      <c r="B95" s="1336" t="s">
        <v>1320</v>
      </c>
      <c r="C95" s="1912">
        <v>9.9000000000000005E-2</v>
      </c>
      <c r="D95" s="1912">
        <v>9.4E-2</v>
      </c>
      <c r="E95" s="1912">
        <v>9.6000000000000002E-2</v>
      </c>
      <c r="F95" s="1917"/>
    </row>
    <row r="96" spans="1:6" ht="14.25" thickBot="1">
      <c r="A96" s="1342" t="s">
        <v>1458</v>
      </c>
      <c r="B96" s="1336" t="s">
        <v>1329</v>
      </c>
      <c r="C96" s="1912">
        <v>9.9000000000000005E-2</v>
      </c>
      <c r="D96" s="1912">
        <v>9.9000000000000005E-2</v>
      </c>
      <c r="E96" s="1912">
        <v>9.9000000000000005E-2</v>
      </c>
      <c r="F96" s="1917"/>
    </row>
    <row r="97" spans="1:6" ht="14.25" thickBot="1">
      <c r="A97" s="1342" t="s">
        <v>1458</v>
      </c>
      <c r="B97" s="1336" t="s">
        <v>1337</v>
      </c>
      <c r="C97" s="1912">
        <v>9.8000000000000004E-2</v>
      </c>
      <c r="D97" s="1912">
        <v>9.8000000000000004E-2</v>
      </c>
      <c r="E97" s="1912">
        <v>9.7000000000000003E-2</v>
      </c>
      <c r="F97" s="1917"/>
    </row>
    <row r="98" spans="1:6" ht="14.25" thickBot="1">
      <c r="A98" s="1342" t="s">
        <v>1458</v>
      </c>
      <c r="B98" s="1336" t="s">
        <v>1344</v>
      </c>
      <c r="C98" s="1912">
        <v>0.1</v>
      </c>
      <c r="D98" s="1912">
        <v>0.1</v>
      </c>
      <c r="E98" s="1912">
        <v>9.7000000000000003E-2</v>
      </c>
      <c r="F98" s="1917"/>
    </row>
    <row r="99" spans="1:6" ht="14.25" thickBot="1">
      <c r="A99" s="1342" t="s">
        <v>1458</v>
      </c>
      <c r="B99" s="1336" t="s">
        <v>1351</v>
      </c>
      <c r="C99" s="1912">
        <v>0.1</v>
      </c>
      <c r="D99" s="1912">
        <v>0.1</v>
      </c>
      <c r="E99" s="1918"/>
      <c r="F99" s="1917"/>
    </row>
    <row r="100" spans="1:6" ht="14.25" thickBot="1">
      <c r="A100" s="1342" t="s">
        <v>1458</v>
      </c>
      <c r="B100" s="1336" t="s">
        <v>1358</v>
      </c>
      <c r="C100" s="1912">
        <v>0.09</v>
      </c>
      <c r="D100" s="1912">
        <v>8.8999999999999996E-2</v>
      </c>
      <c r="E100" s="1918"/>
      <c r="F100" s="1917"/>
    </row>
    <row r="101" spans="1:6" ht="14.25" thickBot="1">
      <c r="A101" s="1342" t="s">
        <v>1458</v>
      </c>
      <c r="B101" s="1336" t="s">
        <v>1365</v>
      </c>
      <c r="C101" s="1912">
        <v>9.8000000000000004E-2</v>
      </c>
      <c r="D101" s="1912">
        <v>9.7000000000000003E-2</v>
      </c>
      <c r="E101" s="1918"/>
      <c r="F101" s="1917"/>
    </row>
    <row r="102" spans="1:6" ht="14.25" thickBot="1">
      <c r="A102" s="1342" t="s">
        <v>1458</v>
      </c>
      <c r="B102" s="1336" t="s">
        <v>2031</v>
      </c>
      <c r="C102" s="1918"/>
      <c r="D102" s="1918"/>
      <c r="E102" s="1918"/>
      <c r="F102" s="1913">
        <v>0.05</v>
      </c>
    </row>
    <row r="103" spans="1:6" ht="24.75" thickBot="1">
      <c r="A103" s="1342" t="s">
        <v>1458</v>
      </c>
      <c r="B103" s="1336" t="s">
        <v>2032</v>
      </c>
      <c r="C103" s="1918"/>
      <c r="D103" s="1918"/>
      <c r="E103" s="1918"/>
      <c r="F103" s="1913">
        <v>0.05</v>
      </c>
    </row>
    <row r="104" spans="1:6" ht="14.25" thickBot="1">
      <c r="A104" s="1342" t="s">
        <v>1458</v>
      </c>
      <c r="B104" s="1336" t="s">
        <v>2033</v>
      </c>
      <c r="C104" s="1918"/>
      <c r="D104" s="1918"/>
      <c r="E104" s="1918"/>
      <c r="F104" s="1913">
        <v>0.05</v>
      </c>
    </row>
    <row r="105" spans="1:6" ht="14.25" thickBot="1">
      <c r="A105" s="1342" t="s">
        <v>1458</v>
      </c>
      <c r="B105" s="1336" t="s">
        <v>2034</v>
      </c>
      <c r="C105" s="1918"/>
      <c r="D105" s="1918"/>
      <c r="E105" s="1918"/>
      <c r="F105" s="1913">
        <v>0.05</v>
      </c>
    </row>
    <row r="106" spans="1:6" ht="14.25" thickBot="1">
      <c r="A106" s="1342" t="s">
        <v>1458</v>
      </c>
      <c r="B106" s="1336" t="s">
        <v>2035</v>
      </c>
      <c r="C106" s="1918"/>
      <c r="D106" s="1918"/>
      <c r="E106" s="1918"/>
      <c r="F106" s="1913">
        <v>0.05</v>
      </c>
    </row>
    <row r="107" spans="1:6" ht="24.75" thickBot="1">
      <c r="A107" s="1342" t="s">
        <v>1458</v>
      </c>
      <c r="B107" s="1336" t="s">
        <v>2036</v>
      </c>
      <c r="C107" s="1918"/>
      <c r="D107" s="1918"/>
      <c r="E107" s="1918"/>
      <c r="F107" s="1913">
        <v>0.05</v>
      </c>
    </row>
    <row r="108" spans="1:6" ht="24.75" thickBot="1">
      <c r="A108" s="1342" t="s">
        <v>1458</v>
      </c>
      <c r="B108" s="1336" t="s">
        <v>2037</v>
      </c>
      <c r="C108" s="1918"/>
      <c r="D108" s="1918"/>
      <c r="E108" s="1918"/>
      <c r="F108" s="1913">
        <v>0.05</v>
      </c>
    </row>
    <row r="109" spans="1:6" ht="24.75" thickBot="1">
      <c r="A109" s="1359" t="s">
        <v>1458</v>
      </c>
      <c r="B109" s="1352" t="s">
        <v>2038</v>
      </c>
      <c r="C109" s="1915"/>
      <c r="D109" s="1915"/>
      <c r="E109" s="1915"/>
      <c r="F109" s="1919">
        <v>0.05</v>
      </c>
    </row>
    <row r="110" spans="1:6" ht="14.25" thickBot="1">
      <c r="A110" s="1342" t="s">
        <v>210</v>
      </c>
      <c r="B110" s="1343" t="s">
        <v>2039</v>
      </c>
      <c r="C110" s="1910">
        <v>0.129</v>
      </c>
      <c r="D110" s="1910">
        <v>0.129</v>
      </c>
      <c r="E110" s="1910">
        <v>0.126</v>
      </c>
      <c r="F110" s="1911">
        <v>0.13</v>
      </c>
    </row>
    <row r="111" spans="1:6" ht="14.25" thickBot="1">
      <c r="A111" s="1342" t="s">
        <v>210</v>
      </c>
      <c r="B111" s="1336" t="s">
        <v>1119</v>
      </c>
      <c r="C111" s="1912">
        <v>0.11</v>
      </c>
      <c r="D111" s="1912">
        <v>0.11</v>
      </c>
      <c r="E111" s="1912">
        <v>9.9000000000000005E-2</v>
      </c>
      <c r="F111" s="1913">
        <v>0.128</v>
      </c>
    </row>
    <row r="112" spans="1:6" ht="14.25" thickBot="1">
      <c r="A112" s="1342" t="s">
        <v>210</v>
      </c>
      <c r="B112" s="1336" t="s">
        <v>1132</v>
      </c>
      <c r="C112" s="1912">
        <v>0.125</v>
      </c>
      <c r="D112" s="1912">
        <v>0.125</v>
      </c>
      <c r="E112" s="1912">
        <v>0.12</v>
      </c>
      <c r="F112" s="1913">
        <v>0.125</v>
      </c>
    </row>
    <row r="113" spans="1:6" ht="14.25" thickBot="1">
      <c r="A113" s="1342" t="s">
        <v>210</v>
      </c>
      <c r="B113" s="1336" t="s">
        <v>1145</v>
      </c>
      <c r="C113" s="1912">
        <v>0.13</v>
      </c>
      <c r="D113" s="1912">
        <v>0.13</v>
      </c>
      <c r="E113" s="1912">
        <v>0.13</v>
      </c>
      <c r="F113" s="1913">
        <v>0.13</v>
      </c>
    </row>
    <row r="114" spans="1:6" ht="14.25" thickBot="1">
      <c r="A114" s="1342" t="s">
        <v>210</v>
      </c>
      <c r="B114" s="1336" t="s">
        <v>1157</v>
      </c>
      <c r="C114" s="1912">
        <v>0.123</v>
      </c>
      <c r="D114" s="1912">
        <v>0.123</v>
      </c>
      <c r="E114" s="1912">
        <v>0.12</v>
      </c>
      <c r="F114" s="1913">
        <v>0.13</v>
      </c>
    </row>
    <row r="115" spans="1:6" ht="14.25" thickBot="1">
      <c r="A115" s="1342" t="s">
        <v>210</v>
      </c>
      <c r="B115" s="1336" t="s">
        <v>1169</v>
      </c>
      <c r="C115" s="1912">
        <v>0.125</v>
      </c>
      <c r="D115" s="1912">
        <v>0.125</v>
      </c>
      <c r="E115" s="1912">
        <v>0.11700000000000001</v>
      </c>
      <c r="F115" s="1913">
        <v>0.13</v>
      </c>
    </row>
    <row r="116" spans="1:6" ht="14.25" thickBot="1">
      <c r="A116" s="1342" t="s">
        <v>210</v>
      </c>
      <c r="B116" s="1336" t="s">
        <v>1181</v>
      </c>
      <c r="C116" s="1912">
        <v>0.11700000000000001</v>
      </c>
      <c r="D116" s="1912">
        <v>0.11700000000000001</v>
      </c>
      <c r="E116" s="1912">
        <v>8.7999999999999995E-2</v>
      </c>
      <c r="F116" s="1913">
        <v>0.13</v>
      </c>
    </row>
    <row r="117" spans="1:6" ht="14.25" thickBot="1">
      <c r="A117" s="1342" t="s">
        <v>210</v>
      </c>
      <c r="B117" s="1336" t="s">
        <v>1193</v>
      </c>
      <c r="C117" s="1912">
        <v>0.13</v>
      </c>
      <c r="D117" s="1912">
        <v>0.13</v>
      </c>
      <c r="E117" s="1912">
        <v>0.129</v>
      </c>
      <c r="F117" s="1913">
        <v>0.13</v>
      </c>
    </row>
    <row r="118" spans="1:6" ht="14.25" thickBot="1">
      <c r="A118" s="1342" t="s">
        <v>210</v>
      </c>
      <c r="B118" s="1336" t="s">
        <v>1206</v>
      </c>
      <c r="C118" s="1912">
        <v>0.123</v>
      </c>
      <c r="D118" s="1912">
        <v>0.123</v>
      </c>
      <c r="E118" s="1912">
        <v>0.11600000000000001</v>
      </c>
      <c r="F118" s="1913">
        <v>0.13</v>
      </c>
    </row>
    <row r="119" spans="1:6" ht="14.25" thickBot="1">
      <c r="A119" s="1342" t="s">
        <v>210</v>
      </c>
      <c r="B119" s="1336" t="s">
        <v>1217</v>
      </c>
      <c r="C119" s="1912">
        <v>0.127</v>
      </c>
      <c r="D119" s="1912">
        <v>0.127</v>
      </c>
      <c r="E119" s="1912">
        <v>0.124</v>
      </c>
      <c r="F119" s="1913">
        <v>0.13</v>
      </c>
    </row>
    <row r="120" spans="1:6" ht="14.25" thickBot="1">
      <c r="A120" s="1342" t="s">
        <v>210</v>
      </c>
      <c r="B120" s="1336" t="s">
        <v>1228</v>
      </c>
      <c r="C120" s="1912">
        <v>0.125</v>
      </c>
      <c r="D120" s="1912">
        <v>0.125</v>
      </c>
      <c r="E120" s="1912">
        <v>0.122</v>
      </c>
      <c r="F120" s="1913">
        <v>0.13</v>
      </c>
    </row>
    <row r="121" spans="1:6" ht="14.25" thickBot="1">
      <c r="A121" s="1342" t="s">
        <v>210</v>
      </c>
      <c r="B121" s="1336" t="s">
        <v>1239</v>
      </c>
      <c r="C121" s="1912">
        <v>0.13</v>
      </c>
      <c r="D121" s="1912">
        <v>0.13</v>
      </c>
      <c r="E121" s="1912">
        <v>0.13</v>
      </c>
      <c r="F121" s="1913">
        <v>0.13</v>
      </c>
    </row>
    <row r="122" spans="1:6" ht="14.25" thickBot="1">
      <c r="A122" s="1342" t="s">
        <v>210</v>
      </c>
      <c r="B122" s="1336" t="s">
        <v>1250</v>
      </c>
      <c r="C122" s="1912">
        <v>0.13</v>
      </c>
      <c r="D122" s="1912">
        <v>0.13</v>
      </c>
      <c r="E122" s="1912">
        <v>0.125</v>
      </c>
      <c r="F122" s="1913">
        <v>0.13</v>
      </c>
    </row>
    <row r="123" spans="1:6" ht="14.25" thickBot="1">
      <c r="A123" s="1342" t="s">
        <v>210</v>
      </c>
      <c r="B123" s="1336" t="s">
        <v>1261</v>
      </c>
      <c r="C123" s="1912">
        <v>0.129</v>
      </c>
      <c r="D123" s="1912">
        <v>0.129</v>
      </c>
      <c r="E123" s="1912">
        <v>0.123</v>
      </c>
      <c r="F123" s="1913">
        <v>0.13</v>
      </c>
    </row>
    <row r="124" spans="1:6" ht="14.25" thickBot="1">
      <c r="A124" s="1342" t="s">
        <v>210</v>
      </c>
      <c r="B124" s="1336" t="s">
        <v>1272</v>
      </c>
      <c r="C124" s="1912">
        <v>0.10199999999999999</v>
      </c>
      <c r="D124" s="1912">
        <v>0.10100000000000001</v>
      </c>
      <c r="E124" s="1912">
        <v>0.08</v>
      </c>
      <c r="F124" s="1917"/>
    </row>
    <row r="125" spans="1:6" ht="14.25" thickBot="1">
      <c r="A125" s="1342" t="s">
        <v>210</v>
      </c>
      <c r="B125" s="1336" t="s">
        <v>1282</v>
      </c>
      <c r="C125" s="1912">
        <v>0.13</v>
      </c>
      <c r="D125" s="1912">
        <v>0.13</v>
      </c>
      <c r="E125" s="1912">
        <v>0.129</v>
      </c>
      <c r="F125" s="1917"/>
    </row>
    <row r="126" spans="1:6" ht="14.25" thickBot="1">
      <c r="A126" s="1342" t="s">
        <v>210</v>
      </c>
      <c r="B126" s="1336" t="s">
        <v>1292</v>
      </c>
      <c r="C126" s="1912">
        <v>0.13</v>
      </c>
      <c r="D126" s="1912">
        <v>0.13</v>
      </c>
      <c r="E126" s="1912">
        <v>0.126</v>
      </c>
      <c r="F126" s="1917"/>
    </row>
    <row r="127" spans="1:6" ht="14.25" thickBot="1">
      <c r="A127" s="1342" t="s">
        <v>210</v>
      </c>
      <c r="B127" s="1336" t="s">
        <v>1302</v>
      </c>
      <c r="C127" s="1912">
        <v>0.125</v>
      </c>
      <c r="D127" s="1912">
        <v>0.125</v>
      </c>
      <c r="E127" s="1912">
        <v>0.121</v>
      </c>
      <c r="F127" s="1917"/>
    </row>
    <row r="128" spans="1:6" ht="14.25" thickBot="1">
      <c r="A128" s="1342" t="s">
        <v>210</v>
      </c>
      <c r="B128" s="1336" t="s">
        <v>1312</v>
      </c>
      <c r="C128" s="1912">
        <v>0.12</v>
      </c>
      <c r="D128" s="1912">
        <v>0.12</v>
      </c>
      <c r="E128" s="1912">
        <v>0.105</v>
      </c>
      <c r="F128" s="1917"/>
    </row>
    <row r="129" spans="1:6" ht="14.25" thickBot="1">
      <c r="A129" s="1342" t="s">
        <v>210</v>
      </c>
      <c r="B129" s="1336" t="s">
        <v>1321</v>
      </c>
      <c r="C129" s="1912">
        <v>0.13</v>
      </c>
      <c r="D129" s="1912">
        <v>0.13</v>
      </c>
      <c r="E129" s="1912">
        <v>0.126</v>
      </c>
      <c r="F129" s="1917"/>
    </row>
    <row r="130" spans="1:6" ht="14.25" thickBot="1">
      <c r="A130" s="1342" t="s">
        <v>210</v>
      </c>
      <c r="B130" s="1336" t="s">
        <v>1330</v>
      </c>
      <c r="C130" s="1912">
        <v>0.125</v>
      </c>
      <c r="D130" s="1912">
        <v>0.125</v>
      </c>
      <c r="E130" s="1912">
        <v>0.122</v>
      </c>
      <c r="F130" s="1917"/>
    </row>
    <row r="131" spans="1:6" ht="14.25" thickBot="1">
      <c r="A131" s="1342" t="s">
        <v>210</v>
      </c>
      <c r="B131" s="1336" t="s">
        <v>1338</v>
      </c>
      <c r="C131" s="1912">
        <v>0.127</v>
      </c>
      <c r="D131" s="1912">
        <v>0.126</v>
      </c>
      <c r="E131" s="1912">
        <v>0.123</v>
      </c>
      <c r="F131" s="1917"/>
    </row>
    <row r="132" spans="1:6" ht="14.25" thickBot="1">
      <c r="A132" s="1342" t="s">
        <v>210</v>
      </c>
      <c r="B132" s="1336" t="s">
        <v>1345</v>
      </c>
      <c r="C132" s="1912">
        <v>9.0999999999999998E-2</v>
      </c>
      <c r="D132" s="1912">
        <v>0.121</v>
      </c>
      <c r="E132" s="1912">
        <v>9.9000000000000005E-2</v>
      </c>
      <c r="F132" s="1917"/>
    </row>
    <row r="133" spans="1:6" ht="14.25" thickBot="1">
      <c r="A133" s="1342" t="s">
        <v>210</v>
      </c>
      <c r="B133" s="1336" t="s">
        <v>1352</v>
      </c>
      <c r="C133" s="1912">
        <v>0.13</v>
      </c>
      <c r="D133" s="1912">
        <v>0.13</v>
      </c>
      <c r="E133" s="1912">
        <v>0.129</v>
      </c>
      <c r="F133" s="1917"/>
    </row>
    <row r="134" spans="1:6" ht="14.25" thickBot="1">
      <c r="A134" s="1342" t="s">
        <v>210</v>
      </c>
      <c r="B134" s="1336" t="s">
        <v>2040</v>
      </c>
      <c r="C134" s="1912">
        <v>6.8000000000000005E-2</v>
      </c>
      <c r="D134" s="1912">
        <v>6.5000000000000002E-2</v>
      </c>
      <c r="E134" s="1912">
        <v>6.5000000000000002E-2</v>
      </c>
      <c r="F134" s="1913">
        <v>0.13</v>
      </c>
    </row>
    <row r="135" spans="1:6" ht="14.25" thickBot="1">
      <c r="A135" s="1342" t="s">
        <v>210</v>
      </c>
      <c r="B135" s="1336" t="s">
        <v>1366</v>
      </c>
      <c r="C135" s="1912">
        <v>0.123</v>
      </c>
      <c r="D135" s="1912">
        <v>0.123</v>
      </c>
      <c r="E135" s="1912">
        <v>0.11</v>
      </c>
      <c r="F135" s="1917"/>
    </row>
    <row r="136" spans="1:6" ht="14.25" thickBot="1">
      <c r="A136" s="1342" t="s">
        <v>210</v>
      </c>
      <c r="B136" s="1336" t="s">
        <v>1373</v>
      </c>
      <c r="C136" s="1912">
        <v>0.13</v>
      </c>
      <c r="D136" s="1912">
        <v>0.13</v>
      </c>
      <c r="E136" s="1912">
        <v>0.125</v>
      </c>
      <c r="F136" s="1917"/>
    </row>
    <row r="137" spans="1:6" ht="14.25" thickBot="1">
      <c r="A137" s="1342" t="s">
        <v>210</v>
      </c>
      <c r="B137" s="1336" t="s">
        <v>1380</v>
      </c>
      <c r="C137" s="1912">
        <v>0.121</v>
      </c>
      <c r="D137" s="1912">
        <v>0.122</v>
      </c>
      <c r="E137" s="1912">
        <v>0.115</v>
      </c>
      <c r="F137" s="1917"/>
    </row>
    <row r="138" spans="1:6" ht="14.25" thickBot="1">
      <c r="A138" s="1342" t="s">
        <v>210</v>
      </c>
      <c r="B138" s="1336" t="s">
        <v>2041</v>
      </c>
      <c r="C138" s="1912">
        <v>0.105</v>
      </c>
      <c r="D138" s="1912">
        <v>0.125</v>
      </c>
      <c r="E138" s="1912">
        <v>0.112</v>
      </c>
      <c r="F138" s="1917"/>
    </row>
    <row r="139" spans="1:6" ht="14.25" thickBot="1">
      <c r="A139" s="1342" t="s">
        <v>210</v>
      </c>
      <c r="B139" s="1336" t="s">
        <v>2042</v>
      </c>
      <c r="C139" s="1912">
        <v>0.127</v>
      </c>
      <c r="D139" s="1912">
        <v>0.127</v>
      </c>
      <c r="E139" s="1912">
        <v>0.122</v>
      </c>
      <c r="F139" s="1913">
        <v>0.13</v>
      </c>
    </row>
    <row r="140" spans="1:6" ht="14.25" thickBot="1">
      <c r="A140" s="1342" t="s">
        <v>210</v>
      </c>
      <c r="B140" s="1336" t="s">
        <v>2043</v>
      </c>
      <c r="C140" s="1912">
        <v>0.125</v>
      </c>
      <c r="D140" s="1912">
        <v>0.125</v>
      </c>
      <c r="E140" s="1912">
        <v>0.11899999999999999</v>
      </c>
      <c r="F140" s="1913">
        <v>0.13</v>
      </c>
    </row>
    <row r="141" spans="1:6" ht="14.25" thickBot="1">
      <c r="A141" s="1342" t="s">
        <v>210</v>
      </c>
      <c r="B141" s="1336" t="s">
        <v>1399</v>
      </c>
      <c r="C141" s="1912">
        <v>0.125</v>
      </c>
      <c r="D141" s="1912">
        <v>0.125</v>
      </c>
      <c r="E141" s="1912">
        <v>0.11700000000000001</v>
      </c>
      <c r="F141" s="1917"/>
    </row>
    <row r="142" spans="1:6" ht="14.25" thickBot="1">
      <c r="A142" s="1342" t="s">
        <v>210</v>
      </c>
      <c r="B142" s="1336" t="s">
        <v>1404</v>
      </c>
      <c r="C142" s="1912">
        <v>0.125</v>
      </c>
      <c r="D142" s="1912">
        <v>0.125</v>
      </c>
      <c r="E142" s="1912">
        <v>0.115</v>
      </c>
      <c r="F142" s="1917"/>
    </row>
    <row r="143" spans="1:6" ht="14.25" thickBot="1">
      <c r="A143" s="1342" t="s">
        <v>210</v>
      </c>
      <c r="B143" s="1336" t="s">
        <v>1409</v>
      </c>
      <c r="C143" s="1912">
        <v>0.121</v>
      </c>
      <c r="D143" s="1912">
        <v>0.121</v>
      </c>
      <c r="E143" s="1912">
        <v>0.108</v>
      </c>
      <c r="F143" s="1917"/>
    </row>
    <row r="144" spans="1:6" ht="14.25" thickBot="1">
      <c r="A144" s="1342" t="s">
        <v>210</v>
      </c>
      <c r="B144" s="1920" t="s">
        <v>2044</v>
      </c>
      <c r="C144" s="1921">
        <v>0.126</v>
      </c>
      <c r="D144" s="1921">
        <v>0.126</v>
      </c>
      <c r="E144" s="1921">
        <v>0.121</v>
      </c>
      <c r="F144" s="1917"/>
    </row>
    <row r="145" spans="1:6" ht="14.25" thickBot="1">
      <c r="A145" s="1359" t="s">
        <v>210</v>
      </c>
      <c r="B145" s="1922" t="s">
        <v>2045</v>
      </c>
      <c r="C145" s="1923"/>
      <c r="D145" s="1923"/>
      <c r="E145" s="1923"/>
      <c r="F145" s="1924">
        <v>0.05</v>
      </c>
    </row>
    <row r="146" spans="1:6" ht="24.75" thickBot="1">
      <c r="A146" s="1925" t="s">
        <v>210</v>
      </c>
      <c r="B146" s="1350" t="s">
        <v>2046</v>
      </c>
      <c r="C146" s="1918"/>
      <c r="D146" s="1918"/>
      <c r="E146" s="1918"/>
      <c r="F146" s="1926">
        <v>0.05</v>
      </c>
    </row>
    <row r="147" spans="1:6" ht="24.75" thickBot="1">
      <c r="A147" s="1342" t="s">
        <v>210</v>
      </c>
      <c r="B147" s="1336" t="s">
        <v>2047</v>
      </c>
      <c r="C147" s="1918"/>
      <c r="D147" s="1918"/>
      <c r="E147" s="1918"/>
      <c r="F147" s="1913">
        <v>0.05</v>
      </c>
    </row>
    <row r="148" spans="1:6" ht="24.75" thickBot="1">
      <c r="A148" s="1342" t="s">
        <v>210</v>
      </c>
      <c r="B148" s="1336" t="s">
        <v>2048</v>
      </c>
      <c r="C148" s="1918"/>
      <c r="D148" s="1918"/>
      <c r="E148" s="1918"/>
      <c r="F148" s="1913">
        <v>0.05</v>
      </c>
    </row>
    <row r="149" spans="1:6" ht="24.75" thickBot="1">
      <c r="A149" s="1342" t="s">
        <v>210</v>
      </c>
      <c r="B149" s="1336" t="s">
        <v>2049</v>
      </c>
      <c r="C149" s="1918"/>
      <c r="D149" s="1918"/>
      <c r="E149" s="1918"/>
      <c r="F149" s="1913">
        <v>0.05</v>
      </c>
    </row>
    <row r="150" spans="1:6" ht="24.75" thickBot="1">
      <c r="A150" s="1342" t="s">
        <v>210</v>
      </c>
      <c r="B150" s="1336" t="s">
        <v>2050</v>
      </c>
      <c r="C150" s="1918"/>
      <c r="D150" s="1918"/>
      <c r="E150" s="1918"/>
      <c r="F150" s="1913">
        <v>0.05</v>
      </c>
    </row>
    <row r="151" spans="1:6" ht="24.75" thickBot="1">
      <c r="A151" s="1342" t="s">
        <v>210</v>
      </c>
      <c r="B151" s="1336" t="s">
        <v>2051</v>
      </c>
      <c r="C151" s="1918"/>
      <c r="D151" s="1918"/>
      <c r="E151" s="1918"/>
      <c r="F151" s="1913">
        <v>0.05</v>
      </c>
    </row>
    <row r="152" spans="1:6" ht="24.75" thickBot="1">
      <c r="A152" s="1342" t="s">
        <v>210</v>
      </c>
      <c r="B152" s="1336" t="s">
        <v>1442</v>
      </c>
      <c r="C152" s="1918"/>
      <c r="D152" s="1918"/>
      <c r="E152" s="1918"/>
      <c r="F152" s="1913">
        <v>0.05</v>
      </c>
    </row>
    <row r="153" spans="1:6" ht="14.25" thickBot="1">
      <c r="A153" s="1342" t="s">
        <v>210</v>
      </c>
      <c r="B153" s="1336" t="s">
        <v>2052</v>
      </c>
      <c r="C153" s="1918"/>
      <c r="D153" s="1918"/>
      <c r="E153" s="1918"/>
      <c r="F153" s="1913">
        <v>0.05</v>
      </c>
    </row>
    <row r="154" spans="1:6" ht="14.25" thickBot="1">
      <c r="A154" s="1342" t="s">
        <v>210</v>
      </c>
      <c r="B154" s="1336" t="s">
        <v>2053</v>
      </c>
      <c r="C154" s="1918"/>
      <c r="D154" s="1918"/>
      <c r="E154" s="1918"/>
      <c r="F154" s="1913">
        <v>0.05</v>
      </c>
    </row>
    <row r="155" spans="1:6" ht="24.75" thickBot="1">
      <c r="A155" s="1342" t="s">
        <v>210</v>
      </c>
      <c r="B155" s="1336" t="s">
        <v>2054</v>
      </c>
      <c r="C155" s="1918"/>
      <c r="D155" s="1918"/>
      <c r="E155" s="1918"/>
      <c r="F155" s="1913">
        <v>0.05</v>
      </c>
    </row>
    <row r="156" spans="1:6" ht="24.75" thickBot="1">
      <c r="A156" s="1342" t="s">
        <v>210</v>
      </c>
      <c r="B156" s="1336" t="s">
        <v>2055</v>
      </c>
      <c r="C156" s="1918"/>
      <c r="D156" s="1918"/>
      <c r="E156" s="1918"/>
      <c r="F156" s="1913">
        <v>0.05</v>
      </c>
    </row>
    <row r="157" spans="1:6" ht="14.25" thickBot="1">
      <c r="A157" s="1359" t="s">
        <v>210</v>
      </c>
      <c r="B157" s="1352" t="s">
        <v>2056</v>
      </c>
      <c r="C157" s="1915"/>
      <c r="D157" s="1915"/>
      <c r="E157" s="1915"/>
      <c r="F157" s="1919">
        <v>0.05</v>
      </c>
    </row>
    <row r="158" spans="1:6" ht="14.25" thickBot="1">
      <c r="A158" s="1342" t="s">
        <v>1461</v>
      </c>
      <c r="B158" s="1343" t="s">
        <v>2057</v>
      </c>
      <c r="C158" s="1910">
        <v>0.13</v>
      </c>
      <c r="D158" s="1910">
        <v>0.13</v>
      </c>
      <c r="E158" s="1910">
        <v>0.13</v>
      </c>
      <c r="F158" s="1911">
        <v>0.13</v>
      </c>
    </row>
    <row r="159" spans="1:6" ht="14.25" thickBot="1">
      <c r="A159" s="1342" t="s">
        <v>1461</v>
      </c>
      <c r="B159" s="1336" t="s">
        <v>1120</v>
      </c>
      <c r="C159" s="1912">
        <v>0.13</v>
      </c>
      <c r="D159" s="1912">
        <v>0.13</v>
      </c>
      <c r="E159" s="1912">
        <v>0.13</v>
      </c>
      <c r="F159" s="1913">
        <v>0.13</v>
      </c>
    </row>
    <row r="160" spans="1:6" ht="14.25" thickBot="1">
      <c r="A160" s="1342" t="s">
        <v>1461</v>
      </c>
      <c r="B160" s="1336" t="s">
        <v>1133</v>
      </c>
      <c r="C160" s="1912">
        <v>0.13</v>
      </c>
      <c r="D160" s="1912">
        <v>0.13</v>
      </c>
      <c r="E160" s="1912">
        <v>0.129</v>
      </c>
      <c r="F160" s="1913">
        <v>0.13</v>
      </c>
    </row>
    <row r="161" spans="1:6" ht="14.25" thickBot="1">
      <c r="A161" s="1342" t="s">
        <v>1461</v>
      </c>
      <c r="B161" s="1336" t="s">
        <v>1146</v>
      </c>
      <c r="C161" s="1912">
        <v>0.128</v>
      </c>
      <c r="D161" s="1912">
        <v>0.128</v>
      </c>
      <c r="E161" s="1912">
        <v>0.125</v>
      </c>
      <c r="F161" s="1913">
        <v>0.13</v>
      </c>
    </row>
    <row r="162" spans="1:6" ht="14.25" thickBot="1">
      <c r="A162" s="1342" t="s">
        <v>1461</v>
      </c>
      <c r="B162" s="1336" t="s">
        <v>1158</v>
      </c>
      <c r="C162" s="1912">
        <v>0.122</v>
      </c>
      <c r="D162" s="1912">
        <v>0.122</v>
      </c>
      <c r="E162" s="1912">
        <v>0.126</v>
      </c>
      <c r="F162" s="1913">
        <v>0.122</v>
      </c>
    </row>
    <row r="163" spans="1:6" ht="14.25" thickBot="1">
      <c r="A163" s="1342" t="s">
        <v>1461</v>
      </c>
      <c r="B163" s="1336" t="s">
        <v>1170</v>
      </c>
      <c r="C163" s="1912">
        <v>0.13</v>
      </c>
      <c r="D163" s="1912">
        <v>0.13</v>
      </c>
      <c r="E163" s="1912">
        <v>0.125</v>
      </c>
      <c r="F163" s="1913">
        <v>0.13</v>
      </c>
    </row>
    <row r="164" spans="1:6" ht="14.25" thickBot="1">
      <c r="A164" s="1342" t="s">
        <v>1461</v>
      </c>
      <c r="B164" s="1336" t="s">
        <v>1182</v>
      </c>
      <c r="C164" s="1912">
        <v>0.13</v>
      </c>
      <c r="D164" s="1912">
        <v>0.13</v>
      </c>
      <c r="E164" s="1912">
        <v>0.13</v>
      </c>
      <c r="F164" s="1913">
        <v>0.13</v>
      </c>
    </row>
    <row r="165" spans="1:6" ht="14.25" thickBot="1">
      <c r="A165" s="1342" t="s">
        <v>1461</v>
      </c>
      <c r="B165" s="1336" t="s">
        <v>1194</v>
      </c>
      <c r="C165" s="1912">
        <v>0.13</v>
      </c>
      <c r="D165" s="1912">
        <v>0.13</v>
      </c>
      <c r="E165" s="1912">
        <v>0.124</v>
      </c>
      <c r="F165" s="1913">
        <v>0.13</v>
      </c>
    </row>
    <row r="166" spans="1:6" ht="14.25" thickBot="1">
      <c r="A166" s="1342" t="s">
        <v>1461</v>
      </c>
      <c r="B166" s="1336" t="s">
        <v>1207</v>
      </c>
      <c r="C166" s="1912">
        <v>0.13</v>
      </c>
      <c r="D166" s="1912">
        <v>0.13</v>
      </c>
      <c r="E166" s="1912">
        <v>0.13</v>
      </c>
      <c r="F166" s="1913">
        <v>0.13</v>
      </c>
    </row>
    <row r="167" spans="1:6" ht="14.25" thickBot="1">
      <c r="A167" s="1342" t="s">
        <v>1461</v>
      </c>
      <c r="B167" s="1336" t="s">
        <v>1218</v>
      </c>
      <c r="C167" s="1912">
        <v>0.125</v>
      </c>
      <c r="D167" s="1912">
        <v>0.125</v>
      </c>
      <c r="E167" s="1912">
        <v>0.121</v>
      </c>
      <c r="F167" s="1917"/>
    </row>
    <row r="168" spans="1:6" ht="14.25" thickBot="1">
      <c r="A168" s="1342" t="s">
        <v>1461</v>
      </c>
      <c r="B168" s="1336" t="s">
        <v>1229</v>
      </c>
      <c r="C168" s="1912">
        <v>0.13</v>
      </c>
      <c r="D168" s="1912">
        <v>0.13</v>
      </c>
      <c r="E168" s="1912">
        <v>0.126</v>
      </c>
      <c r="F168" s="1917"/>
    </row>
    <row r="169" spans="1:6" ht="14.25" thickBot="1">
      <c r="A169" s="1342" t="s">
        <v>1461</v>
      </c>
      <c r="B169" s="1336" t="s">
        <v>1240</v>
      </c>
      <c r="C169" s="1912">
        <v>0.128</v>
      </c>
      <c r="D169" s="1912">
        <v>0.129</v>
      </c>
      <c r="E169" s="1912">
        <v>0.13</v>
      </c>
      <c r="F169" s="1917"/>
    </row>
    <row r="170" spans="1:6" ht="14.25" thickBot="1">
      <c r="A170" s="1342" t="s">
        <v>1461</v>
      </c>
      <c r="B170" s="1336" t="s">
        <v>1251</v>
      </c>
      <c r="C170" s="1912">
        <v>0.14099999999999999</v>
      </c>
      <c r="D170" s="1912">
        <v>0.13</v>
      </c>
      <c r="E170" s="1912">
        <v>0.125</v>
      </c>
      <c r="F170" s="1917"/>
    </row>
    <row r="171" spans="1:6" ht="14.25" thickBot="1">
      <c r="A171" s="1342" t="s">
        <v>1461</v>
      </c>
      <c r="B171" s="1336" t="s">
        <v>2058</v>
      </c>
      <c r="C171" s="1912">
        <v>0.127</v>
      </c>
      <c r="D171" s="1912">
        <v>0.126</v>
      </c>
      <c r="E171" s="1912">
        <v>0.126</v>
      </c>
      <c r="F171" s="1913">
        <v>0.11799999999999999</v>
      </c>
    </row>
    <row r="172" spans="1:6" ht="14.25" thickBot="1">
      <c r="A172" s="1342" t="s">
        <v>1461</v>
      </c>
      <c r="B172" s="1336" t="s">
        <v>2059</v>
      </c>
      <c r="C172" s="1912">
        <v>0.13</v>
      </c>
      <c r="D172" s="1912">
        <v>0.13</v>
      </c>
      <c r="E172" s="1912">
        <v>0.13</v>
      </c>
      <c r="F172" s="1917"/>
    </row>
    <row r="173" spans="1:6" ht="14.25" thickBot="1">
      <c r="A173" s="1342" t="s">
        <v>1461</v>
      </c>
      <c r="B173" s="1336" t="s">
        <v>1283</v>
      </c>
      <c r="C173" s="1912">
        <v>0.13</v>
      </c>
      <c r="D173" s="1912">
        <v>0.13</v>
      </c>
      <c r="E173" s="1912">
        <v>0.13</v>
      </c>
      <c r="F173" s="1917"/>
    </row>
    <row r="174" spans="1:6" ht="14.25" thickBot="1">
      <c r="A174" s="1342" t="s">
        <v>1461</v>
      </c>
      <c r="B174" s="1336" t="s">
        <v>2060</v>
      </c>
      <c r="C174" s="1912">
        <v>0.13</v>
      </c>
      <c r="D174" s="1912">
        <v>0.13</v>
      </c>
      <c r="E174" s="1912">
        <v>0.13</v>
      </c>
      <c r="F174" s="1913">
        <v>0.13</v>
      </c>
    </row>
    <row r="175" spans="1:6" ht="14.25" thickBot="1">
      <c r="A175" s="1342" t="s">
        <v>1461</v>
      </c>
      <c r="B175" s="1336" t="s">
        <v>2061</v>
      </c>
      <c r="C175" s="1912">
        <v>0.13</v>
      </c>
      <c r="D175" s="1912">
        <v>0.13</v>
      </c>
      <c r="E175" s="1912">
        <v>0.13</v>
      </c>
      <c r="F175" s="1913">
        <v>0.13</v>
      </c>
    </row>
    <row r="176" spans="1:6" ht="14.25" thickBot="1">
      <c r="A176" s="1342" t="s">
        <v>1461</v>
      </c>
      <c r="B176" s="1336" t="s">
        <v>1313</v>
      </c>
      <c r="C176" s="1912">
        <v>0.13</v>
      </c>
      <c r="D176" s="1912">
        <v>0.13</v>
      </c>
      <c r="E176" s="1912">
        <v>0.13</v>
      </c>
      <c r="F176" s="1913">
        <v>0.13</v>
      </c>
    </row>
    <row r="177" spans="1:6" ht="14.25" thickBot="1">
      <c r="A177" s="1342" t="s">
        <v>1461</v>
      </c>
      <c r="B177" s="1336" t="s">
        <v>2062</v>
      </c>
      <c r="C177" s="1912">
        <v>0.13</v>
      </c>
      <c r="D177" s="1912">
        <v>0.13</v>
      </c>
      <c r="E177" s="1912">
        <v>0.13</v>
      </c>
      <c r="F177" s="1913">
        <v>0.13</v>
      </c>
    </row>
    <row r="178" spans="1:6" ht="14.25" thickBot="1">
      <c r="A178" s="1342" t="s">
        <v>1461</v>
      </c>
      <c r="B178" s="1336" t="s">
        <v>1331</v>
      </c>
      <c r="C178" s="1912">
        <v>0.13</v>
      </c>
      <c r="D178" s="1912">
        <v>0.13</v>
      </c>
      <c r="E178" s="1912">
        <v>0.13</v>
      </c>
      <c r="F178" s="1913">
        <v>0.127</v>
      </c>
    </row>
    <row r="179" spans="1:6" ht="14.25" thickBot="1">
      <c r="A179" s="1342" t="s">
        <v>1461</v>
      </c>
      <c r="B179" s="1336" t="s">
        <v>1339</v>
      </c>
      <c r="C179" s="1912">
        <v>0.13</v>
      </c>
      <c r="D179" s="1912">
        <v>0.13</v>
      </c>
      <c r="E179" s="1912">
        <v>0.13</v>
      </c>
      <c r="F179" s="1917"/>
    </row>
    <row r="180" spans="1:6" ht="14.25" thickBot="1">
      <c r="A180" s="1342" t="s">
        <v>1461</v>
      </c>
      <c r="B180" s="1336" t="s">
        <v>2063</v>
      </c>
      <c r="C180" s="1912">
        <v>0.13</v>
      </c>
      <c r="D180" s="1912">
        <v>0.13</v>
      </c>
      <c r="E180" s="1912">
        <v>0.125</v>
      </c>
      <c r="F180" s="1913">
        <v>0.13</v>
      </c>
    </row>
    <row r="181" spans="1:6" ht="14.25" thickBot="1">
      <c r="A181" s="1342" t="s">
        <v>1461</v>
      </c>
      <c r="B181" s="1336" t="s">
        <v>1353</v>
      </c>
      <c r="C181" s="1912">
        <v>0.122</v>
      </c>
      <c r="D181" s="1912">
        <v>0.123</v>
      </c>
      <c r="E181" s="1912">
        <v>0.126</v>
      </c>
      <c r="F181" s="1913">
        <v>0.121</v>
      </c>
    </row>
    <row r="182" spans="1:6" ht="14.25" thickBot="1">
      <c r="A182" s="1342" t="s">
        <v>1461</v>
      </c>
      <c r="B182" s="1336" t="s">
        <v>1360</v>
      </c>
      <c r="C182" s="1912">
        <v>0.125</v>
      </c>
      <c r="D182" s="1912">
        <v>0.125</v>
      </c>
      <c r="E182" s="1912">
        <v>0.11700000000000001</v>
      </c>
      <c r="F182" s="1913">
        <v>0.13</v>
      </c>
    </row>
    <row r="183" spans="1:6" ht="14.25" thickBot="1">
      <c r="A183" s="1342" t="s">
        <v>1461</v>
      </c>
      <c r="B183" s="1336" t="s">
        <v>1367</v>
      </c>
      <c r="C183" s="1912">
        <v>0.127</v>
      </c>
      <c r="D183" s="1912">
        <v>0.127</v>
      </c>
      <c r="E183" s="1912">
        <v>0.128</v>
      </c>
      <c r="F183" s="1917"/>
    </row>
    <row r="184" spans="1:6" ht="14.25" thickBot="1">
      <c r="A184" s="1342" t="s">
        <v>1461</v>
      </c>
      <c r="B184" s="1336" t="s">
        <v>1374</v>
      </c>
      <c r="C184" s="1912">
        <v>0.125</v>
      </c>
      <c r="D184" s="1912">
        <v>0.125</v>
      </c>
      <c r="E184" s="1912">
        <v>0.127</v>
      </c>
      <c r="F184" s="1917"/>
    </row>
    <row r="185" spans="1:6" ht="14.25" thickBot="1">
      <c r="A185" s="1342" t="s">
        <v>1461</v>
      </c>
      <c r="B185" s="1336" t="s">
        <v>2064</v>
      </c>
      <c r="C185" s="1912">
        <v>0.127</v>
      </c>
      <c r="D185" s="1912">
        <v>0.127</v>
      </c>
      <c r="E185" s="1912">
        <v>0.128</v>
      </c>
      <c r="F185" s="1913">
        <v>0.13</v>
      </c>
    </row>
    <row r="186" spans="1:6" ht="24.75" thickBot="1">
      <c r="A186" s="1342" t="s">
        <v>1461</v>
      </c>
      <c r="B186" s="1336" t="s">
        <v>2065</v>
      </c>
      <c r="C186" s="1918"/>
      <c r="D186" s="1918"/>
      <c r="E186" s="1918"/>
      <c r="F186" s="1913">
        <v>0.05</v>
      </c>
    </row>
    <row r="187" spans="1:6" ht="14.25" thickBot="1">
      <c r="A187" s="1342" t="s">
        <v>1461</v>
      </c>
      <c r="B187" s="1336" t="s">
        <v>2066</v>
      </c>
      <c r="C187" s="1918"/>
      <c r="D187" s="1918"/>
      <c r="E187" s="1918"/>
      <c r="F187" s="1913">
        <v>0.05</v>
      </c>
    </row>
    <row r="188" spans="1:6" ht="14.25" thickBot="1">
      <c r="A188" s="1342" t="s">
        <v>1461</v>
      </c>
      <c r="B188" s="1336" t="s">
        <v>2067</v>
      </c>
      <c r="C188" s="1918"/>
      <c r="D188" s="1918"/>
      <c r="E188" s="1918"/>
      <c r="F188" s="1913">
        <v>0.05</v>
      </c>
    </row>
    <row r="189" spans="1:6" ht="24.75" thickBot="1">
      <c r="A189" s="1342" t="s">
        <v>1461</v>
      </c>
      <c r="B189" s="1336" t="s">
        <v>2068</v>
      </c>
      <c r="C189" s="1918"/>
      <c r="D189" s="1918"/>
      <c r="E189" s="1918"/>
      <c r="F189" s="1913">
        <v>0.05</v>
      </c>
    </row>
    <row r="190" spans="1:6" ht="24.75" thickBot="1">
      <c r="A190" s="1342" t="s">
        <v>1461</v>
      </c>
      <c r="B190" s="1336" t="s">
        <v>2069</v>
      </c>
      <c r="C190" s="1918"/>
      <c r="D190" s="1918"/>
      <c r="E190" s="1918"/>
      <c r="F190" s="1913">
        <v>0.05</v>
      </c>
    </row>
    <row r="191" spans="1:6" ht="24.75" thickBot="1">
      <c r="A191" s="1342" t="s">
        <v>1461</v>
      </c>
      <c r="B191" s="1336" t="s">
        <v>2070</v>
      </c>
      <c r="C191" s="1918"/>
      <c r="D191" s="1918"/>
      <c r="E191" s="1918"/>
      <c r="F191" s="1913">
        <v>0.05</v>
      </c>
    </row>
    <row r="192" spans="1:6" ht="24.75" thickBot="1">
      <c r="A192" s="1342" t="s">
        <v>1461</v>
      </c>
      <c r="B192" s="1336" t="s">
        <v>2071</v>
      </c>
      <c r="C192" s="1918"/>
      <c r="D192" s="1918"/>
      <c r="E192" s="1918"/>
      <c r="F192" s="1913">
        <v>0.05</v>
      </c>
    </row>
    <row r="193" spans="1:6" ht="24.75" thickBot="1">
      <c r="A193" s="1342" t="s">
        <v>1461</v>
      </c>
      <c r="B193" s="1336" t="s">
        <v>2072</v>
      </c>
      <c r="C193" s="1918"/>
      <c r="D193" s="1918"/>
      <c r="E193" s="1918"/>
      <c r="F193" s="1913">
        <v>0.05</v>
      </c>
    </row>
    <row r="194" spans="1:6" ht="24.75" thickBot="1">
      <c r="A194" s="1342" t="s">
        <v>1461</v>
      </c>
      <c r="B194" s="1336" t="s">
        <v>2073</v>
      </c>
      <c r="C194" s="1918"/>
      <c r="D194" s="1918"/>
      <c r="E194" s="1918"/>
      <c r="F194" s="1913">
        <v>0.05</v>
      </c>
    </row>
    <row r="195" spans="1:6" ht="14.25" thickBot="1">
      <c r="A195" s="1342" t="s">
        <v>1461</v>
      </c>
      <c r="B195" s="1336" t="s">
        <v>2074</v>
      </c>
      <c r="C195" s="1918"/>
      <c r="D195" s="1918"/>
      <c r="E195" s="1918"/>
      <c r="F195" s="1913">
        <v>0.05</v>
      </c>
    </row>
    <row r="196" spans="1:6" ht="24.75" thickBot="1">
      <c r="A196" s="1342" t="s">
        <v>1461</v>
      </c>
      <c r="B196" s="1336" t="s">
        <v>2075</v>
      </c>
      <c r="C196" s="1918"/>
      <c r="D196" s="1918"/>
      <c r="E196" s="1918"/>
      <c r="F196" s="1913">
        <v>0.05</v>
      </c>
    </row>
    <row r="197" spans="1:6" ht="24.75" thickBot="1">
      <c r="A197" s="1342" t="s">
        <v>1461</v>
      </c>
      <c r="B197" s="1336" t="s">
        <v>2076</v>
      </c>
      <c r="C197" s="1918"/>
      <c r="D197" s="1918"/>
      <c r="E197" s="1918"/>
      <c r="F197" s="1913">
        <v>0.05</v>
      </c>
    </row>
    <row r="198" spans="1:6" ht="24.75" thickBot="1">
      <c r="A198" s="1342" t="s">
        <v>1461</v>
      </c>
      <c r="B198" s="1336" t="s">
        <v>2077</v>
      </c>
      <c r="C198" s="1918"/>
      <c r="D198" s="1918"/>
      <c r="E198" s="1918"/>
      <c r="F198" s="1913">
        <v>0.05</v>
      </c>
    </row>
    <row r="199" spans="1:6" ht="24.75" thickBot="1">
      <c r="A199" s="1342" t="s">
        <v>1461</v>
      </c>
      <c r="B199" s="1336" t="s">
        <v>2078</v>
      </c>
      <c r="C199" s="1918"/>
      <c r="D199" s="1918"/>
      <c r="E199" s="1918"/>
      <c r="F199" s="1913">
        <v>0.05</v>
      </c>
    </row>
    <row r="200" spans="1:6" ht="24.75" thickBot="1">
      <c r="A200" s="1342" t="s">
        <v>1461</v>
      </c>
      <c r="B200" s="1336" t="s">
        <v>2079</v>
      </c>
      <c r="C200" s="1918"/>
      <c r="D200" s="1918"/>
      <c r="E200" s="1918"/>
      <c r="F200" s="1913">
        <v>0.05</v>
      </c>
    </row>
    <row r="201" spans="1:6" ht="24.75" thickBot="1">
      <c r="A201" s="1342" t="s">
        <v>1461</v>
      </c>
      <c r="B201" s="1336" t="s">
        <v>2080</v>
      </c>
      <c r="C201" s="1918"/>
      <c r="D201" s="1918"/>
      <c r="E201" s="1918"/>
      <c r="F201" s="1913">
        <v>0.05</v>
      </c>
    </row>
    <row r="202" spans="1:6" ht="24.75" thickBot="1">
      <c r="A202" s="1342" t="s">
        <v>1461</v>
      </c>
      <c r="B202" s="1336" t="s">
        <v>2081</v>
      </c>
      <c r="C202" s="1918"/>
      <c r="D202" s="1918"/>
      <c r="E202" s="1918"/>
      <c r="F202" s="1913">
        <v>0.05</v>
      </c>
    </row>
    <row r="203" spans="1:6" ht="24.75" thickBot="1">
      <c r="A203" s="1342" t="s">
        <v>1461</v>
      </c>
      <c r="B203" s="1336" t="s">
        <v>2082</v>
      </c>
      <c r="C203" s="1918"/>
      <c r="D203" s="1918"/>
      <c r="E203" s="1918"/>
      <c r="F203" s="1913">
        <v>0.05</v>
      </c>
    </row>
    <row r="204" spans="1:6" ht="14.25" thickBot="1">
      <c r="A204" s="1342" t="s">
        <v>1461</v>
      </c>
      <c r="B204" s="1336" t="s">
        <v>2083</v>
      </c>
      <c r="C204" s="1918"/>
      <c r="D204" s="1918"/>
      <c r="E204" s="1918"/>
      <c r="F204" s="1913">
        <v>0.05</v>
      </c>
    </row>
    <row r="205" spans="1:6" ht="14.25" thickBot="1">
      <c r="A205" s="1359" t="s">
        <v>1461</v>
      </c>
      <c r="B205" s="1352" t="s">
        <v>2084</v>
      </c>
      <c r="C205" s="1915"/>
      <c r="D205" s="1915"/>
      <c r="E205" s="1915"/>
      <c r="F205" s="1919">
        <v>0.05</v>
      </c>
    </row>
    <row r="206" spans="1:6" ht="14.25" thickBot="1">
      <c r="A206" s="1342" t="s">
        <v>1463</v>
      </c>
      <c r="B206" s="1343" t="s">
        <v>2085</v>
      </c>
      <c r="C206" s="1910">
        <v>0.15</v>
      </c>
      <c r="D206" s="1910">
        <v>0.15</v>
      </c>
      <c r="E206" s="1910">
        <v>0.15</v>
      </c>
      <c r="F206" s="1911">
        <v>0.15</v>
      </c>
    </row>
    <row r="207" spans="1:6" ht="14.25" thickBot="1">
      <c r="A207" s="1342" t="s">
        <v>1463</v>
      </c>
      <c r="B207" s="1336" t="s">
        <v>1121</v>
      </c>
      <c r="C207" s="1912">
        <v>0.15</v>
      </c>
      <c r="D207" s="1912">
        <v>0.15</v>
      </c>
      <c r="E207" s="1912">
        <v>0.15</v>
      </c>
      <c r="F207" s="1913">
        <v>0.14399999999999999</v>
      </c>
    </row>
    <row r="208" spans="1:6" ht="14.25" thickBot="1">
      <c r="A208" s="1342" t="s">
        <v>1463</v>
      </c>
      <c r="B208" s="1336" t="s">
        <v>1134</v>
      </c>
      <c r="C208" s="1912">
        <v>0.15</v>
      </c>
      <c r="D208" s="1912">
        <v>0.15</v>
      </c>
      <c r="E208" s="1912">
        <v>0.15</v>
      </c>
      <c r="F208" s="1913">
        <v>0.15</v>
      </c>
    </row>
    <row r="209" spans="1:6" ht="14.25" thickBot="1">
      <c r="A209" s="1342" t="s">
        <v>1463</v>
      </c>
      <c r="B209" s="1336" t="s">
        <v>1147</v>
      </c>
      <c r="C209" s="1912">
        <v>0.13700000000000001</v>
      </c>
      <c r="D209" s="1912">
        <v>0.13700000000000001</v>
      </c>
      <c r="E209" s="1912">
        <v>0.14000000000000001</v>
      </c>
      <c r="F209" s="1913">
        <v>0.11700000000000001</v>
      </c>
    </row>
    <row r="210" spans="1:6" ht="14.25" thickBot="1">
      <c r="A210" s="1342" t="s">
        <v>1463</v>
      </c>
      <c r="B210" s="1336" t="s">
        <v>2086</v>
      </c>
      <c r="C210" s="1912">
        <v>0.15</v>
      </c>
      <c r="D210" s="1912">
        <v>0.15</v>
      </c>
      <c r="E210" s="1912">
        <v>0.15</v>
      </c>
      <c r="F210" s="1913">
        <v>0.13800000000000001</v>
      </c>
    </row>
    <row r="211" spans="1:6" ht="14.25" thickBot="1">
      <c r="A211" s="1342" t="s">
        <v>1463</v>
      </c>
      <c r="B211" s="1336" t="s">
        <v>2087</v>
      </c>
      <c r="C211" s="1912">
        <v>0.13700000000000001</v>
      </c>
      <c r="D211" s="1912">
        <v>0.13500000000000001</v>
      </c>
      <c r="E211" s="1912">
        <v>0.13600000000000001</v>
      </c>
      <c r="F211" s="1913">
        <v>0.1</v>
      </c>
    </row>
    <row r="212" spans="1:6" ht="14.25" thickBot="1">
      <c r="A212" s="1342" t="s">
        <v>1463</v>
      </c>
      <c r="B212" s="1336" t="s">
        <v>2088</v>
      </c>
      <c r="C212" s="1912">
        <v>0.15</v>
      </c>
      <c r="D212" s="1912">
        <v>0.15</v>
      </c>
      <c r="E212" s="1912">
        <v>0.14799999999999999</v>
      </c>
      <c r="F212" s="1913">
        <v>0.13600000000000001</v>
      </c>
    </row>
    <row r="213" spans="1:6" ht="14.25" thickBot="1">
      <c r="A213" s="1342" t="s">
        <v>1463</v>
      </c>
      <c r="B213" s="1336" t="s">
        <v>1195</v>
      </c>
      <c r="C213" s="1912">
        <v>0.15</v>
      </c>
      <c r="D213" s="1912">
        <v>0.15</v>
      </c>
      <c r="E213" s="1912">
        <v>0.15</v>
      </c>
      <c r="F213" s="1913">
        <v>0.13800000000000001</v>
      </c>
    </row>
    <row r="214" spans="1:6" ht="14.25" thickBot="1">
      <c r="A214" s="1342" t="s">
        <v>1463</v>
      </c>
      <c r="B214" s="1336" t="s">
        <v>1208</v>
      </c>
      <c r="C214" s="1912">
        <v>9.0999999999999998E-2</v>
      </c>
      <c r="D214" s="1912">
        <v>0.09</v>
      </c>
      <c r="E214" s="1912">
        <v>9.1999999999999998E-2</v>
      </c>
      <c r="F214" s="1917"/>
    </row>
    <row r="215" spans="1:6" ht="14.25" thickBot="1">
      <c r="A215" s="1342" t="s">
        <v>1463</v>
      </c>
      <c r="B215" s="1336" t="s">
        <v>2089</v>
      </c>
      <c r="C215" s="1912">
        <v>0.15</v>
      </c>
      <c r="D215" s="1912">
        <v>0.15</v>
      </c>
      <c r="E215" s="1912">
        <v>0.15</v>
      </c>
      <c r="F215" s="1913">
        <v>0.15</v>
      </c>
    </row>
    <row r="216" spans="1:6" ht="14.25" thickBot="1">
      <c r="A216" s="1342" t="s">
        <v>1463</v>
      </c>
      <c r="B216" s="1336" t="s">
        <v>1230</v>
      </c>
      <c r="C216" s="1912">
        <v>0.14699999999999999</v>
      </c>
      <c r="D216" s="1912">
        <v>0.14699999999999999</v>
      </c>
      <c r="E216" s="1912">
        <v>0.15</v>
      </c>
      <c r="F216" s="1913">
        <v>0.14000000000000001</v>
      </c>
    </row>
    <row r="217" spans="1:6" ht="14.25" thickBot="1">
      <c r="A217" s="1342" t="s">
        <v>1463</v>
      </c>
      <c r="B217" s="1336" t="s">
        <v>1241</v>
      </c>
      <c r="C217" s="1912">
        <v>0.15</v>
      </c>
      <c r="D217" s="1912">
        <v>0.15</v>
      </c>
      <c r="E217" s="1912">
        <v>0.15</v>
      </c>
      <c r="F217" s="1913">
        <v>0.15</v>
      </c>
    </row>
    <row r="218" spans="1:6" ht="14.25" thickBot="1">
      <c r="A218" s="1342" t="s">
        <v>1463</v>
      </c>
      <c r="B218" s="1336" t="s">
        <v>2090</v>
      </c>
      <c r="C218" s="1912">
        <v>0.15</v>
      </c>
      <c r="D218" s="1912">
        <v>0.15</v>
      </c>
      <c r="E218" s="1912">
        <v>0.15</v>
      </c>
      <c r="F218" s="1913">
        <v>0.15</v>
      </c>
    </row>
    <row r="219" spans="1:6" ht="14.25" thickBot="1">
      <c r="A219" s="1342" t="s">
        <v>1463</v>
      </c>
      <c r="B219" s="1336" t="s">
        <v>1263</v>
      </c>
      <c r="C219" s="1912">
        <v>0.15</v>
      </c>
      <c r="D219" s="1912">
        <v>0.15</v>
      </c>
      <c r="E219" s="1912">
        <v>0.15</v>
      </c>
      <c r="F219" s="1913">
        <v>0.14799999999999999</v>
      </c>
    </row>
    <row r="220" spans="1:6" ht="14.25" thickBot="1">
      <c r="A220" s="1342" t="s">
        <v>1463</v>
      </c>
      <c r="B220" s="1336" t="s">
        <v>2091</v>
      </c>
      <c r="C220" s="1912">
        <v>0.15</v>
      </c>
      <c r="D220" s="1912">
        <v>0.15</v>
      </c>
      <c r="E220" s="1912">
        <v>0.15</v>
      </c>
      <c r="F220" s="1913">
        <v>0.15</v>
      </c>
    </row>
    <row r="221" spans="1:6" ht="14.25" thickBot="1">
      <c r="A221" s="1342" t="s">
        <v>1463</v>
      </c>
      <c r="B221" s="1336" t="s">
        <v>1284</v>
      </c>
      <c r="C221" s="1912"/>
      <c r="D221" s="1918"/>
      <c r="E221" s="1918"/>
      <c r="F221" s="1913">
        <v>0.14799999999999999</v>
      </c>
    </row>
    <row r="222" spans="1:6" ht="14.25" thickBot="1">
      <c r="A222" s="1342" t="s">
        <v>1463</v>
      </c>
      <c r="B222" s="1336" t="s">
        <v>1294</v>
      </c>
      <c r="C222" s="1912"/>
      <c r="D222" s="1918"/>
      <c r="E222" s="1918"/>
      <c r="F222" s="1913">
        <v>0.1</v>
      </c>
    </row>
    <row r="223" spans="1:6" ht="14.25" thickBot="1">
      <c r="A223" s="1342" t="s">
        <v>1463</v>
      </c>
      <c r="B223" s="1336" t="s">
        <v>1304</v>
      </c>
      <c r="C223" s="1912"/>
      <c r="D223" s="1918"/>
      <c r="E223" s="1918"/>
      <c r="F223" s="1913">
        <v>0.15</v>
      </c>
    </row>
    <row r="224" spans="1:6" ht="14.25" thickBot="1">
      <c r="A224" s="1342" t="s">
        <v>1463</v>
      </c>
      <c r="B224" s="1336" t="s">
        <v>1314</v>
      </c>
      <c r="C224" s="1912"/>
      <c r="D224" s="1918"/>
      <c r="E224" s="1918"/>
      <c r="F224" s="1913">
        <v>0.15</v>
      </c>
    </row>
    <row r="225" spans="1:6" ht="14.25" thickBot="1">
      <c r="A225" s="1342" t="s">
        <v>1463</v>
      </c>
      <c r="B225" s="1336" t="s">
        <v>2092</v>
      </c>
      <c r="C225" s="1912">
        <v>0.15</v>
      </c>
      <c r="D225" s="1912">
        <v>0.15</v>
      </c>
      <c r="E225" s="1912">
        <v>0.15</v>
      </c>
      <c r="F225" s="1913">
        <v>0.15</v>
      </c>
    </row>
    <row r="226" spans="1:6" ht="14.25" thickBot="1">
      <c r="A226" s="1342" t="s">
        <v>1463</v>
      </c>
      <c r="B226" s="1336" t="s">
        <v>1332</v>
      </c>
      <c r="C226" s="1912">
        <v>0.15</v>
      </c>
      <c r="D226" s="1912">
        <v>0.15</v>
      </c>
      <c r="E226" s="1912">
        <v>0.15</v>
      </c>
      <c r="F226" s="1913">
        <v>0.14799999999999999</v>
      </c>
    </row>
    <row r="227" spans="1:6" ht="14.25" thickBot="1">
      <c r="A227" s="1342" t="s">
        <v>1463</v>
      </c>
      <c r="B227" s="1336" t="s">
        <v>2093</v>
      </c>
      <c r="C227" s="1912">
        <v>0.15</v>
      </c>
      <c r="D227" s="1912">
        <v>0.15</v>
      </c>
      <c r="E227" s="1912">
        <v>0.15</v>
      </c>
      <c r="F227" s="1913">
        <v>0.15</v>
      </c>
    </row>
    <row r="228" spans="1:6" ht="14.25" thickBot="1">
      <c r="A228" s="1342" t="s">
        <v>1463</v>
      </c>
      <c r="B228" s="1336" t="s">
        <v>1347</v>
      </c>
      <c r="C228" s="1912">
        <v>0.15</v>
      </c>
      <c r="D228" s="1912">
        <v>0.15</v>
      </c>
      <c r="E228" s="1912">
        <v>0.15</v>
      </c>
      <c r="F228" s="1913">
        <v>0.15</v>
      </c>
    </row>
    <row r="229" spans="1:6" ht="14.25" thickBot="1">
      <c r="A229" s="1342" t="s">
        <v>1463</v>
      </c>
      <c r="B229" s="1336" t="s">
        <v>1354</v>
      </c>
      <c r="C229" s="1912">
        <v>0.15</v>
      </c>
      <c r="D229" s="1912">
        <v>0.15</v>
      </c>
      <c r="E229" s="1912">
        <v>0.15</v>
      </c>
      <c r="F229" s="1917"/>
    </row>
    <row r="230" spans="1:6" ht="14.25" thickBot="1">
      <c r="A230" s="1342" t="s">
        <v>1463</v>
      </c>
      <c r="B230" s="1336" t="s">
        <v>1361</v>
      </c>
      <c r="C230" s="1912">
        <v>0.14499999999999999</v>
      </c>
      <c r="D230" s="1912">
        <v>0.14499999999999999</v>
      </c>
      <c r="E230" s="1912">
        <v>0.14399999999999999</v>
      </c>
      <c r="F230" s="1917"/>
    </row>
    <row r="231" spans="1:6" ht="14.25" thickBot="1">
      <c r="A231" s="1342" t="s">
        <v>1463</v>
      </c>
      <c r="B231" s="1336" t="s">
        <v>2094</v>
      </c>
      <c r="C231" s="1912">
        <v>0.128</v>
      </c>
      <c r="D231" s="1912">
        <v>0.125</v>
      </c>
      <c r="E231" s="1912">
        <v>0.13200000000000001</v>
      </c>
      <c r="F231" s="1917"/>
    </row>
    <row r="232" spans="1:6" ht="14.25" thickBot="1">
      <c r="A232" s="1342" t="s">
        <v>1463</v>
      </c>
      <c r="B232" s="1336" t="s">
        <v>2095</v>
      </c>
      <c r="C232" s="1912">
        <v>0.14499999999999999</v>
      </c>
      <c r="D232" s="1912">
        <v>0.14399999999999999</v>
      </c>
      <c r="E232" s="1912">
        <v>0.14599999999999999</v>
      </c>
      <c r="F232" s="1913">
        <v>0.13800000000000001</v>
      </c>
    </row>
    <row r="233" spans="1:6" ht="14.25" thickBot="1">
      <c r="A233" s="1342" t="s">
        <v>1463</v>
      </c>
      <c r="B233" s="1336" t="s">
        <v>2096</v>
      </c>
      <c r="C233" s="1912">
        <v>0.14499999999999999</v>
      </c>
      <c r="D233" s="1912">
        <v>0.14299999999999999</v>
      </c>
      <c r="E233" s="1912">
        <v>0.14199999999999999</v>
      </c>
      <c r="F233" s="1917"/>
    </row>
    <row r="234" spans="1:6" ht="14.25" thickBot="1">
      <c r="A234" s="1342" t="s">
        <v>1463</v>
      </c>
      <c r="B234" s="1336" t="s">
        <v>2097</v>
      </c>
      <c r="C234" s="1912">
        <v>0.14000000000000001</v>
      </c>
      <c r="D234" s="1912">
        <v>0.14000000000000001</v>
      </c>
      <c r="E234" s="1912">
        <v>0.14399999999999999</v>
      </c>
      <c r="F234" s="1917"/>
    </row>
    <row r="235" spans="1:6" ht="14.25" thickBot="1">
      <c r="A235" s="1342" t="s">
        <v>1463</v>
      </c>
      <c r="B235" s="1336" t="s">
        <v>2098</v>
      </c>
      <c r="C235" s="1912">
        <v>0.14099999999999999</v>
      </c>
      <c r="D235" s="1912">
        <v>0.14199999999999999</v>
      </c>
      <c r="E235" s="1912">
        <v>0.14499999999999999</v>
      </c>
      <c r="F235" s="1913">
        <v>0.15</v>
      </c>
    </row>
    <row r="236" spans="1:6" ht="14.25" thickBot="1">
      <c r="A236" s="1342" t="s">
        <v>1463</v>
      </c>
      <c r="B236" s="1336" t="s">
        <v>1396</v>
      </c>
      <c r="C236" s="1918"/>
      <c r="D236" s="1918"/>
      <c r="E236" s="1918"/>
      <c r="F236" s="1913">
        <v>0.14299999999999999</v>
      </c>
    </row>
    <row r="237" spans="1:6" ht="24.75" thickBot="1">
      <c r="A237" s="1342" t="s">
        <v>1463</v>
      </c>
      <c r="B237" s="1336" t="s">
        <v>2099</v>
      </c>
      <c r="C237" s="1918"/>
      <c r="D237" s="1918"/>
      <c r="E237" s="1918"/>
      <c r="F237" s="1913">
        <v>0.05</v>
      </c>
    </row>
    <row r="238" spans="1:6" ht="24.75" thickBot="1">
      <c r="A238" s="1342" t="s">
        <v>1463</v>
      </c>
      <c r="B238" s="1336" t="s">
        <v>2100</v>
      </c>
      <c r="C238" s="1918"/>
      <c r="D238" s="1918"/>
      <c r="E238" s="1918"/>
      <c r="F238" s="1913">
        <v>0.05</v>
      </c>
    </row>
    <row r="239" spans="1:6" ht="24.75" thickBot="1">
      <c r="A239" s="1342" t="s">
        <v>1463</v>
      </c>
      <c r="B239" s="1336" t="s">
        <v>2101</v>
      </c>
      <c r="C239" s="1918"/>
      <c r="D239" s="1918"/>
      <c r="E239" s="1918"/>
      <c r="F239" s="1913">
        <v>0.05</v>
      </c>
    </row>
    <row r="240" spans="1:6" ht="24.75" thickBot="1">
      <c r="A240" s="1342" t="s">
        <v>1463</v>
      </c>
      <c r="B240" s="1336" t="s">
        <v>2102</v>
      </c>
      <c r="C240" s="1918"/>
      <c r="D240" s="1918"/>
      <c r="E240" s="1918"/>
      <c r="F240" s="1913">
        <v>0.05</v>
      </c>
    </row>
    <row r="241" spans="1:6" ht="24.75" thickBot="1">
      <c r="A241" s="1342" t="s">
        <v>1463</v>
      </c>
      <c r="B241" s="1336" t="s">
        <v>2103</v>
      </c>
      <c r="C241" s="1918"/>
      <c r="D241" s="1918"/>
      <c r="E241" s="1918"/>
      <c r="F241" s="1913">
        <v>0.05</v>
      </c>
    </row>
    <row r="242" spans="1:6" ht="24.75" thickBot="1">
      <c r="A242" s="1342" t="s">
        <v>1463</v>
      </c>
      <c r="B242" s="1336" t="s">
        <v>2104</v>
      </c>
      <c r="C242" s="1918"/>
      <c r="D242" s="1918"/>
      <c r="E242" s="1918"/>
      <c r="F242" s="1913">
        <v>0.05</v>
      </c>
    </row>
    <row r="243" spans="1:6" ht="24.75" thickBot="1">
      <c r="A243" s="1342" t="s">
        <v>1463</v>
      </c>
      <c r="B243" s="1336" t="s">
        <v>2105</v>
      </c>
      <c r="C243" s="1918"/>
      <c r="D243" s="1918"/>
      <c r="E243" s="1918"/>
      <c r="F243" s="1913">
        <v>0.05</v>
      </c>
    </row>
    <row r="244" spans="1:6" ht="24.75" thickBot="1">
      <c r="A244" s="1359" t="s">
        <v>1463</v>
      </c>
      <c r="B244" s="1352" t="s">
        <v>2106</v>
      </c>
      <c r="C244" s="1915"/>
      <c r="D244" s="1915"/>
      <c r="E244" s="1915"/>
      <c r="F244" s="1919">
        <v>0.05</v>
      </c>
    </row>
    <row r="245" spans="1:6" ht="14.25" thickBot="1">
      <c r="A245" s="1342" t="s">
        <v>1465</v>
      </c>
      <c r="B245" s="1343" t="s">
        <v>2107</v>
      </c>
      <c r="C245" s="1910">
        <v>0.15</v>
      </c>
      <c r="D245" s="1910">
        <v>0.15</v>
      </c>
      <c r="E245" s="1910">
        <v>0.15</v>
      </c>
      <c r="F245" s="1911">
        <v>0.14299999999999999</v>
      </c>
    </row>
    <row r="246" spans="1:6" ht="14.25" thickBot="1">
      <c r="A246" s="1342" t="s">
        <v>1465</v>
      </c>
      <c r="B246" s="1336" t="s">
        <v>1122</v>
      </c>
      <c r="C246" s="1912">
        <v>0.15</v>
      </c>
      <c r="D246" s="1912">
        <v>0.15</v>
      </c>
      <c r="E246" s="1912">
        <v>0.15</v>
      </c>
      <c r="F246" s="1913">
        <v>0.114</v>
      </c>
    </row>
    <row r="247" spans="1:6" ht="14.25" thickBot="1">
      <c r="A247" s="1342" t="s">
        <v>1465</v>
      </c>
      <c r="B247" s="1336" t="s">
        <v>2108</v>
      </c>
      <c r="C247" s="1912">
        <v>0.15</v>
      </c>
      <c r="D247" s="1912">
        <v>0.15</v>
      </c>
      <c r="E247" s="1912">
        <v>0.15</v>
      </c>
      <c r="F247" s="1913">
        <v>0.15</v>
      </c>
    </row>
    <row r="248" spans="1:6" ht="14.25" thickBot="1">
      <c r="A248" s="1342" t="s">
        <v>1465</v>
      </c>
      <c r="B248" s="1336" t="s">
        <v>2109</v>
      </c>
      <c r="C248" s="1912">
        <v>0.15</v>
      </c>
      <c r="D248" s="1912">
        <v>0.15</v>
      </c>
      <c r="E248" s="1912">
        <v>0.15</v>
      </c>
      <c r="F248" s="1913">
        <v>0.14000000000000001</v>
      </c>
    </row>
    <row r="249" spans="1:6" ht="14.25" thickBot="1">
      <c r="A249" s="1342" t="s">
        <v>1465</v>
      </c>
      <c r="B249" s="1336" t="s">
        <v>2110</v>
      </c>
      <c r="C249" s="1912">
        <v>0.15</v>
      </c>
      <c r="D249" s="1912">
        <v>0.14899999999999999</v>
      </c>
      <c r="E249" s="1912">
        <v>0.15</v>
      </c>
      <c r="F249" s="1913">
        <v>0.1</v>
      </c>
    </row>
    <row r="250" spans="1:6" ht="14.25" thickBot="1">
      <c r="A250" s="1342" t="s">
        <v>1465</v>
      </c>
      <c r="B250" s="1336" t="s">
        <v>2111</v>
      </c>
      <c r="C250" s="1912">
        <v>0.15</v>
      </c>
      <c r="D250" s="1912">
        <v>0.15</v>
      </c>
      <c r="E250" s="1912">
        <v>0.15</v>
      </c>
      <c r="F250" s="1913">
        <v>0.14399999999999999</v>
      </c>
    </row>
    <row r="251" spans="1:6" ht="14.25" thickBot="1">
      <c r="A251" s="1342" t="s">
        <v>1465</v>
      </c>
      <c r="B251" s="1336" t="s">
        <v>1184</v>
      </c>
      <c r="C251" s="1912">
        <v>0.15</v>
      </c>
      <c r="D251" s="1912">
        <v>0.15</v>
      </c>
      <c r="E251" s="1912">
        <v>0.15</v>
      </c>
      <c r="F251" s="1913">
        <v>0.14299999999999999</v>
      </c>
    </row>
    <row r="252" spans="1:6" ht="14.25" thickBot="1">
      <c r="A252" s="1342" t="s">
        <v>1465</v>
      </c>
      <c r="B252" s="1336" t="s">
        <v>1196</v>
      </c>
      <c r="C252" s="1912">
        <v>0.15</v>
      </c>
      <c r="D252" s="1912">
        <v>0.15</v>
      </c>
      <c r="E252" s="1912">
        <v>0.15</v>
      </c>
      <c r="F252" s="1913">
        <v>0.1</v>
      </c>
    </row>
    <row r="253" spans="1:6" ht="14.25" thickBot="1">
      <c r="A253" s="1342" t="s">
        <v>1465</v>
      </c>
      <c r="B253" s="1336" t="s">
        <v>1209</v>
      </c>
      <c r="C253" s="1912">
        <v>0.15</v>
      </c>
      <c r="D253" s="1912">
        <v>0.15</v>
      </c>
      <c r="E253" s="1912">
        <v>0.15</v>
      </c>
      <c r="F253" s="1913">
        <v>0.1</v>
      </c>
    </row>
    <row r="254" spans="1:6" ht="14.25" thickBot="1">
      <c r="A254" s="1342" t="s">
        <v>1465</v>
      </c>
      <c r="B254" s="1336" t="s">
        <v>1220</v>
      </c>
      <c r="C254" s="1918"/>
      <c r="D254" s="1918"/>
      <c r="E254" s="1918"/>
      <c r="F254" s="1913">
        <v>0.15</v>
      </c>
    </row>
    <row r="255" spans="1:6" ht="14.25" thickBot="1">
      <c r="A255" s="1342" t="s">
        <v>1465</v>
      </c>
      <c r="B255" s="1336" t="s">
        <v>1231</v>
      </c>
      <c r="C255" s="1918"/>
      <c r="D255" s="1918"/>
      <c r="E255" s="1918"/>
      <c r="F255" s="1913">
        <v>0.14299999999999999</v>
      </c>
    </row>
    <row r="256" spans="1:6" ht="14.25" thickBot="1">
      <c r="A256" s="1342" t="s">
        <v>1465</v>
      </c>
      <c r="B256" s="1336" t="s">
        <v>2112</v>
      </c>
      <c r="C256" s="1912">
        <v>0.14599999999999999</v>
      </c>
      <c r="D256" s="1912">
        <v>0.14699999999999999</v>
      </c>
      <c r="E256" s="1912">
        <v>0.15</v>
      </c>
      <c r="F256" s="1913">
        <v>0.13200000000000001</v>
      </c>
    </row>
    <row r="257" spans="1:6" ht="14.25" thickBot="1">
      <c r="A257" s="1342" t="s">
        <v>1465</v>
      </c>
      <c r="B257" s="1336" t="s">
        <v>1253</v>
      </c>
      <c r="C257" s="1912">
        <v>0.15</v>
      </c>
      <c r="D257" s="1912">
        <v>0.15</v>
      </c>
      <c r="E257" s="1912">
        <v>0.15</v>
      </c>
      <c r="F257" s="1913">
        <v>0.13900000000000001</v>
      </c>
    </row>
    <row r="258" spans="1:6" ht="14.25" thickBot="1">
      <c r="A258" s="1342" t="s">
        <v>1465</v>
      </c>
      <c r="B258" s="1336" t="s">
        <v>1264</v>
      </c>
      <c r="C258" s="1912">
        <v>0.15</v>
      </c>
      <c r="D258" s="1912">
        <v>0.15</v>
      </c>
      <c r="E258" s="1912">
        <v>0.15</v>
      </c>
      <c r="F258" s="1913">
        <v>0.13</v>
      </c>
    </row>
    <row r="259" spans="1:6" ht="14.25" thickBot="1">
      <c r="A259" s="1342" t="s">
        <v>1465</v>
      </c>
      <c r="B259" s="1336" t="s">
        <v>2113</v>
      </c>
      <c r="C259" s="1912">
        <v>0.14799999999999999</v>
      </c>
      <c r="D259" s="1912">
        <v>0.14899999999999999</v>
      </c>
      <c r="E259" s="1912">
        <v>0.15</v>
      </c>
      <c r="F259" s="1913">
        <v>0.13700000000000001</v>
      </c>
    </row>
    <row r="260" spans="1:6" ht="14.25" thickBot="1">
      <c r="A260" s="1342" t="s">
        <v>1465</v>
      </c>
      <c r="B260" s="1336" t="s">
        <v>1285</v>
      </c>
      <c r="C260" s="1912">
        <v>0.15</v>
      </c>
      <c r="D260" s="1912">
        <v>0.15</v>
      </c>
      <c r="E260" s="1912">
        <v>0.15</v>
      </c>
      <c r="F260" s="1913">
        <v>0.14199999999999999</v>
      </c>
    </row>
    <row r="261" spans="1:6" ht="14.25" thickBot="1">
      <c r="A261" s="1342" t="s">
        <v>1465</v>
      </c>
      <c r="B261" s="1336" t="s">
        <v>1295</v>
      </c>
      <c r="C261" s="1912">
        <v>0.15</v>
      </c>
      <c r="D261" s="1912">
        <v>0.15</v>
      </c>
      <c r="E261" s="1912">
        <v>0.14899999999999999</v>
      </c>
      <c r="F261" s="1913">
        <v>0.14799999999999999</v>
      </c>
    </row>
    <row r="262" spans="1:6" ht="14.25" thickBot="1">
      <c r="A262" s="1342" t="s">
        <v>1465</v>
      </c>
      <c r="B262" s="1336" t="s">
        <v>1305</v>
      </c>
      <c r="C262" s="1912">
        <v>0.15</v>
      </c>
      <c r="D262" s="1912">
        <v>0.15</v>
      </c>
      <c r="E262" s="1912">
        <v>0.15</v>
      </c>
      <c r="F262" s="1917"/>
    </row>
    <row r="263" spans="1:6" ht="14.25" thickBot="1">
      <c r="A263" s="1342" t="s">
        <v>1465</v>
      </c>
      <c r="B263" s="1336" t="s">
        <v>2114</v>
      </c>
      <c r="C263" s="1912">
        <v>0.14899999999999999</v>
      </c>
      <c r="D263" s="1912">
        <v>0.14899999999999999</v>
      </c>
      <c r="E263" s="1912">
        <v>0.15</v>
      </c>
      <c r="F263" s="1913">
        <v>0.13</v>
      </c>
    </row>
    <row r="264" spans="1:6" ht="14.25" thickBot="1">
      <c r="A264" s="1342" t="s">
        <v>1465</v>
      </c>
      <c r="B264" s="1336" t="s">
        <v>1324</v>
      </c>
      <c r="C264" s="1912">
        <v>0.14799999999999999</v>
      </c>
      <c r="D264" s="1912">
        <v>0.14699999999999999</v>
      </c>
      <c r="E264" s="1912">
        <v>0.15</v>
      </c>
      <c r="F264" s="1913">
        <v>7.8E-2</v>
      </c>
    </row>
    <row r="265" spans="1:6" ht="14.25" thickBot="1">
      <c r="A265" s="1342" t="s">
        <v>1465</v>
      </c>
      <c r="B265" s="1336" t="s">
        <v>1333</v>
      </c>
      <c r="C265" s="1912">
        <v>0.15</v>
      </c>
      <c r="D265" s="1912">
        <v>0.15</v>
      </c>
      <c r="E265" s="1912">
        <v>0.15</v>
      </c>
      <c r="F265" s="1913">
        <v>7.3999999999999996E-2</v>
      </c>
    </row>
    <row r="266" spans="1:6" ht="14.25" thickBot="1">
      <c r="A266" s="1342" t="s">
        <v>1465</v>
      </c>
      <c r="B266" s="1336" t="s">
        <v>1341</v>
      </c>
      <c r="C266" s="1912">
        <v>0.14699999999999999</v>
      </c>
      <c r="D266" s="1912">
        <v>0.14699999999999999</v>
      </c>
      <c r="E266" s="1912">
        <v>0.15</v>
      </c>
      <c r="F266" s="1913">
        <v>0.14299999999999999</v>
      </c>
    </row>
    <row r="267" spans="1:6" ht="14.25" thickBot="1">
      <c r="A267" s="1342" t="s">
        <v>1465</v>
      </c>
      <c r="B267" s="1336" t="s">
        <v>1348</v>
      </c>
      <c r="C267" s="1912">
        <v>0.14199999999999999</v>
      </c>
      <c r="D267" s="1912">
        <v>0.14299999999999999</v>
      </c>
      <c r="E267" s="1912">
        <v>0.15</v>
      </c>
      <c r="F267" s="1917"/>
    </row>
    <row r="268" spans="1:6" ht="14.25" thickBot="1">
      <c r="A268" s="1342" t="s">
        <v>1465</v>
      </c>
      <c r="B268" s="1336" t="s">
        <v>2115</v>
      </c>
      <c r="C268" s="1912">
        <v>0.15</v>
      </c>
      <c r="D268" s="1912">
        <v>0.15</v>
      </c>
      <c r="E268" s="1912">
        <v>0.15</v>
      </c>
      <c r="F268" s="1913">
        <v>0.13</v>
      </c>
    </row>
    <row r="269" spans="1:6" ht="14.25" thickBot="1">
      <c r="A269" s="1342" t="s">
        <v>1465</v>
      </c>
      <c r="B269" s="1336" t="s">
        <v>1362</v>
      </c>
      <c r="C269" s="1912">
        <v>0.15</v>
      </c>
      <c r="D269" s="1912">
        <v>0.15</v>
      </c>
      <c r="E269" s="1912">
        <v>0.15</v>
      </c>
      <c r="F269" s="1913">
        <v>0.14299999999999999</v>
      </c>
    </row>
    <row r="270" spans="1:6" ht="14.25" thickBot="1">
      <c r="A270" s="1342" t="s">
        <v>1465</v>
      </c>
      <c r="B270" s="1336" t="s">
        <v>1369</v>
      </c>
      <c r="C270" s="1912">
        <v>0.14499999999999999</v>
      </c>
      <c r="D270" s="1912">
        <v>0.14499999999999999</v>
      </c>
      <c r="E270" s="1912">
        <v>0.15</v>
      </c>
      <c r="F270" s="1913">
        <v>0.14699999999999999</v>
      </c>
    </row>
    <row r="271" spans="1:6" ht="14.25" thickBot="1">
      <c r="A271" s="1342" t="s">
        <v>1465</v>
      </c>
      <c r="B271" s="1336" t="s">
        <v>1376</v>
      </c>
      <c r="C271" s="1912">
        <v>0.15</v>
      </c>
      <c r="D271" s="1912">
        <v>0.15</v>
      </c>
      <c r="E271" s="1912">
        <v>0.15</v>
      </c>
      <c r="F271" s="1913">
        <v>0.13800000000000001</v>
      </c>
    </row>
    <row r="272" spans="1:6" ht="14.25" thickBot="1">
      <c r="A272" s="1342" t="s">
        <v>1465</v>
      </c>
      <c r="B272" s="1336" t="s">
        <v>1383</v>
      </c>
      <c r="C272" s="1918"/>
      <c r="D272" s="1918"/>
      <c r="E272" s="1918"/>
      <c r="F272" s="1913">
        <v>0.14000000000000001</v>
      </c>
    </row>
    <row r="273" spans="1:6" ht="14.25" thickBot="1">
      <c r="A273" s="1342" t="s">
        <v>1465</v>
      </c>
      <c r="B273" s="1336" t="s">
        <v>2116</v>
      </c>
      <c r="C273" s="1912">
        <v>0.14199999999999999</v>
      </c>
      <c r="D273" s="1912">
        <v>0.14299999999999999</v>
      </c>
      <c r="E273" s="1912">
        <v>0.15</v>
      </c>
      <c r="F273" s="1913">
        <v>0.1</v>
      </c>
    </row>
    <row r="274" spans="1:6" ht="14.25" thickBot="1">
      <c r="A274" s="1342" t="s">
        <v>1465</v>
      </c>
      <c r="B274" s="1336" t="s">
        <v>2117</v>
      </c>
      <c r="C274" s="1912">
        <v>0.14799999999999999</v>
      </c>
      <c r="D274" s="1912">
        <v>0.14799999999999999</v>
      </c>
      <c r="E274" s="1912">
        <v>0.15</v>
      </c>
      <c r="F274" s="1913">
        <v>6.7000000000000004E-2</v>
      </c>
    </row>
    <row r="275" spans="1:6" ht="14.25" thickBot="1">
      <c r="A275" s="1342" t="s">
        <v>1465</v>
      </c>
      <c r="B275" s="1336" t="s">
        <v>2118</v>
      </c>
      <c r="C275" s="1912">
        <v>0.15</v>
      </c>
      <c r="D275" s="1912">
        <v>0.15</v>
      </c>
      <c r="E275" s="1912">
        <v>0.15</v>
      </c>
      <c r="F275" s="1913">
        <v>0.15</v>
      </c>
    </row>
    <row r="276" spans="1:6" ht="14.25" thickBot="1">
      <c r="A276" s="1342" t="s">
        <v>1465</v>
      </c>
      <c r="B276" s="1336" t="s">
        <v>2119</v>
      </c>
      <c r="C276" s="1912">
        <v>0.14499999999999999</v>
      </c>
      <c r="D276" s="1912">
        <v>0.14299999999999999</v>
      </c>
      <c r="E276" s="1912">
        <v>0.15</v>
      </c>
      <c r="F276" s="1913">
        <v>5.8999999999999997E-2</v>
      </c>
    </row>
    <row r="277" spans="1:6" ht="14.25" thickBot="1">
      <c r="A277" s="1342" t="s">
        <v>1465</v>
      </c>
      <c r="B277" s="1336" t="s">
        <v>2120</v>
      </c>
      <c r="C277" s="1912">
        <v>0.15</v>
      </c>
      <c r="D277" s="1912">
        <v>0.15</v>
      </c>
      <c r="E277" s="1912">
        <v>0.15</v>
      </c>
      <c r="F277" s="1913">
        <v>0.121</v>
      </c>
    </row>
    <row r="278" spans="1:6" ht="14.25" thickBot="1">
      <c r="A278" s="1342" t="s">
        <v>1465</v>
      </c>
      <c r="B278" s="1336" t="s">
        <v>2121</v>
      </c>
      <c r="C278" s="1912">
        <v>0.15</v>
      </c>
      <c r="D278" s="1912">
        <v>0.15</v>
      </c>
      <c r="E278" s="1912">
        <v>0.15</v>
      </c>
      <c r="F278" s="1913">
        <v>0.13800000000000001</v>
      </c>
    </row>
    <row r="279" spans="1:6" ht="24.75" thickBot="1">
      <c r="A279" s="1342" t="s">
        <v>1465</v>
      </c>
      <c r="B279" s="1336" t="s">
        <v>2122</v>
      </c>
      <c r="C279" s="1918"/>
      <c r="D279" s="1918"/>
      <c r="E279" s="1918"/>
      <c r="F279" s="1913">
        <v>0.05</v>
      </c>
    </row>
    <row r="280" spans="1:6" ht="24.75" thickBot="1">
      <c r="A280" s="1342" t="s">
        <v>1465</v>
      </c>
      <c r="B280" s="1336" t="s">
        <v>2123</v>
      </c>
      <c r="C280" s="1918"/>
      <c r="D280" s="1918"/>
      <c r="E280" s="1918"/>
      <c r="F280" s="1913">
        <v>0.05</v>
      </c>
    </row>
    <row r="281" spans="1:6" ht="24.75" thickBot="1">
      <c r="A281" s="1342" t="s">
        <v>1465</v>
      </c>
      <c r="B281" s="1336" t="s">
        <v>2124</v>
      </c>
      <c r="C281" s="1918"/>
      <c r="D281" s="1918"/>
      <c r="E281" s="1918"/>
      <c r="F281" s="1913">
        <v>0.05</v>
      </c>
    </row>
    <row r="282" spans="1:6" ht="24.75" thickBot="1">
      <c r="A282" s="1342" t="s">
        <v>1465</v>
      </c>
      <c r="B282" s="1336" t="s">
        <v>2125</v>
      </c>
      <c r="C282" s="1918"/>
      <c r="D282" s="1918"/>
      <c r="E282" s="1918"/>
      <c r="F282" s="1913">
        <v>0.05</v>
      </c>
    </row>
    <row r="283" spans="1:6" ht="24.75" thickBot="1">
      <c r="A283" s="1342" t="s">
        <v>1465</v>
      </c>
      <c r="B283" s="1336" t="s">
        <v>2126</v>
      </c>
      <c r="C283" s="1918"/>
      <c r="D283" s="1918"/>
      <c r="E283" s="1918"/>
      <c r="F283" s="1913">
        <v>0.05</v>
      </c>
    </row>
    <row r="284" spans="1:6" ht="24.75" thickBot="1">
      <c r="A284" s="1342" t="s">
        <v>1465</v>
      </c>
      <c r="B284" s="1336" t="s">
        <v>2127</v>
      </c>
      <c r="C284" s="1918"/>
      <c r="D284" s="1918"/>
      <c r="E284" s="1918"/>
      <c r="F284" s="1913">
        <v>0.05</v>
      </c>
    </row>
    <row r="285" spans="1:6" ht="24.75" thickBot="1">
      <c r="A285" s="1342" t="s">
        <v>1465</v>
      </c>
      <c r="B285" s="1336" t="s">
        <v>2128</v>
      </c>
      <c r="C285" s="1918"/>
      <c r="D285" s="1918"/>
      <c r="E285" s="1918"/>
      <c r="F285" s="1913">
        <v>0.05</v>
      </c>
    </row>
    <row r="286" spans="1:6" ht="24.75" thickBot="1">
      <c r="A286" s="1342" t="s">
        <v>1465</v>
      </c>
      <c r="B286" s="1336" t="s">
        <v>2129</v>
      </c>
      <c r="C286" s="1918"/>
      <c r="D286" s="1918"/>
      <c r="E286" s="1918"/>
      <c r="F286" s="1913">
        <v>0.05</v>
      </c>
    </row>
    <row r="287" spans="1:6" ht="24.75" thickBot="1">
      <c r="A287" s="1342" t="s">
        <v>1465</v>
      </c>
      <c r="B287" s="1336" t="s">
        <v>2130</v>
      </c>
      <c r="C287" s="1918"/>
      <c r="D287" s="1918"/>
      <c r="E287" s="1918"/>
      <c r="F287" s="1913">
        <v>0.05</v>
      </c>
    </row>
    <row r="288" spans="1:6" ht="24.75" thickBot="1">
      <c r="A288" s="1342" t="s">
        <v>1465</v>
      </c>
      <c r="B288" s="1336" t="s">
        <v>2131</v>
      </c>
      <c r="C288" s="1918"/>
      <c r="D288" s="1918"/>
      <c r="E288" s="1918"/>
      <c r="F288" s="1913">
        <v>0.05</v>
      </c>
    </row>
    <row r="289" spans="1:6" ht="24.75" thickBot="1">
      <c r="A289" s="1359" t="s">
        <v>1465</v>
      </c>
      <c r="B289" s="1352" t="s">
        <v>2132</v>
      </c>
      <c r="C289" s="1915"/>
      <c r="D289" s="1915"/>
      <c r="E289" s="1915"/>
      <c r="F289" s="1919">
        <v>0.05</v>
      </c>
    </row>
    <row r="290" spans="1:6" ht="14.25" thickBot="1">
      <c r="A290" s="1342" t="s">
        <v>1469</v>
      </c>
      <c r="B290" s="1343" t="s">
        <v>2133</v>
      </c>
      <c r="C290" s="1910">
        <v>0.15</v>
      </c>
      <c r="D290" s="1910">
        <v>0.15</v>
      </c>
      <c r="E290" s="1910">
        <v>0.15</v>
      </c>
      <c r="F290" s="1927"/>
    </row>
    <row r="291" spans="1:6" ht="14.25" thickBot="1">
      <c r="A291" s="1342" t="s">
        <v>1469</v>
      </c>
      <c r="B291" s="1336" t="s">
        <v>1123</v>
      </c>
      <c r="C291" s="1912">
        <v>0.15</v>
      </c>
      <c r="D291" s="1912">
        <v>0.15</v>
      </c>
      <c r="E291" s="1912">
        <v>0.15</v>
      </c>
      <c r="F291" s="1917"/>
    </row>
    <row r="292" spans="1:6" ht="14.25" thickBot="1">
      <c r="A292" s="1342" t="s">
        <v>1469</v>
      </c>
      <c r="B292" s="1336" t="s">
        <v>2134</v>
      </c>
      <c r="C292" s="1912">
        <v>0.15</v>
      </c>
      <c r="D292" s="1912">
        <v>0.15</v>
      </c>
      <c r="E292" s="1912">
        <v>0.15</v>
      </c>
      <c r="F292" s="1913">
        <v>0.14699999999999999</v>
      </c>
    </row>
    <row r="293" spans="1:6" ht="14.25" thickBot="1">
      <c r="A293" s="1342" t="s">
        <v>1469</v>
      </c>
      <c r="B293" s="1336" t="s">
        <v>2135</v>
      </c>
      <c r="C293" s="1918"/>
      <c r="D293" s="1918"/>
      <c r="E293" s="1918"/>
      <c r="F293" s="1913">
        <v>0.1</v>
      </c>
    </row>
    <row r="294" spans="1:6" ht="14.25" thickBot="1">
      <c r="A294" s="1342" t="s">
        <v>1469</v>
      </c>
      <c r="B294" s="1336" t="s">
        <v>2136</v>
      </c>
      <c r="C294" s="1912">
        <v>0.15</v>
      </c>
      <c r="D294" s="1912">
        <v>0.15</v>
      </c>
      <c r="E294" s="1912">
        <v>0.15</v>
      </c>
      <c r="F294" s="1913">
        <v>0.15</v>
      </c>
    </row>
    <row r="295" spans="1:6" ht="14.25" thickBot="1">
      <c r="A295" s="1342" t="s">
        <v>1469</v>
      </c>
      <c r="B295" s="1336" t="s">
        <v>1161</v>
      </c>
      <c r="C295" s="1912">
        <v>0.15</v>
      </c>
      <c r="D295" s="1912">
        <v>0.15</v>
      </c>
      <c r="E295" s="1912">
        <v>0.15</v>
      </c>
      <c r="F295" s="1913">
        <v>0.15</v>
      </c>
    </row>
    <row r="296" spans="1:6" ht="14.25" thickBot="1">
      <c r="A296" s="1342" t="s">
        <v>1469</v>
      </c>
      <c r="B296" s="1336" t="s">
        <v>2137</v>
      </c>
      <c r="C296" s="1912">
        <v>0.15</v>
      </c>
      <c r="D296" s="1912">
        <v>0.15</v>
      </c>
      <c r="E296" s="1912">
        <v>0.15</v>
      </c>
      <c r="F296" s="1913">
        <v>0.15</v>
      </c>
    </row>
    <row r="297" spans="1:6" ht="14.25" thickBot="1">
      <c r="A297" s="1342" t="s">
        <v>1469</v>
      </c>
      <c r="B297" s="1336" t="s">
        <v>2138</v>
      </c>
      <c r="C297" s="1912">
        <v>0.14799999999999999</v>
      </c>
      <c r="D297" s="1912">
        <v>0.14899999999999999</v>
      </c>
      <c r="E297" s="1912">
        <v>0.15</v>
      </c>
      <c r="F297" s="1913">
        <v>0.13700000000000001</v>
      </c>
    </row>
    <row r="298" spans="1:6" ht="14.25" thickBot="1">
      <c r="A298" s="1342" t="s">
        <v>1469</v>
      </c>
      <c r="B298" s="1336" t="s">
        <v>1197</v>
      </c>
      <c r="C298" s="1912">
        <v>0.13400000000000001</v>
      </c>
      <c r="D298" s="1912">
        <v>0.13400000000000001</v>
      </c>
      <c r="E298" s="1912">
        <v>0.14499999999999999</v>
      </c>
      <c r="F298" s="1913">
        <v>0.14799999999999999</v>
      </c>
    </row>
    <row r="299" spans="1:6" ht="14.25" thickBot="1">
      <c r="A299" s="1342" t="s">
        <v>1469</v>
      </c>
      <c r="B299" s="1336" t="s">
        <v>1210</v>
      </c>
      <c r="C299" s="1912">
        <v>0.15</v>
      </c>
      <c r="D299" s="1912">
        <v>0.15</v>
      </c>
      <c r="E299" s="1912">
        <v>0.15</v>
      </c>
      <c r="F299" s="1917"/>
    </row>
    <row r="300" spans="1:6" ht="14.25" thickBot="1">
      <c r="A300" s="1342" t="s">
        <v>1469</v>
      </c>
      <c r="B300" s="1336" t="s">
        <v>2139</v>
      </c>
      <c r="C300" s="1912">
        <v>0.15</v>
      </c>
      <c r="D300" s="1912">
        <v>0.15</v>
      </c>
      <c r="E300" s="1912">
        <v>0.15</v>
      </c>
      <c r="F300" s="1913">
        <v>0.15</v>
      </c>
    </row>
    <row r="301" spans="1:6" ht="14.25" thickBot="1">
      <c r="A301" s="1342" t="s">
        <v>1469</v>
      </c>
      <c r="B301" s="1336" t="s">
        <v>1232</v>
      </c>
      <c r="C301" s="1912">
        <v>0.15</v>
      </c>
      <c r="D301" s="1912">
        <v>0.15</v>
      </c>
      <c r="E301" s="1912">
        <v>0.15</v>
      </c>
      <c r="F301" s="1917"/>
    </row>
    <row r="302" spans="1:6" ht="14.25" thickBot="1">
      <c r="A302" s="1342" t="s">
        <v>1469</v>
      </c>
      <c r="B302" s="1336" t="s">
        <v>2140</v>
      </c>
      <c r="C302" s="1912">
        <v>0.15</v>
      </c>
      <c r="D302" s="1912">
        <v>0.15</v>
      </c>
      <c r="E302" s="1912">
        <v>0.15</v>
      </c>
      <c r="F302" s="1913">
        <v>0.15</v>
      </c>
    </row>
    <row r="303" spans="1:6" ht="14.25" thickBot="1">
      <c r="A303" s="1342" t="s">
        <v>1469</v>
      </c>
      <c r="B303" s="1336" t="s">
        <v>1254</v>
      </c>
      <c r="C303" s="1912">
        <v>0.15</v>
      </c>
      <c r="D303" s="1912">
        <v>0.15</v>
      </c>
      <c r="E303" s="1912">
        <v>0.15</v>
      </c>
      <c r="F303" s="1913">
        <v>0.15</v>
      </c>
    </row>
    <row r="304" spans="1:6" ht="14.25" thickBot="1">
      <c r="A304" s="1342" t="s">
        <v>1469</v>
      </c>
      <c r="B304" s="1336" t="s">
        <v>1265</v>
      </c>
      <c r="C304" s="1912">
        <v>0.15</v>
      </c>
      <c r="D304" s="1912">
        <v>0.15</v>
      </c>
      <c r="E304" s="1912">
        <v>0.15</v>
      </c>
      <c r="F304" s="1917"/>
    </row>
    <row r="305" spans="1:6" ht="14.25" thickBot="1">
      <c r="A305" s="1342" t="s">
        <v>1469</v>
      </c>
      <c r="B305" s="1336" t="s">
        <v>2141</v>
      </c>
      <c r="C305" s="1912">
        <v>0.15</v>
      </c>
      <c r="D305" s="1912">
        <v>0.15</v>
      </c>
      <c r="E305" s="1912">
        <v>0.15</v>
      </c>
      <c r="F305" s="1913">
        <v>0.14000000000000001</v>
      </c>
    </row>
    <row r="306" spans="1:6" ht="14.25" thickBot="1">
      <c r="A306" s="1342" t="s">
        <v>1469</v>
      </c>
      <c r="B306" s="1336" t="s">
        <v>1286</v>
      </c>
      <c r="C306" s="1912">
        <v>0.15</v>
      </c>
      <c r="D306" s="1912">
        <v>0.15</v>
      </c>
      <c r="E306" s="1912">
        <v>0.15</v>
      </c>
      <c r="F306" s="1917"/>
    </row>
    <row r="307" spans="1:6" ht="14.25" thickBot="1">
      <c r="A307" s="1342" t="s">
        <v>1469</v>
      </c>
      <c r="B307" s="1336" t="s">
        <v>2142</v>
      </c>
      <c r="C307" s="1912">
        <v>0.15</v>
      </c>
      <c r="D307" s="1912">
        <v>0.15</v>
      </c>
      <c r="E307" s="1912">
        <v>0.15</v>
      </c>
      <c r="F307" s="1913">
        <v>0.14299999999999999</v>
      </c>
    </row>
    <row r="308" spans="1:6" ht="14.25" thickBot="1">
      <c r="A308" s="1342" t="s">
        <v>1469</v>
      </c>
      <c r="B308" s="1336" t="s">
        <v>1306</v>
      </c>
      <c r="C308" s="1912">
        <v>0.15</v>
      </c>
      <c r="D308" s="1912">
        <v>0.15</v>
      </c>
      <c r="E308" s="1912">
        <v>0.15</v>
      </c>
      <c r="F308" s="1913">
        <v>0.15</v>
      </c>
    </row>
    <row r="309" spans="1:6" ht="14.25" thickBot="1">
      <c r="A309" s="1342" t="s">
        <v>1469</v>
      </c>
      <c r="B309" s="1336" t="s">
        <v>1316</v>
      </c>
      <c r="C309" s="1912">
        <v>0.15</v>
      </c>
      <c r="D309" s="1912">
        <v>0.15</v>
      </c>
      <c r="E309" s="1912">
        <v>0.15</v>
      </c>
      <c r="F309" s="1917"/>
    </row>
    <row r="310" spans="1:6" ht="14.25" thickBot="1">
      <c r="A310" s="1342" t="s">
        <v>1469</v>
      </c>
      <c r="B310" s="1336" t="s">
        <v>2143</v>
      </c>
      <c r="C310" s="1912">
        <v>0.15</v>
      </c>
      <c r="D310" s="1912">
        <v>0.15</v>
      </c>
      <c r="E310" s="1912">
        <v>0.15</v>
      </c>
      <c r="F310" s="1913">
        <v>0.13700000000000001</v>
      </c>
    </row>
    <row r="311" spans="1:6" ht="14.25" thickBot="1">
      <c r="A311" s="1342" t="s">
        <v>1469</v>
      </c>
      <c r="B311" s="1336" t="s">
        <v>2144</v>
      </c>
      <c r="C311" s="1912">
        <v>0.15</v>
      </c>
      <c r="D311" s="1912">
        <v>0.15</v>
      </c>
      <c r="E311" s="1912">
        <v>0.15</v>
      </c>
      <c r="F311" s="1913">
        <v>0.15</v>
      </c>
    </row>
    <row r="312" spans="1:6" ht="14.25" thickBot="1">
      <c r="A312" s="1342" t="s">
        <v>1469</v>
      </c>
      <c r="B312" s="1336" t="s">
        <v>1342</v>
      </c>
      <c r="C312" s="1912">
        <v>0.15</v>
      </c>
      <c r="D312" s="1912">
        <v>0.15</v>
      </c>
      <c r="E312" s="1912">
        <v>0.15</v>
      </c>
      <c r="F312" s="1913">
        <v>0.1</v>
      </c>
    </row>
    <row r="313" spans="1:6" ht="14.25" thickBot="1">
      <c r="A313" s="1342" t="s">
        <v>1469</v>
      </c>
      <c r="B313" s="1336" t="s">
        <v>2145</v>
      </c>
      <c r="C313" s="1912">
        <v>0.15</v>
      </c>
      <c r="D313" s="1912">
        <v>0.15</v>
      </c>
      <c r="E313" s="1912">
        <v>0.15</v>
      </c>
      <c r="F313" s="1913">
        <v>0.15</v>
      </c>
    </row>
    <row r="314" spans="1:6" ht="24.75" thickBot="1">
      <c r="A314" s="1342" t="s">
        <v>1469</v>
      </c>
      <c r="B314" s="1336" t="s">
        <v>2146</v>
      </c>
      <c r="C314" s="1918"/>
      <c r="D314" s="1918"/>
      <c r="E314" s="1918"/>
      <c r="F314" s="1913">
        <v>0.05</v>
      </c>
    </row>
    <row r="315" spans="1:6" ht="24.75" thickBot="1">
      <c r="A315" s="1342" t="s">
        <v>1469</v>
      </c>
      <c r="B315" s="1336" t="s">
        <v>2147</v>
      </c>
      <c r="C315" s="1918"/>
      <c r="D315" s="1918"/>
      <c r="E315" s="1918"/>
      <c r="F315" s="1913">
        <v>0.05</v>
      </c>
    </row>
    <row r="316" spans="1:6" ht="24.75" thickBot="1">
      <c r="A316" s="1359" t="s">
        <v>1469</v>
      </c>
      <c r="B316" s="1352" t="s">
        <v>2148</v>
      </c>
      <c r="C316" s="1915"/>
      <c r="D316" s="1915"/>
      <c r="E316" s="1915"/>
      <c r="F316" s="1919">
        <v>0.05</v>
      </c>
    </row>
    <row r="317" spans="1:6" ht="14.25" thickBot="1">
      <c r="A317" s="1342" t="s">
        <v>2149</v>
      </c>
      <c r="B317" s="1343" t="s">
        <v>2150</v>
      </c>
      <c r="C317" s="1910">
        <v>0.15</v>
      </c>
      <c r="D317" s="1910">
        <v>0.15</v>
      </c>
      <c r="E317" s="1910">
        <v>0.15</v>
      </c>
      <c r="F317" s="1911">
        <v>0.15</v>
      </c>
    </row>
    <row r="318" spans="1:6" ht="14.25" thickBot="1">
      <c r="A318" s="1342" t="s">
        <v>2149</v>
      </c>
      <c r="B318" s="1336" t="s">
        <v>2151</v>
      </c>
      <c r="C318" s="1912">
        <v>0.107</v>
      </c>
      <c r="D318" s="1912">
        <v>0.11</v>
      </c>
      <c r="E318" s="1912">
        <v>0.112</v>
      </c>
      <c r="F318" s="1917"/>
    </row>
    <row r="319" spans="1:6" ht="14.25" thickBot="1">
      <c r="A319" s="1342" t="s">
        <v>2149</v>
      </c>
      <c r="B319" s="1336" t="s">
        <v>2152</v>
      </c>
      <c r="C319" s="1912">
        <v>0.15</v>
      </c>
      <c r="D319" s="1912">
        <v>0.15</v>
      </c>
      <c r="E319" s="1912">
        <v>0.15</v>
      </c>
      <c r="F319" s="1913">
        <v>0.15</v>
      </c>
    </row>
    <row r="320" spans="1:6" ht="14.25" thickBot="1">
      <c r="A320" s="1342" t="s">
        <v>2149</v>
      </c>
      <c r="B320" s="1336" t="s">
        <v>1150</v>
      </c>
      <c r="C320" s="1912">
        <v>0.15</v>
      </c>
      <c r="D320" s="1912">
        <v>0.15</v>
      </c>
      <c r="E320" s="1912">
        <v>0.15</v>
      </c>
      <c r="F320" s="1917"/>
    </row>
    <row r="321" spans="1:6" ht="14.25" thickBot="1">
      <c r="A321" s="1342" t="s">
        <v>2149</v>
      </c>
      <c r="B321" s="1336" t="s">
        <v>2153</v>
      </c>
      <c r="C321" s="1912">
        <v>0.15</v>
      </c>
      <c r="D321" s="1912">
        <v>0.15</v>
      </c>
      <c r="E321" s="1912">
        <v>0.15</v>
      </c>
      <c r="F321" s="1917"/>
    </row>
    <row r="322" spans="1:6" ht="14.25" thickBot="1">
      <c r="A322" s="1342" t="s">
        <v>2149</v>
      </c>
      <c r="B322" s="1336" t="s">
        <v>2154</v>
      </c>
      <c r="C322" s="1912">
        <v>0.15</v>
      </c>
      <c r="D322" s="1912">
        <v>0.15</v>
      </c>
      <c r="E322" s="1912">
        <v>0.15</v>
      </c>
      <c r="F322" s="1913">
        <v>0.15</v>
      </c>
    </row>
    <row r="323" spans="1:6" ht="14.25" thickBot="1">
      <c r="A323" s="1342" t="s">
        <v>2149</v>
      </c>
      <c r="B323" s="1336" t="s">
        <v>2155</v>
      </c>
      <c r="C323" s="1912">
        <v>0.15</v>
      </c>
      <c r="D323" s="1912">
        <v>0.15</v>
      </c>
      <c r="E323" s="1912">
        <v>0.15</v>
      </c>
      <c r="F323" s="1917"/>
    </row>
    <row r="324" spans="1:6" ht="14.25" thickBot="1">
      <c r="A324" s="1342" t="s">
        <v>2149</v>
      </c>
      <c r="B324" s="1336" t="s">
        <v>2156</v>
      </c>
      <c r="C324" s="1912">
        <v>0.15</v>
      </c>
      <c r="D324" s="1912">
        <v>0.15</v>
      </c>
      <c r="E324" s="1912">
        <v>0.15</v>
      </c>
      <c r="F324" s="1917"/>
    </row>
    <row r="325" spans="1:6" ht="14.25" thickBot="1">
      <c r="A325" s="1342" t="s">
        <v>2149</v>
      </c>
      <c r="B325" s="1336" t="s">
        <v>2157</v>
      </c>
      <c r="C325" s="1912">
        <v>0.15</v>
      </c>
      <c r="D325" s="1912">
        <v>0.15</v>
      </c>
      <c r="E325" s="1912">
        <v>0.15</v>
      </c>
      <c r="F325" s="1913">
        <v>0.14699999999999999</v>
      </c>
    </row>
    <row r="326" spans="1:6" ht="14.25" thickBot="1">
      <c r="A326" s="1342" t="s">
        <v>2149</v>
      </c>
      <c r="B326" s="1336" t="s">
        <v>1222</v>
      </c>
      <c r="C326" s="1912">
        <v>0.15</v>
      </c>
      <c r="D326" s="1912">
        <v>0.15</v>
      </c>
      <c r="E326" s="1912">
        <v>0.15</v>
      </c>
      <c r="F326" s="1917"/>
    </row>
    <row r="327" spans="1:6" ht="14.25" thickBot="1">
      <c r="A327" s="1342" t="s">
        <v>2149</v>
      </c>
      <c r="B327" s="1336" t="s">
        <v>2158</v>
      </c>
      <c r="C327" s="1912">
        <v>0.15</v>
      </c>
      <c r="D327" s="1912">
        <v>0.15</v>
      </c>
      <c r="E327" s="1912">
        <v>0.15</v>
      </c>
      <c r="F327" s="1913">
        <v>0.15</v>
      </c>
    </row>
    <row r="328" spans="1:6" ht="14.25" thickBot="1">
      <c r="A328" s="1342" t="s">
        <v>2149</v>
      </c>
      <c r="B328" s="1336" t="s">
        <v>1244</v>
      </c>
      <c r="C328" s="1912">
        <v>0.15</v>
      </c>
      <c r="D328" s="1912">
        <v>0.15</v>
      </c>
      <c r="E328" s="1912">
        <v>0.15</v>
      </c>
      <c r="F328" s="1913">
        <v>0.14099999999999999</v>
      </c>
    </row>
    <row r="329" spans="1:6" ht="14.25" thickBot="1">
      <c r="A329" s="1342" t="s">
        <v>2149</v>
      </c>
      <c r="B329" s="1336" t="s">
        <v>1255</v>
      </c>
      <c r="C329" s="1912">
        <v>0.15</v>
      </c>
      <c r="D329" s="1912">
        <v>0.15</v>
      </c>
      <c r="E329" s="1912">
        <v>0.15</v>
      </c>
      <c r="F329" s="1913">
        <v>0.15</v>
      </c>
    </row>
    <row r="330" spans="1:6" ht="14.25" thickBot="1">
      <c r="A330" s="1342" t="s">
        <v>2149</v>
      </c>
      <c r="B330" s="1336" t="s">
        <v>1266</v>
      </c>
      <c r="C330" s="1912">
        <v>0.15</v>
      </c>
      <c r="D330" s="1912">
        <v>0.15</v>
      </c>
      <c r="E330" s="1912">
        <v>0.15</v>
      </c>
      <c r="F330" s="1917"/>
    </row>
    <row r="331" spans="1:6" ht="14.25" thickBot="1">
      <c r="A331" s="1342" t="s">
        <v>2149</v>
      </c>
      <c r="B331" s="1336" t="s">
        <v>2159</v>
      </c>
      <c r="C331" s="1912">
        <v>0.15</v>
      </c>
      <c r="D331" s="1912">
        <v>0.15</v>
      </c>
      <c r="E331" s="1912">
        <v>0.15</v>
      </c>
      <c r="F331" s="1913">
        <v>0.15</v>
      </c>
    </row>
    <row r="332" spans="1:6" ht="14.25" thickBot="1">
      <c r="A332" s="1342" t="s">
        <v>2149</v>
      </c>
      <c r="B332" s="1336" t="s">
        <v>1287</v>
      </c>
      <c r="C332" s="1912">
        <v>0.15</v>
      </c>
      <c r="D332" s="1912">
        <v>0.15</v>
      </c>
      <c r="E332" s="1912">
        <v>0.15</v>
      </c>
      <c r="F332" s="1913">
        <v>0.15</v>
      </c>
    </row>
    <row r="333" spans="1:6" ht="14.25" thickBot="1">
      <c r="A333" s="1342" t="s">
        <v>2149</v>
      </c>
      <c r="B333" s="1336" t="s">
        <v>2160</v>
      </c>
      <c r="C333" s="1912">
        <v>0.15</v>
      </c>
      <c r="D333" s="1912">
        <v>0.15</v>
      </c>
      <c r="E333" s="1912">
        <v>0.15</v>
      </c>
      <c r="F333" s="1913">
        <v>0.14099999999999999</v>
      </c>
    </row>
    <row r="334" spans="1:6" ht="14.25" thickBot="1">
      <c r="A334" s="1342" t="s">
        <v>2149</v>
      </c>
      <c r="B334" s="1336" t="s">
        <v>1307</v>
      </c>
      <c r="C334" s="1912">
        <v>0.15</v>
      </c>
      <c r="D334" s="1912">
        <v>0.15</v>
      </c>
      <c r="E334" s="1912">
        <v>0.15</v>
      </c>
      <c r="F334" s="1913">
        <v>0.15</v>
      </c>
    </row>
    <row r="335" spans="1:6" ht="14.25" thickBot="1">
      <c r="A335" s="1342" t="s">
        <v>2149</v>
      </c>
      <c r="B335" s="1336" t="s">
        <v>1317</v>
      </c>
      <c r="C335" s="1912">
        <v>0.15</v>
      </c>
      <c r="D335" s="1912">
        <v>0.15</v>
      </c>
      <c r="E335" s="1912">
        <v>0.15</v>
      </c>
      <c r="F335" s="1917"/>
    </row>
    <row r="336" spans="1:6" ht="14.25" thickBot="1">
      <c r="A336" s="1342" t="s">
        <v>2149</v>
      </c>
      <c r="B336" s="1336" t="s">
        <v>2161</v>
      </c>
      <c r="C336" s="1912">
        <v>0.15</v>
      </c>
      <c r="D336" s="1912">
        <v>0.15</v>
      </c>
      <c r="E336" s="1912">
        <v>0.15</v>
      </c>
      <c r="F336" s="1913">
        <v>0.11799999999999999</v>
      </c>
    </row>
    <row r="337" spans="1:6" ht="14.25" thickBot="1">
      <c r="A337" s="1359" t="s">
        <v>2149</v>
      </c>
      <c r="B337" s="1352" t="s">
        <v>1335</v>
      </c>
      <c r="C337" s="1915"/>
      <c r="D337" s="1915"/>
      <c r="E337" s="1915"/>
      <c r="F337" s="1919">
        <v>0.14299999999999999</v>
      </c>
    </row>
    <row r="338" spans="1:6" ht="14.25" thickBot="1">
      <c r="A338" s="1342" t="s">
        <v>2162</v>
      </c>
      <c r="B338" s="1343" t="s">
        <v>2163</v>
      </c>
      <c r="C338" s="1910">
        <v>0.15</v>
      </c>
      <c r="D338" s="1910">
        <v>0.15</v>
      </c>
      <c r="E338" s="1910">
        <v>0.15</v>
      </c>
      <c r="F338" s="1927"/>
    </row>
    <row r="339" spans="1:6" ht="14.25" thickBot="1">
      <c r="A339" s="1342" t="s">
        <v>2162</v>
      </c>
      <c r="B339" s="1336" t="s">
        <v>2164</v>
      </c>
      <c r="C339" s="1912">
        <v>0.15</v>
      </c>
      <c r="D339" s="1912">
        <v>0.15</v>
      </c>
      <c r="E339" s="1912">
        <v>0.15</v>
      </c>
      <c r="F339" s="1917"/>
    </row>
    <row r="340" spans="1:6" ht="14.25" thickBot="1">
      <c r="A340" s="1342" t="s">
        <v>2162</v>
      </c>
      <c r="B340" s="1336" t="s">
        <v>2165</v>
      </c>
      <c r="C340" s="1912">
        <v>0.15</v>
      </c>
      <c r="D340" s="1912">
        <v>0.15</v>
      </c>
      <c r="E340" s="1912">
        <v>0.15</v>
      </c>
      <c r="F340" s="1917"/>
    </row>
    <row r="341" spans="1:6" ht="14.25" thickBot="1">
      <c r="A341" s="1342" t="s">
        <v>2162</v>
      </c>
      <c r="B341" s="1336" t="s">
        <v>2166</v>
      </c>
      <c r="C341" s="1912">
        <v>0.15</v>
      </c>
      <c r="D341" s="1912">
        <v>0.15</v>
      </c>
      <c r="E341" s="1912">
        <v>0.15</v>
      </c>
      <c r="F341" s="1913">
        <v>0.15</v>
      </c>
    </row>
    <row r="342" spans="1:6" ht="14.25" thickBot="1">
      <c r="A342" s="1342" t="s">
        <v>2162</v>
      </c>
      <c r="B342" s="1336" t="s">
        <v>2167</v>
      </c>
      <c r="C342" s="1912">
        <v>0.15</v>
      </c>
      <c r="D342" s="1912">
        <v>0.15</v>
      </c>
      <c r="E342" s="1912">
        <v>0.15</v>
      </c>
      <c r="F342" s="1913">
        <v>0.15</v>
      </c>
    </row>
    <row r="343" spans="1:6" ht="14.25" thickBot="1">
      <c r="A343" s="1342" t="s">
        <v>2162</v>
      </c>
      <c r="B343" s="1336" t="s">
        <v>2168</v>
      </c>
      <c r="C343" s="1912">
        <v>0.15</v>
      </c>
      <c r="D343" s="1912">
        <v>0.15</v>
      </c>
      <c r="E343" s="1912">
        <v>0.15</v>
      </c>
      <c r="F343" s="1913">
        <v>0.15</v>
      </c>
    </row>
    <row r="344" spans="1:6" ht="14.25" thickBot="1">
      <c r="A344" s="1359" t="s">
        <v>2162</v>
      </c>
      <c r="B344" s="1352" t="s">
        <v>2169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1686</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1110</v>
      </c>
      <c r="B2" s="1301">
        <f>1+F4</f>
        <v>1.0128999999999999</v>
      </c>
      <c r="C2" s="1302"/>
      <c r="D2" s="1303"/>
      <c r="E2" s="1303"/>
      <c r="F2" s="1304"/>
      <c r="G2" s="2252"/>
      <c r="H2" s="2248"/>
      <c r="I2" s="2249"/>
      <c r="J2" s="2249"/>
      <c r="K2" s="2249"/>
      <c r="L2" s="2249"/>
      <c r="M2" s="2249"/>
    </row>
    <row r="3" spans="1:20" ht="13.5">
      <c r="A3" s="1306" t="s">
        <v>1687</v>
      </c>
      <c r="B3" s="1307" t="s">
        <v>1688</v>
      </c>
      <c r="C3" s="1308" t="s">
        <v>1689</v>
      </c>
      <c r="D3" s="1309" t="s">
        <v>1772</v>
      </c>
      <c r="E3" s="1309" t="s">
        <v>1773</v>
      </c>
      <c r="F3" s="1310" t="s">
        <v>1774</v>
      </c>
      <c r="G3" s="1311" t="s">
        <v>2170</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1692</v>
      </c>
      <c r="B5" s="1317" t="str">
        <f>估价对象房地状况!C6</f>
        <v>估价对象周边道路密集、公共交通通达情况好、停车便捷程度好，综合评价交通便捷度好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1693</v>
      </c>
      <c r="B6" s="1307" t="str">
        <f>估价对象房地状况!C19</f>
        <v>好</v>
      </c>
      <c r="C6" s="1293" t="s">
        <v>1691</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城市支路</v>
      </c>
      <c r="C8" s="1293" t="s">
        <v>1691</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1697</v>
      </c>
      <c r="B10" s="2072" t="str">
        <f>估价对象房地状况!C7</f>
        <v>估价对象所在区域公共配套设施齐备</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1698</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区域自然环境：玉渊潭公园、中塔公园；人文环境：北京工商大学、首都师范大学；综合评价环境状况好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4"/>
      <c r="D13" s="1303"/>
      <c r="E13" s="1303"/>
      <c r="F13" s="1304"/>
      <c r="G13" s="2252"/>
      <c r="H13" s="2248"/>
      <c r="I13" s="1299"/>
      <c r="J13" s="1299"/>
      <c r="K13" s="1299"/>
      <c r="L13" s="1299"/>
      <c r="M13" s="1299"/>
    </row>
    <row r="14" spans="1:20" ht="18" customHeight="1">
      <c r="A14" s="1306" t="s">
        <v>1687</v>
      </c>
      <c r="B14" s="1307"/>
      <c r="C14" s="1308" t="s">
        <v>1689</v>
      </c>
      <c r="D14" s="1309" t="s">
        <v>1769</v>
      </c>
      <c r="E14" s="1309" t="s">
        <v>1770</v>
      </c>
      <c r="F14" s="1310" t="s">
        <v>1771</v>
      </c>
      <c r="G14" s="1311" t="s">
        <v>2170</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1692</v>
      </c>
      <c r="B16" s="1307" t="str">
        <f>估价对象房地状况!C6</f>
        <v>估价对象周边道路密集、公共交通通达情况好、停车便捷程度好，综合评价交通便捷度好</v>
      </c>
      <c r="C16" s="1293" t="s">
        <v>1691</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t="str">
        <f>估价对象房地状况!C19</f>
        <v>好</v>
      </c>
      <c r="C17" s="1293" t="s">
        <v>1691</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城市支路</v>
      </c>
      <c r="C19" s="1293" t="s">
        <v>1691</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1697</v>
      </c>
      <c r="B21" s="2072" t="str">
        <f>估价对象房地状况!C7</f>
        <v>估价对象所在区域公共配套设施齐备</v>
      </c>
      <c r="C21" s="1293" t="s">
        <v>1691</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1698</v>
      </c>
      <c r="B22" s="2073"/>
      <c r="C22" s="1293" t="s">
        <v>1691</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区域自然环境：玉渊潭公园、中塔公园；人文环境：北京工商大学、首都师范大学；综合评价环境状况好</v>
      </c>
      <c r="C23" s="1293" t="s">
        <v>1691</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4"/>
      <c r="D24" s="1303"/>
      <c r="E24" s="1303"/>
      <c r="F24" s="1304"/>
      <c r="G24" s="2252"/>
      <c r="H24" s="2248"/>
      <c r="I24" s="1299"/>
      <c r="J24" s="1299"/>
      <c r="K24" s="1299"/>
      <c r="L24" s="1299"/>
      <c r="M24" s="1299"/>
    </row>
    <row r="25" spans="1:20" ht="13.5">
      <c r="A25" s="1306" t="s">
        <v>1687</v>
      </c>
      <c r="B25" s="1307"/>
      <c r="C25" s="1308" t="s">
        <v>1689</v>
      </c>
      <c r="D25" s="1309" t="s">
        <v>1769</v>
      </c>
      <c r="E25" s="1309" t="s">
        <v>1770</v>
      </c>
      <c r="F25" s="1310" t="s">
        <v>1771</v>
      </c>
      <c r="G25" s="1311" t="s">
        <v>2170</v>
      </c>
      <c r="H25" s="1309" t="s">
        <v>1767</v>
      </c>
      <c r="I25" s="805" t="s">
        <v>439</v>
      </c>
      <c r="J25" s="805" t="s">
        <v>440</v>
      </c>
      <c r="K25" s="805" t="s">
        <v>441</v>
      </c>
      <c r="L25" s="805" t="s">
        <v>442</v>
      </c>
      <c r="M25" s="805" t="s">
        <v>443</v>
      </c>
    </row>
    <row r="26" spans="1:20" ht="24">
      <c r="A26" s="1306" t="s">
        <v>1701</v>
      </c>
      <c r="B26" s="1312" t="str">
        <f>估价对象房地状况!C3</f>
        <v>估价对象周边居住用地比例大、居住小区规模和社区发展完善程度好，综合评价居住社区成熟度好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1692</v>
      </c>
      <c r="B27" s="1307" t="str">
        <f>估价对象房地状况!C6</f>
        <v>估价对象周边道路密集、公共交通通达情况好、停车便捷程度好，综合评价交通便捷度好</v>
      </c>
      <c r="C27" s="1293" t="s">
        <v>1691</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t="str">
        <f>估价对象房地状况!C19</f>
        <v>好</v>
      </c>
      <c r="C28" s="1293" t="s">
        <v>1691</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城市支路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1697</v>
      </c>
      <c r="B30" s="2072" t="str">
        <f>估价对象房地状况!C7</f>
        <v>估价对象所在区域公共配套设施齐备</v>
      </c>
      <c r="C30" s="1293" t="s">
        <v>1691</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1698</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区域自然环境：玉渊潭公园、中塔公园；人文环境：北京工商大学、首都师范大学；综合评价环境状况好</v>
      </c>
      <c r="C33" s="1293" t="s">
        <v>1691</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4"/>
      <c r="D35" s="1303"/>
      <c r="E35" s="1303"/>
      <c r="F35" s="1304"/>
      <c r="G35" s="2252"/>
      <c r="H35" s="2248"/>
      <c r="I35" s="1299"/>
      <c r="J35" s="1299"/>
      <c r="K35" s="1299"/>
      <c r="L35" s="1299"/>
      <c r="M35" s="1299"/>
    </row>
    <row r="36" spans="1:13" ht="13.5">
      <c r="A36" s="1306" t="s">
        <v>1687</v>
      </c>
      <c r="B36" s="1307"/>
      <c r="C36" s="1308" t="s">
        <v>1689</v>
      </c>
      <c r="D36" s="1309" t="s">
        <v>1769</v>
      </c>
      <c r="E36" s="1309" t="s">
        <v>1770</v>
      </c>
      <c r="F36" s="1310" t="s">
        <v>1771</v>
      </c>
      <c r="G36" s="1311" t="s">
        <v>2171</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1697</v>
      </c>
      <c r="B41" s="2072" t="str">
        <f>估价对象房地状况!G19</f>
        <v>估价对象所在区域公共配套设施齐备情况</v>
      </c>
      <c r="C41" s="1293" t="s">
        <v>1691</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1698</v>
      </c>
      <c r="B42" s="2073"/>
      <c r="C42" s="1293" t="s">
        <v>1691</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10" t="s">
        <v>1083</v>
      </c>
      <c r="B1" s="3610"/>
      <c r="C1" s="3610"/>
      <c r="D1" s="3610"/>
      <c r="E1" s="3610"/>
      <c r="F1" s="3610"/>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611" t="s">
        <v>1096</v>
      </c>
      <c r="B2" s="3611"/>
      <c r="C2" s="3611"/>
      <c r="D2" s="3611"/>
      <c r="E2" s="3611"/>
      <c r="F2" s="3611"/>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612"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613"/>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2413</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2412</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92" t="s">
        <v>1110</v>
      </c>
      <c r="B18" s="1393" t="s">
        <v>1495</v>
      </c>
      <c r="C18" s="1394" t="s">
        <v>1496</v>
      </c>
      <c r="D18" s="1395"/>
      <c r="E18" s="1393">
        <v>1</v>
      </c>
      <c r="F18" s="1396" t="s">
        <v>1497</v>
      </c>
      <c r="G18" s="1397"/>
      <c r="H18" s="1389"/>
      <c r="I18" s="1389"/>
    </row>
    <row r="19" spans="1:9" s="1398" customFormat="1" ht="19.5" customHeight="1">
      <c r="A19" s="3592"/>
      <c r="B19" s="3592" t="s">
        <v>1498</v>
      </c>
      <c r="C19" s="1394" t="s">
        <v>1499</v>
      </c>
      <c r="D19" s="1395"/>
      <c r="E19" s="1393">
        <v>0.9</v>
      </c>
      <c r="F19" s="1396" t="s">
        <v>1500</v>
      </c>
      <c r="G19" s="1397"/>
      <c r="H19" s="1389"/>
      <c r="I19" s="1389"/>
    </row>
    <row r="20" spans="1:9" s="1398" customFormat="1" ht="19.5" customHeight="1">
      <c r="A20" s="3592"/>
      <c r="B20" s="3592"/>
      <c r="C20" s="1394" t="s">
        <v>1501</v>
      </c>
      <c r="D20" s="1395"/>
      <c r="E20" s="1393">
        <v>1.1000000000000001</v>
      </c>
      <c r="F20" s="1396" t="s">
        <v>1502</v>
      </c>
      <c r="G20" s="1397"/>
      <c r="H20" s="1389"/>
      <c r="I20" s="1389"/>
    </row>
    <row r="21" spans="1:9" s="1398" customFormat="1" ht="19.5" customHeight="1">
      <c r="A21" s="3592"/>
      <c r="B21" s="3592"/>
      <c r="C21" s="1394" t="s">
        <v>1503</v>
      </c>
      <c r="D21" s="1395"/>
      <c r="E21" s="1393">
        <v>0.8</v>
      </c>
      <c r="F21" s="1396" t="s">
        <v>1504</v>
      </c>
      <c r="G21" s="1397"/>
      <c r="H21" s="1389"/>
      <c r="I21" s="1389"/>
    </row>
    <row r="22" spans="1:9" s="1398" customFormat="1" ht="19.5" customHeight="1">
      <c r="A22" s="3592"/>
      <c r="B22" s="3592"/>
      <c r="C22" s="1394" t="s">
        <v>1505</v>
      </c>
      <c r="D22" s="1395"/>
      <c r="E22" s="1393">
        <v>0.5</v>
      </c>
      <c r="F22" s="1396"/>
      <c r="G22" s="1397"/>
      <c r="H22" s="1389"/>
      <c r="I22" s="1389"/>
    </row>
    <row r="23" spans="1:9" s="1398" customFormat="1" ht="19.5" customHeight="1">
      <c r="A23" s="3592" t="s">
        <v>1111</v>
      </c>
      <c r="B23" s="1393" t="s">
        <v>1495</v>
      </c>
      <c r="C23" s="1394" t="s">
        <v>1506</v>
      </c>
      <c r="D23" s="1395"/>
      <c r="E23" s="1393">
        <v>1</v>
      </c>
      <c r="F23" s="1396" t="s">
        <v>1507</v>
      </c>
      <c r="G23" s="1397"/>
      <c r="H23" s="1389"/>
      <c r="I23" s="1389"/>
    </row>
    <row r="24" spans="1:9" s="1398" customFormat="1" ht="19.5" customHeight="1">
      <c r="A24" s="3592"/>
      <c r="B24" s="3592" t="s">
        <v>1498</v>
      </c>
      <c r="C24" s="1394" t="s">
        <v>1508</v>
      </c>
      <c r="D24" s="1395"/>
      <c r="E24" s="1393">
        <v>0.5</v>
      </c>
      <c r="F24" s="1396"/>
      <c r="G24" s="1397"/>
      <c r="H24" s="1389"/>
      <c r="I24" s="1389"/>
    </row>
    <row r="25" spans="1:9" s="1398" customFormat="1" ht="19.5" customHeight="1">
      <c r="A25" s="3592"/>
      <c r="B25" s="3592"/>
      <c r="C25" s="1394" t="s">
        <v>1509</v>
      </c>
      <c r="D25" s="1395"/>
      <c r="E25" s="1393">
        <v>1.1000000000000001</v>
      </c>
      <c r="F25" s="1396"/>
      <c r="G25" s="1397"/>
      <c r="H25" s="1389"/>
      <c r="I25" s="1389"/>
    </row>
    <row r="26" spans="1:9" s="1398" customFormat="1" ht="19.5" customHeight="1">
      <c r="A26" s="3592"/>
      <c r="B26" s="3592"/>
      <c r="C26" s="1394" t="s">
        <v>1510</v>
      </c>
      <c r="D26" s="1395"/>
      <c r="E26" s="1393">
        <v>1.1000000000000001</v>
      </c>
      <c r="F26" s="1396"/>
      <c r="G26" s="1397"/>
      <c r="H26" s="1389"/>
      <c r="I26" s="1389"/>
    </row>
    <row r="27" spans="1:9" s="1398" customFormat="1" ht="19.5" customHeight="1">
      <c r="A27" s="3592"/>
      <c r="B27" s="3592"/>
      <c r="C27" s="1394" t="s">
        <v>1511</v>
      </c>
      <c r="D27" s="1395"/>
      <c r="E27" s="1393">
        <v>0.9</v>
      </c>
      <c r="F27" s="1396" t="s">
        <v>1512</v>
      </c>
      <c r="G27" s="1397"/>
      <c r="H27" s="1389"/>
      <c r="I27" s="1389"/>
    </row>
    <row r="28" spans="1:9" s="1398" customFormat="1" ht="19.5" customHeight="1">
      <c r="A28" s="3592"/>
      <c r="B28" s="3592"/>
      <c r="C28" s="1394" t="s">
        <v>1513</v>
      </c>
      <c r="D28" s="1395"/>
      <c r="E28" s="1393">
        <v>0.9</v>
      </c>
      <c r="F28" s="1396" t="s">
        <v>1514</v>
      </c>
      <c r="G28" s="1397"/>
      <c r="H28" s="1389"/>
      <c r="I28" s="1389"/>
    </row>
    <row r="29" spans="1:9" s="1398" customFormat="1" ht="19.5" customHeight="1">
      <c r="A29" s="3592"/>
      <c r="B29" s="3592"/>
      <c r="C29" s="1394" t="s">
        <v>1515</v>
      </c>
      <c r="D29" s="1395"/>
      <c r="E29" s="1393">
        <v>0.9</v>
      </c>
      <c r="F29" s="1396" t="s">
        <v>1516</v>
      </c>
      <c r="G29" s="1397"/>
      <c r="H29" s="1389"/>
      <c r="I29" s="1389"/>
    </row>
    <row r="30" spans="1:9" s="1398" customFormat="1" ht="19.5" customHeight="1">
      <c r="A30" s="3592"/>
      <c r="B30" s="3592"/>
      <c r="C30" s="1394" t="s">
        <v>1517</v>
      </c>
      <c r="D30" s="1395"/>
      <c r="E30" s="1393">
        <v>0.9</v>
      </c>
      <c r="F30" s="1396" t="s">
        <v>1518</v>
      </c>
      <c r="G30" s="1397"/>
      <c r="H30" s="1389"/>
      <c r="I30" s="1389"/>
    </row>
    <row r="31" spans="1:9" s="1398" customFormat="1" ht="19.5" customHeight="1">
      <c r="A31" s="3592"/>
      <c r="B31" s="3592"/>
      <c r="C31" s="1394" t="s">
        <v>1519</v>
      </c>
      <c r="D31" s="1395"/>
      <c r="E31" s="1393">
        <v>0.8</v>
      </c>
      <c r="F31" s="1396" t="s">
        <v>1520</v>
      </c>
      <c r="G31" s="1397"/>
      <c r="H31" s="1389"/>
      <c r="I31" s="1389"/>
    </row>
    <row r="32" spans="1:9" s="1398" customFormat="1" ht="19.5" customHeight="1">
      <c r="A32" s="3592"/>
      <c r="B32" s="3592"/>
      <c r="C32" s="1394" t="s">
        <v>1521</v>
      </c>
      <c r="D32" s="1395"/>
      <c r="E32" s="1393">
        <v>0.8</v>
      </c>
      <c r="F32" s="1396" t="s">
        <v>1522</v>
      </c>
      <c r="G32" s="1397"/>
      <c r="H32" s="1389"/>
      <c r="I32" s="1389"/>
    </row>
    <row r="33" spans="1:9" s="1398" customFormat="1" ht="19.5" customHeight="1">
      <c r="A33" s="3592" t="s">
        <v>1112</v>
      </c>
      <c r="B33" s="1393" t="s">
        <v>1495</v>
      </c>
      <c r="C33" s="1394" t="s">
        <v>1523</v>
      </c>
      <c r="D33" s="1395"/>
      <c r="E33" s="1393">
        <v>1</v>
      </c>
      <c r="F33" s="1396" t="s">
        <v>1524</v>
      </c>
      <c r="G33" s="1397"/>
      <c r="H33" s="1389"/>
      <c r="I33" s="1389"/>
    </row>
    <row r="34" spans="1:9" s="1398" customFormat="1" ht="19.5" customHeight="1">
      <c r="A34" s="3592"/>
      <c r="B34" s="1393" t="s">
        <v>1498</v>
      </c>
      <c r="C34" s="1394" t="s">
        <v>1525</v>
      </c>
      <c r="D34" s="1395"/>
      <c r="E34" s="1393">
        <v>1.5</v>
      </c>
      <c r="F34" s="1396" t="s">
        <v>1526</v>
      </c>
      <c r="G34" s="1397"/>
      <c r="H34" s="1389"/>
      <c r="I34" s="1389"/>
    </row>
    <row r="35" spans="1:9" s="1398" customFormat="1" ht="19.5" customHeight="1">
      <c r="A35" s="3592" t="s">
        <v>1113</v>
      </c>
      <c r="B35" s="1393" t="s">
        <v>1495</v>
      </c>
      <c r="C35" s="1394" t="s">
        <v>1527</v>
      </c>
      <c r="D35" s="1395"/>
      <c r="E35" s="1393">
        <v>1</v>
      </c>
      <c r="F35" s="1396" t="s">
        <v>1528</v>
      </c>
      <c r="G35" s="1397"/>
      <c r="H35" s="1389"/>
      <c r="I35" s="1389"/>
    </row>
    <row r="36" spans="1:9" s="1398" customFormat="1" ht="19.5" customHeight="1">
      <c r="A36" s="3592"/>
      <c r="B36" s="3592" t="s">
        <v>1498</v>
      </c>
      <c r="C36" s="1394" t="s">
        <v>1529</v>
      </c>
      <c r="D36" s="1395"/>
      <c r="E36" s="1393">
        <v>1</v>
      </c>
      <c r="F36" s="1396" t="s">
        <v>1530</v>
      </c>
      <c r="G36" s="1397"/>
      <c r="H36" s="1389"/>
      <c r="I36" s="1389"/>
    </row>
    <row r="37" spans="1:9" s="1398" customFormat="1" ht="19.5" customHeight="1">
      <c r="A37" s="3592"/>
      <c r="B37" s="3592"/>
      <c r="C37" s="1394" t="s">
        <v>1531</v>
      </c>
      <c r="D37" s="1395"/>
      <c r="E37" s="1393">
        <v>1.5</v>
      </c>
      <c r="F37" s="1396" t="s">
        <v>1532</v>
      </c>
      <c r="G37" s="1397"/>
      <c r="H37" s="1389"/>
      <c r="I37" s="1389"/>
    </row>
    <row r="38" spans="1:9" s="1398" customFormat="1" ht="19.5" customHeight="1">
      <c r="A38" s="3592"/>
      <c r="B38" s="3592"/>
      <c r="C38" s="1394" t="s">
        <v>1533</v>
      </c>
      <c r="D38" s="1395"/>
      <c r="E38" s="1393">
        <v>1</v>
      </c>
      <c r="F38" s="1396" t="s">
        <v>1534</v>
      </c>
      <c r="G38" s="1397"/>
      <c r="H38" s="1389"/>
      <c r="I38" s="1389"/>
    </row>
    <row r="39" spans="1:9" s="1398" customFormat="1" ht="19.5" customHeight="1">
      <c r="A39" s="3592"/>
      <c r="B39" s="3592"/>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92" t="s">
        <v>1549</v>
      </c>
      <c r="C61" s="1307" t="s">
        <v>1550</v>
      </c>
      <c r="D61" s="1307" t="s">
        <v>1551</v>
      </c>
      <c r="E61" s="1406">
        <v>0.5</v>
      </c>
      <c r="F61" s="1393">
        <v>80</v>
      </c>
    </row>
    <row r="62" spans="1:8" s="1389" customFormat="1" ht="24">
      <c r="A62" s="1393">
        <v>2</v>
      </c>
      <c r="B62" s="3592"/>
      <c r="C62" s="1307" t="s">
        <v>1552</v>
      </c>
      <c r="D62" s="1307" t="s">
        <v>1553</v>
      </c>
      <c r="E62" s="1406">
        <v>0.5</v>
      </c>
      <c r="F62" s="1393">
        <v>80</v>
      </c>
    </row>
    <row r="63" spans="1:8" s="1389" customFormat="1" ht="36">
      <c r="A63" s="1393">
        <v>3</v>
      </c>
      <c r="B63" s="3592"/>
      <c r="C63" s="1307" t="s">
        <v>1554</v>
      </c>
      <c r="D63" s="1307" t="s">
        <v>1555</v>
      </c>
      <c r="E63" s="1406">
        <v>0.5</v>
      </c>
      <c r="F63" s="1393">
        <v>80</v>
      </c>
    </row>
    <row r="64" spans="1:8" s="1389" customFormat="1" ht="36">
      <c r="A64" s="1393">
        <v>4</v>
      </c>
      <c r="B64" s="3592"/>
      <c r="C64" s="1307" t="s">
        <v>1556</v>
      </c>
      <c r="D64" s="1307" t="s">
        <v>1557</v>
      </c>
      <c r="E64" s="1406">
        <v>0.4</v>
      </c>
      <c r="F64" s="1393">
        <v>60</v>
      </c>
    </row>
    <row r="65" spans="1:6" s="1389" customFormat="1" ht="36">
      <c r="A65" s="1393">
        <v>5</v>
      </c>
      <c r="B65" s="3592"/>
      <c r="C65" s="1307" t="s">
        <v>1558</v>
      </c>
      <c r="D65" s="1307" t="s">
        <v>1559</v>
      </c>
      <c r="E65" s="1406">
        <v>0.2</v>
      </c>
      <c r="F65" s="1393">
        <v>30</v>
      </c>
    </row>
    <row r="66" spans="1:6" s="1389" customFormat="1" ht="36">
      <c r="A66" s="1393">
        <v>6</v>
      </c>
      <c r="B66" s="3592"/>
      <c r="C66" s="1307" t="s">
        <v>1560</v>
      </c>
      <c r="D66" s="1307" t="s">
        <v>1561</v>
      </c>
      <c r="E66" s="1406">
        <v>0.3</v>
      </c>
      <c r="F66" s="1393">
        <v>50</v>
      </c>
    </row>
    <row r="67" spans="1:6" s="1389" customFormat="1" ht="36">
      <c r="A67" s="1393">
        <v>7</v>
      </c>
      <c r="B67" s="3592"/>
      <c r="C67" s="1307" t="s">
        <v>1562</v>
      </c>
      <c r="D67" s="1307" t="s">
        <v>1563</v>
      </c>
      <c r="E67" s="1406">
        <v>0.2</v>
      </c>
      <c r="F67" s="1393">
        <v>30</v>
      </c>
    </row>
    <row r="68" spans="1:6" s="1389" customFormat="1" ht="36">
      <c r="A68" s="1393">
        <v>8</v>
      </c>
      <c r="B68" s="3592"/>
      <c r="C68" s="1307" t="s">
        <v>1564</v>
      </c>
      <c r="D68" s="1307" t="s">
        <v>1565</v>
      </c>
      <c r="E68" s="1406">
        <v>0.2</v>
      </c>
      <c r="F68" s="1393">
        <v>30</v>
      </c>
    </row>
    <row r="69" spans="1:6" s="1389" customFormat="1" ht="36">
      <c r="A69" s="1393">
        <v>9</v>
      </c>
      <c r="B69" s="3592"/>
      <c r="C69" s="1307" t="s">
        <v>1566</v>
      </c>
      <c r="D69" s="1307" t="s">
        <v>1567</v>
      </c>
      <c r="E69" s="1406">
        <v>0.2</v>
      </c>
      <c r="F69" s="1393">
        <v>30</v>
      </c>
    </row>
    <row r="70" spans="1:6" s="1389" customFormat="1" ht="48">
      <c r="A70" s="1393">
        <v>10</v>
      </c>
      <c r="B70" s="3592"/>
      <c r="C70" s="1307" t="s">
        <v>1568</v>
      </c>
      <c r="D70" s="1307" t="s">
        <v>1569</v>
      </c>
      <c r="E70" s="1406">
        <v>0.2</v>
      </c>
      <c r="F70" s="1393">
        <v>30</v>
      </c>
    </row>
    <row r="71" spans="1:6" s="1389" customFormat="1" ht="48">
      <c r="A71" s="1393">
        <v>11</v>
      </c>
      <c r="B71" s="3592"/>
      <c r="C71" s="1307" t="s">
        <v>1570</v>
      </c>
      <c r="D71" s="1307" t="s">
        <v>1571</v>
      </c>
      <c r="E71" s="1406">
        <v>0.2</v>
      </c>
      <c r="F71" s="1393">
        <v>30</v>
      </c>
    </row>
    <row r="72" spans="1:6" s="1389" customFormat="1" ht="36">
      <c r="A72" s="1393">
        <v>12</v>
      </c>
      <c r="B72" s="3592"/>
      <c r="C72" s="1307" t="s">
        <v>1572</v>
      </c>
      <c r="D72" s="1307" t="s">
        <v>1573</v>
      </c>
      <c r="E72" s="1406">
        <v>0.5</v>
      </c>
      <c r="F72" s="1393">
        <v>80</v>
      </c>
    </row>
    <row r="73" spans="1:6" s="1389" customFormat="1" ht="24">
      <c r="A73" s="1393">
        <v>13</v>
      </c>
      <c r="B73" s="3592"/>
      <c r="C73" s="1307" t="s">
        <v>1574</v>
      </c>
      <c r="D73" s="1307" t="s">
        <v>1575</v>
      </c>
      <c r="E73" s="1406">
        <v>0.4</v>
      </c>
      <c r="F73" s="1393">
        <v>60</v>
      </c>
    </row>
    <row r="74" spans="1:6" s="1389" customFormat="1" ht="24">
      <c r="A74" s="1393">
        <v>14</v>
      </c>
      <c r="B74" s="3592"/>
      <c r="C74" s="1307" t="s">
        <v>1576</v>
      </c>
      <c r="D74" s="1307" t="s">
        <v>1577</v>
      </c>
      <c r="E74" s="1406">
        <v>0.2</v>
      </c>
      <c r="F74" s="1393">
        <v>30</v>
      </c>
    </row>
    <row r="75" spans="1:6" s="1389" customFormat="1" ht="24">
      <c r="A75" s="1393">
        <v>15</v>
      </c>
      <c r="B75" s="3592"/>
      <c r="C75" s="1307" t="s">
        <v>1578</v>
      </c>
      <c r="D75" s="1307" t="s">
        <v>1579</v>
      </c>
      <c r="E75" s="1406">
        <v>0.2</v>
      </c>
      <c r="F75" s="1393">
        <v>30</v>
      </c>
    </row>
    <row r="76" spans="1:6" s="1389" customFormat="1" ht="24">
      <c r="A76" s="1393">
        <v>16</v>
      </c>
      <c r="B76" s="3592" t="s">
        <v>1580</v>
      </c>
      <c r="C76" s="1307" t="s">
        <v>1581</v>
      </c>
      <c r="D76" s="1307" t="s">
        <v>1582</v>
      </c>
      <c r="E76" s="1406">
        <v>0.5</v>
      </c>
      <c r="F76" s="1393">
        <v>80</v>
      </c>
    </row>
    <row r="77" spans="1:6" s="1389" customFormat="1" ht="24">
      <c r="A77" s="1393">
        <v>17</v>
      </c>
      <c r="B77" s="3592"/>
      <c r="C77" s="1307" t="s">
        <v>1583</v>
      </c>
      <c r="D77" s="1307" t="s">
        <v>1584</v>
      </c>
      <c r="E77" s="1406">
        <v>0.5</v>
      </c>
      <c r="F77" s="1393">
        <v>80</v>
      </c>
    </row>
    <row r="78" spans="1:6" s="1389" customFormat="1" ht="24">
      <c r="A78" s="1393">
        <v>18</v>
      </c>
      <c r="B78" s="3592"/>
      <c r="C78" s="1307" t="s">
        <v>1585</v>
      </c>
      <c r="D78" s="1307" t="s">
        <v>1586</v>
      </c>
      <c r="E78" s="1406">
        <v>0.2</v>
      </c>
      <c r="F78" s="1393">
        <v>30</v>
      </c>
    </row>
    <row r="79" spans="1:6" s="1389" customFormat="1" ht="24">
      <c r="A79" s="1393">
        <v>19</v>
      </c>
      <c r="B79" s="3592"/>
      <c r="C79" s="1307" t="s">
        <v>1587</v>
      </c>
      <c r="D79" s="1307" t="s">
        <v>1588</v>
      </c>
      <c r="E79" s="1406">
        <v>0.5</v>
      </c>
      <c r="F79" s="1393">
        <v>80</v>
      </c>
    </row>
    <row r="80" spans="1:6" s="1389" customFormat="1" ht="36">
      <c r="A80" s="1393">
        <v>20</v>
      </c>
      <c r="B80" s="3592"/>
      <c r="C80" s="1307" t="s">
        <v>1589</v>
      </c>
      <c r="D80" s="1307" t="s">
        <v>1590</v>
      </c>
      <c r="E80" s="1406">
        <v>0.2</v>
      </c>
      <c r="F80" s="1393">
        <v>30</v>
      </c>
    </row>
    <row r="81" spans="1:6" s="1389" customFormat="1" ht="36">
      <c r="A81" s="1393">
        <v>21</v>
      </c>
      <c r="B81" s="3592"/>
      <c r="C81" s="1307" t="s">
        <v>1591</v>
      </c>
      <c r="D81" s="1307" t="s">
        <v>1592</v>
      </c>
      <c r="E81" s="1406">
        <v>0.2</v>
      </c>
      <c r="F81" s="1393">
        <v>30</v>
      </c>
    </row>
    <row r="82" spans="1:6" s="1389" customFormat="1" ht="48">
      <c r="A82" s="1393">
        <v>22</v>
      </c>
      <c r="B82" s="3592"/>
      <c r="C82" s="1307" t="s">
        <v>1593</v>
      </c>
      <c r="D82" s="1307" t="s">
        <v>1594</v>
      </c>
      <c r="E82" s="1406">
        <v>0.2</v>
      </c>
      <c r="F82" s="1393">
        <v>30</v>
      </c>
    </row>
    <row r="83" spans="1:6" s="1389" customFormat="1" ht="48">
      <c r="A83" s="1393">
        <v>23</v>
      </c>
      <c r="B83" s="3592"/>
      <c r="C83" s="1307" t="s">
        <v>1595</v>
      </c>
      <c r="D83" s="1307" t="s">
        <v>1596</v>
      </c>
      <c r="E83" s="1406">
        <v>0.2</v>
      </c>
      <c r="F83" s="1393">
        <v>30</v>
      </c>
    </row>
    <row r="84" spans="1:6" s="1389" customFormat="1" ht="36">
      <c r="A84" s="1393">
        <v>24</v>
      </c>
      <c r="B84" s="3592"/>
      <c r="C84" s="1307" t="s">
        <v>1597</v>
      </c>
      <c r="D84" s="1307" t="s">
        <v>1598</v>
      </c>
      <c r="E84" s="1406">
        <v>0.2</v>
      </c>
      <c r="F84" s="1393">
        <v>30</v>
      </c>
    </row>
    <row r="85" spans="1:6" s="1389" customFormat="1" ht="36">
      <c r="A85" s="1393">
        <v>25</v>
      </c>
      <c r="B85" s="3592"/>
      <c r="C85" s="1307" t="s">
        <v>1599</v>
      </c>
      <c r="D85" s="1307" t="s">
        <v>1600</v>
      </c>
      <c r="E85" s="1406">
        <v>0.5</v>
      </c>
      <c r="F85" s="1393">
        <v>80</v>
      </c>
    </row>
    <row r="86" spans="1:6" s="1389" customFormat="1" ht="36">
      <c r="A86" s="1393">
        <v>26</v>
      </c>
      <c r="B86" s="3592"/>
      <c r="C86" s="1307" t="s">
        <v>1601</v>
      </c>
      <c r="D86" s="1307" t="s">
        <v>1602</v>
      </c>
      <c r="E86" s="1406">
        <v>0.2</v>
      </c>
      <c r="F86" s="1393">
        <v>30</v>
      </c>
    </row>
    <row r="87" spans="1:6" s="1389" customFormat="1" ht="36">
      <c r="A87" s="1393">
        <v>27</v>
      </c>
      <c r="B87" s="3592"/>
      <c r="C87" s="1307" t="s">
        <v>1603</v>
      </c>
      <c r="D87" s="1307" t="s">
        <v>1604</v>
      </c>
      <c r="E87" s="1406">
        <v>0.2</v>
      </c>
      <c r="F87" s="1393">
        <v>30</v>
      </c>
    </row>
    <row r="88" spans="1:6" s="1389" customFormat="1" ht="36">
      <c r="A88" s="1393">
        <v>28</v>
      </c>
      <c r="B88" s="3592"/>
      <c r="C88" s="1307" t="s">
        <v>1605</v>
      </c>
      <c r="D88" s="1307" t="s">
        <v>1606</v>
      </c>
      <c r="E88" s="1406">
        <v>0.2</v>
      </c>
      <c r="F88" s="1393">
        <v>30</v>
      </c>
    </row>
    <row r="89" spans="1:6" s="1389" customFormat="1" ht="24">
      <c r="A89" s="1393">
        <v>29</v>
      </c>
      <c r="B89" s="3592"/>
      <c r="C89" s="1307" t="s">
        <v>1607</v>
      </c>
      <c r="D89" s="1307" t="s">
        <v>1608</v>
      </c>
      <c r="E89" s="1406">
        <v>0.2</v>
      </c>
      <c r="F89" s="1393">
        <v>30</v>
      </c>
    </row>
    <row r="90" spans="1:6" s="1389" customFormat="1" ht="24">
      <c r="A90" s="1393">
        <v>30</v>
      </c>
      <c r="B90" s="3592"/>
      <c r="C90" s="1307" t="s">
        <v>1609</v>
      </c>
      <c r="D90" s="1307" t="s">
        <v>1610</v>
      </c>
      <c r="E90" s="1406">
        <v>0.2</v>
      </c>
      <c r="F90" s="1393">
        <v>30</v>
      </c>
    </row>
    <row r="91" spans="1:6" s="1389" customFormat="1" ht="36">
      <c r="A91" s="1393">
        <v>31</v>
      </c>
      <c r="B91" s="3592"/>
      <c r="C91" s="1307" t="s">
        <v>1611</v>
      </c>
      <c r="D91" s="1307" t="s">
        <v>1612</v>
      </c>
      <c r="E91" s="1406">
        <v>0.2</v>
      </c>
      <c r="F91" s="1393">
        <v>30</v>
      </c>
    </row>
    <row r="92" spans="1:6" s="1389" customFormat="1" ht="24">
      <c r="A92" s="1393">
        <v>32</v>
      </c>
      <c r="B92" s="3592" t="s">
        <v>1613</v>
      </c>
      <c r="C92" s="1393" t="s">
        <v>1614</v>
      </c>
      <c r="D92" s="1307" t="s">
        <v>1615</v>
      </c>
      <c r="E92" s="1406">
        <v>0.2</v>
      </c>
      <c r="F92" s="1393">
        <v>30</v>
      </c>
    </row>
    <row r="93" spans="1:6" s="1389" customFormat="1" ht="36">
      <c r="A93" s="1393">
        <v>33</v>
      </c>
      <c r="B93" s="3592"/>
      <c r="C93" s="1393" t="s">
        <v>1616</v>
      </c>
      <c r="D93" s="1307" t="s">
        <v>1617</v>
      </c>
      <c r="E93" s="1406">
        <v>0.2</v>
      </c>
      <c r="F93" s="1393">
        <v>30</v>
      </c>
    </row>
    <row r="94" spans="1:6" s="1389" customFormat="1" ht="48">
      <c r="A94" s="1393">
        <v>34</v>
      </c>
      <c r="B94" s="3592"/>
      <c r="C94" s="1393" t="s">
        <v>1618</v>
      </c>
      <c r="D94" s="1307" t="s">
        <v>1619</v>
      </c>
      <c r="E94" s="1406">
        <v>0.2</v>
      </c>
      <c r="F94" s="1393">
        <v>30</v>
      </c>
    </row>
    <row r="95" spans="1:6" s="1389" customFormat="1" ht="36">
      <c r="A95" s="1393">
        <v>35</v>
      </c>
      <c r="B95" s="3592"/>
      <c r="C95" s="1393" t="s">
        <v>1620</v>
      </c>
      <c r="D95" s="1307" t="s">
        <v>1621</v>
      </c>
      <c r="E95" s="1406">
        <v>0.2</v>
      </c>
      <c r="F95" s="1393">
        <v>30</v>
      </c>
    </row>
    <row r="96" spans="1:6" s="1389" customFormat="1" ht="48">
      <c r="A96" s="1393">
        <v>36</v>
      </c>
      <c r="B96" s="3592"/>
      <c r="C96" s="1307" t="s">
        <v>1622</v>
      </c>
      <c r="D96" s="1307" t="s">
        <v>1623</v>
      </c>
      <c r="E96" s="1406">
        <v>0.2</v>
      </c>
      <c r="F96" s="1393">
        <v>30</v>
      </c>
    </row>
    <row r="97" spans="1:6" s="1389" customFormat="1" ht="36">
      <c r="A97" s="1393">
        <v>37</v>
      </c>
      <c r="B97" s="3592"/>
      <c r="C97" s="1393" t="s">
        <v>1624</v>
      </c>
      <c r="D97" s="1307" t="s">
        <v>1625</v>
      </c>
      <c r="E97" s="1406">
        <v>0.2</v>
      </c>
      <c r="F97" s="1393">
        <v>30</v>
      </c>
    </row>
    <row r="98" spans="1:6" s="1389" customFormat="1" ht="36">
      <c r="A98" s="1393">
        <v>38</v>
      </c>
      <c r="B98" s="3592"/>
      <c r="C98" s="1393" t="s">
        <v>1626</v>
      </c>
      <c r="D98" s="1307" t="s">
        <v>1627</v>
      </c>
      <c r="E98" s="1406">
        <v>0.2</v>
      </c>
      <c r="F98" s="1393">
        <v>30</v>
      </c>
    </row>
    <row r="99" spans="1:6" s="1389" customFormat="1" ht="36">
      <c r="A99" s="1393">
        <v>39</v>
      </c>
      <c r="B99" s="3592" t="s">
        <v>1628</v>
      </c>
      <c r="C99" s="1393" t="s">
        <v>1629</v>
      </c>
      <c r="D99" s="1307" t="s">
        <v>1630</v>
      </c>
      <c r="E99" s="1406">
        <v>0.3</v>
      </c>
      <c r="F99" s="1393">
        <v>50</v>
      </c>
    </row>
    <row r="100" spans="1:6" s="1389" customFormat="1" ht="24">
      <c r="A100" s="1393">
        <v>40</v>
      </c>
      <c r="B100" s="3592"/>
      <c r="C100" s="1393" t="s">
        <v>1631</v>
      </c>
      <c r="D100" s="1307" t="s">
        <v>1632</v>
      </c>
      <c r="E100" s="1406">
        <v>0.2</v>
      </c>
      <c r="F100" s="1393">
        <v>30</v>
      </c>
    </row>
    <row r="101" spans="1:6" s="1389" customFormat="1" ht="36">
      <c r="A101" s="1393">
        <v>41</v>
      </c>
      <c r="B101" s="3592"/>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92" t="s">
        <v>1643</v>
      </c>
      <c r="C105" s="1393" t="s">
        <v>1644</v>
      </c>
      <c r="D105" s="1307" t="s">
        <v>1645</v>
      </c>
      <c r="E105" s="1406">
        <v>0.2</v>
      </c>
      <c r="F105" s="1393">
        <v>30</v>
      </c>
    </row>
    <row r="106" spans="1:6" s="1389" customFormat="1" ht="36">
      <c r="A106" s="1393">
        <v>46</v>
      </c>
      <c r="B106" s="3592"/>
      <c r="C106" s="1393" t="s">
        <v>1646</v>
      </c>
      <c r="D106" s="1307" t="s">
        <v>1647</v>
      </c>
      <c r="E106" s="1406">
        <v>0.2</v>
      </c>
      <c r="F106" s="1393">
        <v>30</v>
      </c>
    </row>
    <row r="107" spans="1:6" s="1389" customFormat="1" ht="36">
      <c r="A107" s="1393">
        <v>47</v>
      </c>
      <c r="B107" s="3592" t="s">
        <v>1648</v>
      </c>
      <c r="C107" s="1393" t="s">
        <v>1649</v>
      </c>
      <c r="D107" s="1307" t="s">
        <v>1650</v>
      </c>
      <c r="E107" s="1406">
        <v>0.3</v>
      </c>
      <c r="F107" s="1393">
        <v>50</v>
      </c>
    </row>
    <row r="108" spans="1:6" s="1389" customFormat="1" ht="36">
      <c r="A108" s="1393">
        <v>48</v>
      </c>
      <c r="B108" s="3592"/>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92" t="s">
        <v>1659</v>
      </c>
      <c r="C111" s="1393" t="s">
        <v>1660</v>
      </c>
      <c r="D111" s="1307" t="s">
        <v>1661</v>
      </c>
      <c r="E111" s="1406">
        <v>0.2</v>
      </c>
      <c r="F111" s="1393">
        <v>30</v>
      </c>
    </row>
    <row r="112" spans="1:6" s="1389" customFormat="1" ht="24">
      <c r="A112" s="1393">
        <v>52</v>
      </c>
      <c r="B112" s="3592"/>
      <c r="C112" s="1393" t="s">
        <v>1662</v>
      </c>
      <c r="D112" s="1307" t="s">
        <v>1663</v>
      </c>
      <c r="E112" s="1406">
        <v>0.2</v>
      </c>
      <c r="F112" s="1393">
        <v>30</v>
      </c>
    </row>
    <row r="113" spans="1:6" s="1389" customFormat="1" ht="24">
      <c r="A113" s="1393">
        <v>53</v>
      </c>
      <c r="B113" s="3592"/>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92" t="s">
        <v>1672</v>
      </c>
      <c r="C116" s="1393" t="s">
        <v>1673</v>
      </c>
      <c r="D116" s="1307" t="s">
        <v>1674</v>
      </c>
      <c r="E116" s="1406">
        <v>0.2</v>
      </c>
      <c r="F116" s="1393">
        <v>30</v>
      </c>
    </row>
    <row r="117" spans="1:6" ht="36">
      <c r="A117" s="1393">
        <v>57</v>
      </c>
      <c r="B117" s="3592"/>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A58" zoomScale="80" zoomScaleNormal="80" workbookViewId="0">
      <selection activeCell="K43" sqref="K36:K43"/>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619" t="s">
        <v>2573</v>
      </c>
      <c r="C1" s="3619"/>
      <c r="D1" s="3619"/>
      <c r="E1" s="3619"/>
      <c r="F1" s="3619"/>
      <c r="G1" s="3618" t="s">
        <v>2574</v>
      </c>
      <c r="H1" s="3618"/>
      <c r="I1" s="3618"/>
      <c r="J1" s="3618"/>
      <c r="K1" s="3618"/>
      <c r="L1" s="3618"/>
      <c r="N1" s="3618" t="s">
        <v>2575</v>
      </c>
      <c r="O1" s="3618"/>
      <c r="P1" s="3618"/>
      <c r="Q1" s="3618"/>
      <c r="R1" s="2661"/>
      <c r="S1" s="3618" t="s">
        <v>2576</v>
      </c>
      <c r="T1" s="3618"/>
      <c r="U1" s="3618"/>
      <c r="V1" s="3618"/>
      <c r="X1" s="3617" t="s">
        <v>2577</v>
      </c>
      <c r="Y1" s="3618"/>
      <c r="Z1" s="3618"/>
      <c r="AA1" s="3618"/>
      <c r="AB1" s="3618"/>
      <c r="AD1" s="3617" t="s">
        <v>2578</v>
      </c>
      <c r="AE1" s="3618"/>
      <c r="AF1" s="3618"/>
      <c r="AG1" s="3618"/>
      <c r="AH1" s="3618"/>
    </row>
    <row r="2" spans="1:34" s="2662" customFormat="1" ht="14.25" thickBot="1">
      <c r="B2" s="2663" t="s">
        <v>2579</v>
      </c>
      <c r="C2" s="2663" t="s">
        <v>2580</v>
      </c>
      <c r="D2" s="2664" t="s">
        <v>2581</v>
      </c>
      <c r="E2" s="2664" t="s">
        <v>2582</v>
      </c>
      <c r="F2" s="2663" t="s">
        <v>2583</v>
      </c>
      <c r="G2" s="2665"/>
      <c r="H2" s="2666"/>
      <c r="I2" s="2663" t="s">
        <v>2904</v>
      </c>
      <c r="J2" s="2664" t="s">
        <v>2905</v>
      </c>
      <c r="K2" s="2664" t="s">
        <v>2906</v>
      </c>
      <c r="L2" s="2663" t="s">
        <v>2907</v>
      </c>
      <c r="N2" s="2663" t="s">
        <v>2579</v>
      </c>
      <c r="O2" s="2664" t="s">
        <v>2908</v>
      </c>
      <c r="P2" s="2664" t="s">
        <v>1762</v>
      </c>
      <c r="Q2" s="2663" t="s">
        <v>2583</v>
      </c>
      <c r="R2" s="2667"/>
      <c r="S2" s="2663" t="s">
        <v>2579</v>
      </c>
      <c r="T2" s="2664" t="s">
        <v>2908</v>
      </c>
      <c r="U2" s="2664" t="s">
        <v>1762</v>
      </c>
      <c r="V2" s="2663" t="s">
        <v>2583</v>
      </c>
      <c r="X2" s="2663" t="s">
        <v>2584</v>
      </c>
      <c r="Y2" s="2663" t="s">
        <v>2585</v>
      </c>
      <c r="Z2" s="2664" t="s">
        <v>2586</v>
      </c>
      <c r="AA2" s="2664" t="s">
        <v>2587</v>
      </c>
      <c r="AB2" s="2663" t="s">
        <v>2588</v>
      </c>
      <c r="AD2" s="2663" t="s">
        <v>2584</v>
      </c>
      <c r="AE2" s="2663" t="s">
        <v>2585</v>
      </c>
      <c r="AF2" s="2664" t="s">
        <v>2586</v>
      </c>
      <c r="AG2" s="2664" t="s">
        <v>2587</v>
      </c>
      <c r="AH2" s="2663" t="s">
        <v>2588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2589</v>
      </c>
      <c r="B4" s="2677"/>
      <c r="C4" s="2677"/>
      <c r="D4" s="2677"/>
      <c r="E4" s="2677"/>
      <c r="F4" s="2677"/>
      <c r="G4" s="362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2590</v>
      </c>
      <c r="B5" s="2683">
        <f>B6*(1+N5)</f>
        <v>429.62688667359998</v>
      </c>
      <c r="C5" s="2683">
        <f t="shared" ref="C5" si="2">C6*(1+O5)</f>
        <v>318.97763788800006</v>
      </c>
      <c r="D5" s="2998">
        <f>C5</f>
        <v>318.97763788800006</v>
      </c>
      <c r="E5" s="2683">
        <f t="shared" ref="E5:F7" si="3">E6*(1+P5)</f>
        <v>613.03761713879999</v>
      </c>
      <c r="F5" s="2683">
        <f t="shared" si="3"/>
        <v>278.506175276448</v>
      </c>
      <c r="G5" s="3615"/>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2903</v>
      </c>
      <c r="B6" s="2697">
        <f>B7*(1+N6)</f>
        <v>419.31181600000002</v>
      </c>
      <c r="C6" s="2697">
        <f t="shared" ref="C6" si="7">C7*(1+O6)</f>
        <v>313.95436800000004</v>
      </c>
      <c r="D6" s="2697">
        <f>C6</f>
        <v>313.95436800000004</v>
      </c>
      <c r="E6" s="2697">
        <f t="shared" si="3"/>
        <v>596.63028431999999</v>
      </c>
      <c r="F6" s="2697">
        <f t="shared" si="3"/>
        <v>274.74220703999998</v>
      </c>
      <c r="G6" s="3615"/>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2591</v>
      </c>
      <c r="B7" s="2697">
        <f>B8*(1+N7)</f>
        <v>405.524</v>
      </c>
      <c r="C7" s="2697">
        <f t="shared" ref="C7" si="11">C8*(1+O7)</f>
        <v>307.79840000000002</v>
      </c>
      <c r="D7" s="2697">
        <f>C7</f>
        <v>307.79840000000002</v>
      </c>
      <c r="E7" s="2697">
        <f t="shared" si="3"/>
        <v>574.67759999999998</v>
      </c>
      <c r="F7" s="2697">
        <f t="shared" si="3"/>
        <v>270.20280000000002</v>
      </c>
      <c r="G7" s="3616"/>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2593</v>
      </c>
      <c r="B8" s="2689">
        <v>392</v>
      </c>
      <c r="C8" s="2689">
        <v>302</v>
      </c>
      <c r="D8" s="2689">
        <f>C8</f>
        <v>302</v>
      </c>
      <c r="E8" s="2689">
        <v>553</v>
      </c>
      <c r="F8" s="2690">
        <v>266</v>
      </c>
      <c r="G8" s="362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1071</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615"/>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1061</v>
      </c>
      <c r="B10" s="2697">
        <f t="shared" si="14"/>
        <v>360.06949782209392</v>
      </c>
      <c r="C10" s="2697">
        <f t="shared" si="14"/>
        <v>289.84672674747821</v>
      </c>
      <c r="D10" s="2697">
        <f t="shared" si="15"/>
        <v>289.84672674747821</v>
      </c>
      <c r="E10" s="2697">
        <f t="shared" si="16"/>
        <v>501.06543001181495</v>
      </c>
      <c r="F10" s="2697">
        <f t="shared" si="16"/>
        <v>256.82882500744967</v>
      </c>
      <c r="G10" s="3615"/>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1070</v>
      </c>
      <c r="B11" s="2697">
        <f t="shared" si="14"/>
        <v>346.720748986128</v>
      </c>
      <c r="C11" s="2697">
        <f t="shared" si="14"/>
        <v>284.30282172386285</v>
      </c>
      <c r="D11" s="2697">
        <f t="shared" si="15"/>
        <v>284.30282172386285</v>
      </c>
      <c r="E11" s="2697">
        <f t="shared" si="16"/>
        <v>479.58023546306947</v>
      </c>
      <c r="F11" s="2697">
        <f t="shared" si="16"/>
        <v>253.25788877571213</v>
      </c>
      <c r="G11" s="3616"/>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1069</v>
      </c>
      <c r="B12" s="2689">
        <v>333</v>
      </c>
      <c r="C12" s="2689">
        <v>277</v>
      </c>
      <c r="D12" s="2689">
        <f t="shared" si="15"/>
        <v>277</v>
      </c>
      <c r="E12" s="2689">
        <v>459</v>
      </c>
      <c r="F12" s="2690">
        <v>249</v>
      </c>
      <c r="G12" s="3614">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1068</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615"/>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1067</v>
      </c>
      <c r="B14" s="2697">
        <f t="shared" si="18"/>
        <v>322.34053690220776</v>
      </c>
      <c r="C14" s="2697">
        <f t="shared" si="18"/>
        <v>271.46160770422546</v>
      </c>
      <c r="D14" s="2697">
        <f t="shared" si="15"/>
        <v>271.46160770422546</v>
      </c>
      <c r="E14" s="2697">
        <f t="shared" si="19"/>
        <v>442.69434542172456</v>
      </c>
      <c r="F14" s="2697">
        <f t="shared" si="19"/>
        <v>241.34030753190925</v>
      </c>
      <c r="G14" s="3615"/>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1066</v>
      </c>
      <c r="B15" s="2697">
        <f t="shared" si="18"/>
        <v>319.87748030386797</v>
      </c>
      <c r="C15" s="2697">
        <f t="shared" si="18"/>
        <v>269.60135833173649</v>
      </c>
      <c r="D15" s="2697">
        <f t="shared" si="15"/>
        <v>269.60135833173649</v>
      </c>
      <c r="E15" s="2697">
        <f t="shared" si="19"/>
        <v>439.18089823583784</v>
      </c>
      <c r="F15" s="2697">
        <f t="shared" si="19"/>
        <v>239.23503918706311</v>
      </c>
      <c r="G15" s="3616"/>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1065</v>
      </c>
      <c r="B16" s="2710">
        <v>318</v>
      </c>
      <c r="C16" s="2710">
        <v>268</v>
      </c>
      <c r="D16" s="2710">
        <f t="shared" si="15"/>
        <v>268</v>
      </c>
      <c r="E16" s="2710">
        <v>437</v>
      </c>
      <c r="F16" s="2711">
        <v>237</v>
      </c>
      <c r="G16" s="3614">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1064</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615"/>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1063</v>
      </c>
      <c r="B18" s="2697">
        <f t="shared" si="20"/>
        <v>314.72141172386546</v>
      </c>
      <c r="C18" s="2697">
        <f t="shared" si="20"/>
        <v>263.03901319069001</v>
      </c>
      <c r="D18" s="2697">
        <f t="shared" si="15"/>
        <v>263.03901319069001</v>
      </c>
      <c r="E18" s="2697">
        <f t="shared" si="21"/>
        <v>433.65745506782821</v>
      </c>
      <c r="F18" s="2697">
        <f t="shared" si="21"/>
        <v>233.23005080045735</v>
      </c>
      <c r="G18" s="3615"/>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1062</v>
      </c>
      <c r="B19" s="2715">
        <f t="shared" si="20"/>
        <v>307.34512863658733</v>
      </c>
      <c r="C19" s="2715">
        <f t="shared" si="20"/>
        <v>257.80556031626975</v>
      </c>
      <c r="D19" s="2715">
        <f t="shared" si="15"/>
        <v>257.80556031626975</v>
      </c>
      <c r="E19" s="2715">
        <f t="shared" si="21"/>
        <v>422.70928459677179</v>
      </c>
      <c r="F19" s="2715">
        <f t="shared" si="21"/>
        <v>229.73803270336617</v>
      </c>
      <c r="G19" s="3616"/>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2796</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2594</v>
      </c>
      <c r="B20" s="2689">
        <v>299</v>
      </c>
      <c r="C20" s="2689">
        <v>252</v>
      </c>
      <c r="D20" s="2689">
        <f t="shared" si="15"/>
        <v>252</v>
      </c>
      <c r="E20" s="2689">
        <v>409</v>
      </c>
      <c r="F20" s="2690">
        <v>227</v>
      </c>
      <c r="G20" s="362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62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2596</v>
      </c>
      <c r="B22" s="2697">
        <f t="shared" si="24"/>
        <v>288.2649053828776</v>
      </c>
      <c r="C22" s="2697">
        <f t="shared" si="24"/>
        <v>243.64564425013293</v>
      </c>
      <c r="D22" s="2697">
        <f t="shared" si="15"/>
        <v>243.64564425013293</v>
      </c>
      <c r="E22" s="2697">
        <f t="shared" si="25"/>
        <v>393.31080825986544</v>
      </c>
      <c r="F22" s="2697">
        <f t="shared" si="25"/>
        <v>223.07903790551154</v>
      </c>
      <c r="G22" s="362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2597</v>
      </c>
      <c r="B23" s="2697">
        <f t="shared" si="24"/>
        <v>282.50186729015837</v>
      </c>
      <c r="C23" s="2697">
        <f t="shared" si="24"/>
        <v>238.09796174155468</v>
      </c>
      <c r="D23" s="2697">
        <f t="shared" si="15"/>
        <v>238.09796174155468</v>
      </c>
      <c r="E23" s="2697">
        <f t="shared" si="25"/>
        <v>385.33438646014054</v>
      </c>
      <c r="F23" s="2697">
        <f t="shared" si="25"/>
        <v>221.55034055567739</v>
      </c>
      <c r="G23" s="362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2598</v>
      </c>
      <c r="B24" s="2731">
        <v>278</v>
      </c>
      <c r="C24" s="2731">
        <v>234</v>
      </c>
      <c r="D24" s="2731">
        <f t="shared" si="15"/>
        <v>234</v>
      </c>
      <c r="E24" s="2731">
        <v>379</v>
      </c>
      <c r="F24" s="2732">
        <v>220</v>
      </c>
      <c r="G24" s="3614">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2599</v>
      </c>
      <c r="B25" s="2697">
        <f>B24/(1+N24)</f>
        <v>275.49301357645425</v>
      </c>
      <c r="C25" s="2697">
        <f>C24/(1+O24)</f>
        <v>232.41954707985698</v>
      </c>
      <c r="D25" s="2697">
        <f t="shared" si="15"/>
        <v>232.41954707985698</v>
      </c>
      <c r="E25" s="2697">
        <f t="shared" ref="E25:F27" si="26">E24/(1+P24)</f>
        <v>375.32184591008121</v>
      </c>
      <c r="F25" s="2697">
        <f t="shared" si="26"/>
        <v>218.03766105054513</v>
      </c>
      <c r="G25" s="3615"/>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2600</v>
      </c>
      <c r="B26" s="2697">
        <f>B25/(1+N25)</f>
        <v>275.24529281292263</v>
      </c>
      <c r="C26" s="2697">
        <f>C25/(1+O25)</f>
        <v>231.74747938962707</v>
      </c>
      <c r="D26" s="2697">
        <f t="shared" si="15"/>
        <v>231.74747938962707</v>
      </c>
      <c r="E26" s="2697">
        <f t="shared" si="26"/>
        <v>375.35938184826603</v>
      </c>
      <c r="F26" s="2697">
        <f t="shared" si="26"/>
        <v>216.78033510692495</v>
      </c>
      <c r="G26" s="3615"/>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2601</v>
      </c>
      <c r="B27" s="2697">
        <f>B26/(1+N26)</f>
        <v>275.19025476197027</v>
      </c>
      <c r="C27" s="2733">
        <v>232</v>
      </c>
      <c r="D27" s="2733">
        <f t="shared" si="15"/>
        <v>232</v>
      </c>
      <c r="E27" s="2697">
        <f t="shared" si="26"/>
        <v>375.65990977608692</v>
      </c>
      <c r="F27" s="2697">
        <f t="shared" si="26"/>
        <v>214.12518283971252</v>
      </c>
      <c r="G27" s="3616"/>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2602</v>
      </c>
      <c r="B28" s="2689">
        <v>275</v>
      </c>
      <c r="C28" s="2689">
        <v>232</v>
      </c>
      <c r="D28" s="2689">
        <f t="shared" si="15"/>
        <v>232</v>
      </c>
      <c r="E28" s="2689">
        <v>376</v>
      </c>
      <c r="F28" s="2690">
        <v>213</v>
      </c>
      <c r="G28" s="3614">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615">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2604</v>
      </c>
      <c r="B30" s="2697">
        <f t="shared" si="27"/>
        <v>275.19335084830601</v>
      </c>
      <c r="C30" s="2697">
        <f t="shared" si="27"/>
        <v>230.18088050139744</v>
      </c>
      <c r="D30" s="2697">
        <f t="shared" si="15"/>
        <v>230.18088050139744</v>
      </c>
      <c r="E30" s="2697">
        <f t="shared" si="28"/>
        <v>377.58482925212331</v>
      </c>
      <c r="F30" s="2697">
        <f t="shared" si="28"/>
        <v>210.90687997847917</v>
      </c>
      <c r="G30" s="3615">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2605</v>
      </c>
      <c r="B31" s="2697">
        <f t="shared" si="27"/>
        <v>276.29854502841971</v>
      </c>
      <c r="C31" s="2697">
        <f t="shared" si="27"/>
        <v>229.79023709833027</v>
      </c>
      <c r="D31" s="2697">
        <f t="shared" si="15"/>
        <v>229.79023709833027</v>
      </c>
      <c r="E31" s="2697">
        <f t="shared" si="28"/>
        <v>379.78759731655936</v>
      </c>
      <c r="F31" s="2697">
        <f t="shared" si="28"/>
        <v>211.32953905659235</v>
      </c>
      <c r="G31" s="3616">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2606</v>
      </c>
      <c r="B32" s="2689">
        <v>269</v>
      </c>
      <c r="C32" s="2689">
        <v>221</v>
      </c>
      <c r="D32" s="2689">
        <f t="shared" si="15"/>
        <v>221</v>
      </c>
      <c r="E32" s="2689">
        <v>373</v>
      </c>
      <c r="F32" s="2690">
        <v>196</v>
      </c>
      <c r="G32" s="3614">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2607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615">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2608</v>
      </c>
      <c r="B34" s="2697">
        <f t="shared" si="29"/>
        <v>242.95398227588385</v>
      </c>
      <c r="C34" s="2697">
        <f t="shared" si="29"/>
        <v>199.59137053614126</v>
      </c>
      <c r="D34" s="2697">
        <f t="shared" si="15"/>
        <v>199.59137053614126</v>
      </c>
      <c r="E34" s="2697">
        <f t="shared" si="30"/>
        <v>335.92189522342125</v>
      </c>
      <c r="F34" s="2697">
        <f t="shared" si="30"/>
        <v>183.10139991109489</v>
      </c>
      <c r="G34" s="3615">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2609</v>
      </c>
      <c r="B35" s="2697">
        <f t="shared" si="29"/>
        <v>232.06990378821649</v>
      </c>
      <c r="C35" s="2697">
        <f t="shared" si="29"/>
        <v>192.74878854286936</v>
      </c>
      <c r="D35" s="2697">
        <f t="shared" si="15"/>
        <v>192.74878854286936</v>
      </c>
      <c r="E35" s="2697">
        <f t="shared" si="30"/>
        <v>319.71247284992984</v>
      </c>
      <c r="F35" s="2697">
        <f t="shared" si="30"/>
        <v>175.67053622862409</v>
      </c>
      <c r="G35" s="3616">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2610</v>
      </c>
      <c r="B36" s="2689">
        <v>220</v>
      </c>
      <c r="C36" s="2689">
        <v>187</v>
      </c>
      <c r="D36" s="2689">
        <f t="shared" si="15"/>
        <v>187</v>
      </c>
      <c r="E36" s="2689">
        <v>301</v>
      </c>
      <c r="F36" s="2690">
        <v>168</v>
      </c>
      <c r="G36" s="3614">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615">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2612</v>
      </c>
      <c r="B38" s="2697">
        <f t="shared" si="31"/>
        <v>210.630522469011</v>
      </c>
      <c r="C38" s="2697">
        <f t="shared" si="31"/>
        <v>181.69567812247232</v>
      </c>
      <c r="D38" s="2697">
        <f t="shared" si="15"/>
        <v>181.69567812247232</v>
      </c>
      <c r="E38" s="2697">
        <f t="shared" si="32"/>
        <v>286.13517466736738</v>
      </c>
      <c r="F38" s="2697">
        <f t="shared" si="32"/>
        <v>165.47535084591149</v>
      </c>
      <c r="G38" s="3615">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2613</v>
      </c>
      <c r="B39" s="2697">
        <f t="shared" si="31"/>
        <v>208.83454537875372</v>
      </c>
      <c r="C39" s="2697">
        <f t="shared" si="31"/>
        <v>183.77230517090351</v>
      </c>
      <c r="D39" s="2697">
        <f t="shared" si="15"/>
        <v>183.77230517090351</v>
      </c>
      <c r="E39" s="2697">
        <f t="shared" si="32"/>
        <v>281.10342338870947</v>
      </c>
      <c r="F39" s="2697">
        <f t="shared" si="32"/>
        <v>168.97309388942256</v>
      </c>
      <c r="G39" s="3616">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2614</v>
      </c>
      <c r="B40" s="2731">
        <v>214</v>
      </c>
      <c r="C40" s="2731">
        <v>188</v>
      </c>
      <c r="D40" s="2731">
        <f t="shared" si="15"/>
        <v>188</v>
      </c>
      <c r="E40" s="2731">
        <v>289</v>
      </c>
      <c r="F40" s="2732">
        <v>166</v>
      </c>
      <c r="G40" s="3614">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615">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2616</v>
      </c>
      <c r="B42" s="2697">
        <f t="shared" si="33"/>
        <v>206.31694671589116</v>
      </c>
      <c r="C42" s="2697">
        <f t="shared" si="33"/>
        <v>183.61041121036101</v>
      </c>
      <c r="D42" s="2697">
        <f t="shared" si="15"/>
        <v>183.61041121036101</v>
      </c>
      <c r="E42" s="2697">
        <f t="shared" si="34"/>
        <v>276.66850301795557</v>
      </c>
      <c r="F42" s="2697">
        <f t="shared" si="34"/>
        <v>165.1360938278614</v>
      </c>
      <c r="G42" s="3615">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2617</v>
      </c>
      <c r="B43" s="2734">
        <f t="shared" si="33"/>
        <v>196.62341248059772</v>
      </c>
      <c r="C43" s="2734">
        <f t="shared" si="33"/>
        <v>170.99125648199012</v>
      </c>
      <c r="D43" s="2734">
        <f t="shared" si="15"/>
        <v>170.99125648199012</v>
      </c>
      <c r="E43" s="2734">
        <f t="shared" si="34"/>
        <v>266.07857570490052</v>
      </c>
      <c r="F43" s="2734">
        <f t="shared" si="34"/>
        <v>154.53499328828505</v>
      </c>
      <c r="G43" s="3616">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2618</v>
      </c>
      <c r="B44" s="2689">
        <v>188</v>
      </c>
      <c r="C44" s="2689">
        <v>165</v>
      </c>
      <c r="D44" s="2689">
        <f t="shared" si="15"/>
        <v>165</v>
      </c>
      <c r="E44" s="2689">
        <v>254</v>
      </c>
      <c r="F44" s="2690">
        <v>148</v>
      </c>
      <c r="G44" s="3614">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2619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615">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2620</v>
      </c>
      <c r="B46" s="2697">
        <f t="shared" si="37"/>
        <v>168.82017748715555</v>
      </c>
      <c r="C46" s="2697">
        <f t="shared" si="37"/>
        <v>148.06267029972753</v>
      </c>
      <c r="D46" s="2697">
        <f t="shared" si="15"/>
        <v>148.06267029972753</v>
      </c>
      <c r="E46" s="2697">
        <f t="shared" si="38"/>
        <v>216.46288379323747</v>
      </c>
      <c r="F46" s="2697">
        <f t="shared" si="38"/>
        <v>134.23529411764704</v>
      </c>
      <c r="G46" s="3615">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2621</v>
      </c>
      <c r="B47" s="2697">
        <f t="shared" si="37"/>
        <v>163.84913591779542</v>
      </c>
      <c r="C47" s="2697">
        <f t="shared" si="37"/>
        <v>145.0283378746594</v>
      </c>
      <c r="D47" s="2697">
        <f t="shared" si="15"/>
        <v>145.0283378746594</v>
      </c>
      <c r="E47" s="2697">
        <f t="shared" si="38"/>
        <v>204.95180722891567</v>
      </c>
      <c r="F47" s="2697">
        <f t="shared" si="38"/>
        <v>125.95920303605313</v>
      </c>
      <c r="G47" s="3616">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2622</v>
      </c>
      <c r="B48" s="2710">
        <v>159</v>
      </c>
      <c r="C48" s="2710">
        <v>141</v>
      </c>
      <c r="D48" s="2710">
        <f t="shared" si="15"/>
        <v>141</v>
      </c>
      <c r="E48" s="2710">
        <v>195</v>
      </c>
      <c r="F48" s="2711">
        <v>122</v>
      </c>
      <c r="G48" s="3614">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615">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2624</v>
      </c>
      <c r="B50" s="2697">
        <f t="shared" si="41"/>
        <v>146.57412060301507</v>
      </c>
      <c r="C50" s="2697">
        <f t="shared" si="41"/>
        <v>136.46831955922866</v>
      </c>
      <c r="D50" s="2697">
        <f t="shared" si="15"/>
        <v>136.46831955922866</v>
      </c>
      <c r="E50" s="2697">
        <f t="shared" si="42"/>
        <v>166.73864894795128</v>
      </c>
      <c r="F50" s="2697">
        <f t="shared" si="42"/>
        <v>115.05882352941177</v>
      </c>
      <c r="G50" s="3615">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2625</v>
      </c>
      <c r="B51" s="2697">
        <f t="shared" si="41"/>
        <v>144.04145728643215</v>
      </c>
      <c r="C51" s="2697">
        <f t="shared" si="41"/>
        <v>136.12396694214877</v>
      </c>
      <c r="D51" s="2697">
        <f t="shared" si="15"/>
        <v>136.12396694214877</v>
      </c>
      <c r="E51" s="2697">
        <f t="shared" si="42"/>
        <v>158.32225913621264</v>
      </c>
      <c r="F51" s="2697">
        <f t="shared" si="42"/>
        <v>114.04278074866311</v>
      </c>
      <c r="G51" s="3616">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2626</v>
      </c>
      <c r="B52" s="2710">
        <v>138</v>
      </c>
      <c r="C52" s="2710">
        <v>131</v>
      </c>
      <c r="D52" s="2710">
        <f t="shared" si="15"/>
        <v>131</v>
      </c>
      <c r="E52" s="2710">
        <v>155</v>
      </c>
      <c r="F52" s="2711">
        <v>114</v>
      </c>
      <c r="G52" s="3614">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2627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615">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2628</v>
      </c>
      <c r="B54" s="2697">
        <f t="shared" si="45"/>
        <v>124.29032258064517</v>
      </c>
      <c r="C54" s="2697">
        <f t="shared" si="45"/>
        <v>123.8968609865471</v>
      </c>
      <c r="D54" s="2697">
        <f t="shared" si="15"/>
        <v>123.8968609865471</v>
      </c>
      <c r="E54" s="2697">
        <f t="shared" si="46"/>
        <v>138.00507614213197</v>
      </c>
      <c r="F54" s="2697">
        <f t="shared" si="46"/>
        <v>107.96106557377048</v>
      </c>
      <c r="G54" s="3615">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2629</v>
      </c>
      <c r="B55" s="2697">
        <f t="shared" si="45"/>
        <v>122.57204301075269</v>
      </c>
      <c r="C55" s="2697">
        <f t="shared" si="45"/>
        <v>123.4932735426009</v>
      </c>
      <c r="D55" s="2697">
        <f t="shared" si="15"/>
        <v>123.4932735426009</v>
      </c>
      <c r="E55" s="2697">
        <f t="shared" si="46"/>
        <v>129.82233502538071</v>
      </c>
      <c r="F55" s="2697">
        <f t="shared" si="46"/>
        <v>107.39446721311475</v>
      </c>
      <c r="G55" s="3616">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2630</v>
      </c>
      <c r="B56" s="2731">
        <v>121</v>
      </c>
      <c r="C56" s="2731">
        <v>122</v>
      </c>
      <c r="D56" s="2731">
        <f t="shared" si="15"/>
        <v>122</v>
      </c>
      <c r="E56" s="2731">
        <v>124</v>
      </c>
      <c r="F56" s="2732">
        <v>107</v>
      </c>
      <c r="G56" s="3614">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615">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2632</v>
      </c>
      <c r="B58" s="2697">
        <f t="shared" si="49"/>
        <v>116.99099099099099</v>
      </c>
      <c r="C58" s="2697">
        <f t="shared" si="49"/>
        <v>118.84848484848486</v>
      </c>
      <c r="D58" s="2697">
        <f t="shared" si="15"/>
        <v>118.84848484848486</v>
      </c>
      <c r="E58" s="2697">
        <f t="shared" si="50"/>
        <v>117.60960960960961</v>
      </c>
      <c r="F58" s="2697">
        <f t="shared" si="50"/>
        <v>104</v>
      </c>
      <c r="G58" s="3615">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2633</v>
      </c>
      <c r="B59" s="2734">
        <f t="shared" si="49"/>
        <v>112.48648648648648</v>
      </c>
      <c r="C59" s="2734">
        <f t="shared" si="49"/>
        <v>115.21212121212122</v>
      </c>
      <c r="D59" s="2734">
        <f t="shared" si="15"/>
        <v>115.21212121212122</v>
      </c>
      <c r="E59" s="2734">
        <f t="shared" si="50"/>
        <v>110.4024024024024</v>
      </c>
      <c r="F59" s="2734">
        <f t="shared" si="50"/>
        <v>104</v>
      </c>
      <c r="G59" s="3616">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2634</v>
      </c>
      <c r="B60" s="2752">
        <v>111</v>
      </c>
      <c r="C60" s="2752">
        <v>114</v>
      </c>
      <c r="D60" s="2752">
        <f t="shared" si="15"/>
        <v>114</v>
      </c>
      <c r="E60" s="2752">
        <v>108</v>
      </c>
      <c r="F60" s="2753">
        <v>104</v>
      </c>
      <c r="G60" s="3614">
        <v>2003</v>
      </c>
      <c r="H60" s="2742">
        <v>4</v>
      </c>
      <c r="I60" s="2754"/>
      <c r="J60" s="2754"/>
      <c r="K60" s="2754"/>
      <c r="L60" s="2754"/>
      <c r="N60" s="2755"/>
      <c r="O60" s="2754"/>
      <c r="P60" s="2754"/>
      <c r="Q60" s="2754"/>
      <c r="S60" s="2755"/>
      <c r="T60" s="2754"/>
      <c r="U60" s="2754"/>
      <c r="V60" s="2754"/>
      <c r="X60" s="2746"/>
      <c r="Y60" s="2746"/>
      <c r="Z60" s="2746"/>
    </row>
    <row r="61" spans="1:26">
      <c r="A61" s="2676" t="s">
        <v>2635</v>
      </c>
      <c r="B61" s="2756">
        <f t="shared" ref="B61:C63" si="51">B62+(B$60-B$64)/4</f>
        <v>109.75</v>
      </c>
      <c r="C61" s="2756">
        <f t="shared" si="51"/>
        <v>112.25</v>
      </c>
      <c r="D61" s="2756">
        <f t="shared" si="15"/>
        <v>112.25</v>
      </c>
      <c r="E61" s="2756">
        <f t="shared" ref="E61:F63" si="52">E62+(E$60-E$64)/4</f>
        <v>107.25</v>
      </c>
      <c r="F61" s="2756">
        <f t="shared" si="52"/>
        <v>103.5</v>
      </c>
      <c r="G61" s="3615">
        <v>2003</v>
      </c>
      <c r="H61" s="2707">
        <v>3</v>
      </c>
      <c r="I61" s="2754"/>
      <c r="J61" s="2754"/>
      <c r="K61" s="2754"/>
      <c r="L61" s="2754"/>
      <c r="X61" s="2746"/>
      <c r="Y61" s="2746"/>
      <c r="Z61" s="2746"/>
    </row>
    <row r="62" spans="1:26">
      <c r="A62" s="2676" t="s">
        <v>2636</v>
      </c>
      <c r="B62" s="2756">
        <f t="shared" si="51"/>
        <v>108.5</v>
      </c>
      <c r="C62" s="2756">
        <f t="shared" si="51"/>
        <v>110.5</v>
      </c>
      <c r="D62" s="2756">
        <f t="shared" si="15"/>
        <v>110.5</v>
      </c>
      <c r="E62" s="2756">
        <f t="shared" si="52"/>
        <v>106.5</v>
      </c>
      <c r="F62" s="2756">
        <f t="shared" si="52"/>
        <v>103</v>
      </c>
      <c r="G62" s="3615">
        <v>2003</v>
      </c>
      <c r="H62" s="2682">
        <v>2</v>
      </c>
      <c r="I62" s="2754"/>
      <c r="J62" s="2754"/>
      <c r="K62" s="2754"/>
      <c r="L62" s="2754"/>
      <c r="X62" s="2746"/>
      <c r="Y62" s="2746"/>
      <c r="Z62" s="2746"/>
    </row>
    <row r="63" spans="1:26" ht="13.5" thickBot="1">
      <c r="A63" s="2676" t="s">
        <v>2637</v>
      </c>
      <c r="B63" s="2756">
        <f t="shared" si="51"/>
        <v>107.25</v>
      </c>
      <c r="C63" s="2756">
        <f t="shared" si="51"/>
        <v>108.75</v>
      </c>
      <c r="D63" s="2756">
        <f t="shared" si="15"/>
        <v>108.75</v>
      </c>
      <c r="E63" s="2756">
        <f t="shared" si="52"/>
        <v>105.75</v>
      </c>
      <c r="F63" s="2756">
        <f t="shared" si="52"/>
        <v>102.5</v>
      </c>
      <c r="G63" s="3616">
        <v>2003</v>
      </c>
      <c r="H63" s="2757">
        <v>1</v>
      </c>
      <c r="I63" s="2754"/>
      <c r="J63" s="2754"/>
      <c r="K63" s="2754"/>
      <c r="L63" s="2754"/>
      <c r="S63" s="2692"/>
      <c r="T63" s="2693"/>
      <c r="U63" s="2693"/>
      <c r="X63" s="2746"/>
      <c r="Y63" s="2746"/>
      <c r="Z63" s="2746"/>
    </row>
    <row r="64" spans="1:26" ht="13.5" thickBot="1">
      <c r="A64" s="2676" t="s">
        <v>2638</v>
      </c>
      <c r="B64" s="2758">
        <v>106</v>
      </c>
      <c r="C64" s="2758">
        <v>107</v>
      </c>
      <c r="D64" s="2758">
        <f t="shared" si="15"/>
        <v>107</v>
      </c>
      <c r="E64" s="2758">
        <v>105</v>
      </c>
      <c r="F64" s="2759">
        <v>102</v>
      </c>
      <c r="G64" s="3614">
        <v>2002</v>
      </c>
      <c r="H64" s="2702">
        <v>4</v>
      </c>
      <c r="I64" s="2754"/>
      <c r="J64" s="2754"/>
      <c r="K64" s="2754"/>
      <c r="L64" s="2754"/>
      <c r="N64" s="2755"/>
      <c r="O64" s="2754"/>
      <c r="P64" s="2754"/>
      <c r="Q64" s="2754"/>
      <c r="S64" s="2755"/>
      <c r="T64" s="2754"/>
      <c r="U64" s="2754"/>
      <c r="V64" s="2754"/>
      <c r="X64" s="2746"/>
      <c r="Y64" s="2746"/>
      <c r="Z64" s="2746"/>
    </row>
    <row r="65" spans="1:26">
      <c r="A65" s="2676" t="s">
        <v>2639</v>
      </c>
      <c r="B65" s="2756">
        <f t="shared" ref="B65:C67" si="53">B66+(B$64-B$68)/4</f>
        <v>105</v>
      </c>
      <c r="C65" s="2756">
        <f t="shared" si="53"/>
        <v>106</v>
      </c>
      <c r="D65" s="2756">
        <f t="shared" si="15"/>
        <v>106</v>
      </c>
      <c r="E65" s="2756">
        <f t="shared" ref="E65:F67" si="54">E66+(E$64-E$68)/4</f>
        <v>104.5</v>
      </c>
      <c r="F65" s="2756">
        <f t="shared" si="54"/>
        <v>101.5</v>
      </c>
      <c r="G65" s="3615">
        <v>2002</v>
      </c>
      <c r="H65" s="2707">
        <v>3</v>
      </c>
      <c r="I65" s="2754"/>
      <c r="J65" s="2754"/>
      <c r="K65" s="2754"/>
      <c r="L65" s="2754"/>
      <c r="X65" s="2746"/>
      <c r="Y65" s="2746"/>
      <c r="Z65" s="2746"/>
    </row>
    <row r="66" spans="1:26">
      <c r="A66" s="2676" t="s">
        <v>2640</v>
      </c>
      <c r="B66" s="2756">
        <f t="shared" si="53"/>
        <v>104</v>
      </c>
      <c r="C66" s="2756">
        <f t="shared" si="53"/>
        <v>105</v>
      </c>
      <c r="D66" s="2756">
        <f t="shared" si="15"/>
        <v>105</v>
      </c>
      <c r="E66" s="2756">
        <f t="shared" si="54"/>
        <v>104</v>
      </c>
      <c r="F66" s="2756">
        <f t="shared" si="54"/>
        <v>101</v>
      </c>
      <c r="G66" s="3615">
        <v>2002</v>
      </c>
      <c r="H66" s="2682">
        <v>2</v>
      </c>
      <c r="I66" s="2754"/>
      <c r="J66" s="2754"/>
      <c r="K66" s="2754"/>
      <c r="L66" s="2754"/>
      <c r="X66" s="2746"/>
      <c r="Y66" s="2746"/>
      <c r="Z66" s="2746"/>
    </row>
    <row r="67" spans="1:26" s="2718" customFormat="1" ht="13.5" thickBot="1">
      <c r="A67" s="2714" t="s">
        <v>2641</v>
      </c>
      <c r="B67" s="2760">
        <f t="shared" si="53"/>
        <v>103</v>
      </c>
      <c r="C67" s="2760">
        <f t="shared" si="53"/>
        <v>104</v>
      </c>
      <c r="D67" s="2760">
        <f t="shared" si="15"/>
        <v>104</v>
      </c>
      <c r="E67" s="2760">
        <f t="shared" si="54"/>
        <v>103.5</v>
      </c>
      <c r="F67" s="2760">
        <f t="shared" si="54"/>
        <v>100.5</v>
      </c>
      <c r="G67" s="3616">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2642</v>
      </c>
      <c r="G70" s="2770"/>
      <c r="N70" s="2770"/>
      <c r="S70" s="2770"/>
    </row>
    <row r="71" spans="1:26" s="2769" customFormat="1">
      <c r="A71" s="2769" t="s">
        <v>2643</v>
      </c>
      <c r="G71" s="2770"/>
      <c r="N71" s="2770"/>
      <c r="S71" s="2770"/>
    </row>
    <row r="72" spans="1:26" s="2769" customFormat="1">
      <c r="A72" s="2769" t="s">
        <v>2644</v>
      </c>
      <c r="G72" s="2770"/>
      <c r="I72" s="2771"/>
      <c r="J72" s="2771"/>
      <c r="K72" s="2771"/>
      <c r="L72" s="2771"/>
      <c r="N72" s="2772"/>
      <c r="O72" s="2771"/>
      <c r="P72" s="2771"/>
      <c r="Q72" s="2771"/>
      <c r="S72" s="2772"/>
      <c r="T72" s="2771"/>
      <c r="U72" s="2771"/>
      <c r="V72" s="2771"/>
    </row>
    <row r="73" spans="1:26" s="2769" customFormat="1">
      <c r="A73" s="2769" t="s">
        <v>2645</v>
      </c>
      <c r="G73" s="2770"/>
      <c r="N73" s="2770"/>
      <c r="S73" s="2770"/>
    </row>
    <row r="80" spans="1:26" ht="13.5" thickBot="1"/>
    <row r="81" spans="14:22" s="2691" customFormat="1">
      <c r="N81" s="2706"/>
      <c r="S81" s="2773" t="s">
        <v>2646</v>
      </c>
      <c r="T81" s="2774" t="s">
        <v>2647</v>
      </c>
      <c r="U81" s="2774" t="s">
        <v>2648</v>
      </c>
      <c r="V81" s="2774" t="s">
        <v>2649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2763</v>
      </c>
      <c r="C1" s="2987">
        <f>项目基本情况!D2</f>
        <v>39996</v>
      </c>
      <c r="D1" s="2982" t="s">
        <v>2764</v>
      </c>
      <c r="E1" s="2988">
        <f>'数据-取费表'!B23</f>
        <v>2</v>
      </c>
      <c r="F1" s="2982" t="s">
        <v>2765</v>
      </c>
      <c r="G1" s="2989">
        <f ca="1">INDIRECT("d"&amp;$K$1)/100</f>
        <v>5.4000000000000006E-2</v>
      </c>
      <c r="H1" s="2982" t="s">
        <v>2795</v>
      </c>
      <c r="I1" s="2989">
        <f ca="1">F4/100</f>
        <v>2.2499999999999999E-2</v>
      </c>
      <c r="J1" s="2983">
        <f>IF(C1&gt;C13,0,MATCH(C1,C$13:C$100,-1))+IF(SUMIF(C13:C100,C1,D13:D100)=0,13,12)</f>
        <v>26</v>
      </c>
      <c r="K1" s="2983">
        <f>MATCH(E1,C3:C7,1)+IF(SUMIF(C3:C7,E1,D3:D7)=0,2,1)</f>
        <v>5</v>
      </c>
      <c r="L1" s="2983">
        <f>IF(C1&gt;M13,0,MATCH(C1,M$13:M$100,-1))+IF(SUMIF(M13:M100,C1,N13:N100)=0,13,12)</f>
        <v>26</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2766</v>
      </c>
      <c r="E2" s="2924"/>
      <c r="F2" s="2924" t="s">
        <v>2767</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2768</v>
      </c>
      <c r="C3" s="2928">
        <v>0</v>
      </c>
      <c r="D3" s="2929">
        <f ca="1">INDIRECT("d"&amp;$J$1)</f>
        <v>4.8600000000000003</v>
      </c>
      <c r="E3" s="2930">
        <v>0.5</v>
      </c>
      <c r="F3" s="2931">
        <f ca="1">INDIRECT("p"&amp;$L$1)</f>
        <v>1.98</v>
      </c>
      <c r="G3" s="2926"/>
      <c r="H3" s="2926"/>
      <c r="I3" s="2926"/>
      <c r="J3" s="2926"/>
      <c r="L3" s="2926"/>
      <c r="M3" s="2926"/>
      <c r="N3" s="2926"/>
      <c r="O3" s="2926"/>
      <c r="P3" s="2926"/>
      <c r="Q3" s="2926"/>
      <c r="R3" s="2926"/>
      <c r="S3" s="2926"/>
      <c r="T3" s="2926"/>
      <c r="U3" s="2926"/>
      <c r="V3" s="2926"/>
      <c r="W3" s="2926"/>
      <c r="X3" s="2926"/>
      <c r="Y3" s="2926"/>
      <c r="Z3" s="2926"/>
    </row>
    <row r="4" spans="1:257">
      <c r="B4" s="2933" t="s">
        <v>2769</v>
      </c>
      <c r="C4" s="2934">
        <v>0.5</v>
      </c>
      <c r="D4" s="2935">
        <f ca="1">INDIRECT("e"&amp;$J$1)</f>
        <v>5.31</v>
      </c>
      <c r="E4" s="2936">
        <v>1</v>
      </c>
      <c r="F4" s="2937">
        <f ca="1">INDIRECT("q"&amp;$L$1)</f>
        <v>2.25</v>
      </c>
      <c r="G4" s="2926"/>
      <c r="H4" s="2926"/>
      <c r="I4" s="2926"/>
      <c r="J4" s="2926"/>
      <c r="L4" s="2926"/>
      <c r="M4" s="2926"/>
      <c r="N4" s="2926"/>
      <c r="O4" s="2926"/>
      <c r="P4" s="2926"/>
      <c r="Q4" s="2926"/>
      <c r="R4" s="2926"/>
      <c r="S4" s="2926"/>
      <c r="T4" s="2926"/>
      <c r="U4" s="2926"/>
      <c r="V4" s="2926"/>
      <c r="W4" s="2926"/>
      <c r="X4" s="2926"/>
      <c r="Y4" s="2926"/>
      <c r="Z4" s="2926"/>
    </row>
    <row r="5" spans="1:257">
      <c r="B5" s="2933" t="s">
        <v>2770</v>
      </c>
      <c r="C5" s="2934">
        <v>1</v>
      </c>
      <c r="D5" s="2935">
        <f ca="1">INDIRECT("f"&amp;$J$1)</f>
        <v>5.4</v>
      </c>
      <c r="E5" s="2936">
        <v>2</v>
      </c>
      <c r="F5" s="2937">
        <f ca="1">INDIRECT("r"&amp;$L$1)</f>
        <v>2.79</v>
      </c>
      <c r="G5" s="2926"/>
      <c r="H5" s="2926"/>
      <c r="I5" s="2926"/>
      <c r="J5" s="2926"/>
      <c r="L5" s="2926"/>
      <c r="M5" s="2926"/>
      <c r="N5" s="2926"/>
      <c r="O5" s="2926"/>
      <c r="P5" s="2926"/>
      <c r="Q5" s="2926"/>
      <c r="R5" s="2926"/>
      <c r="S5" s="2926"/>
      <c r="T5" s="2926"/>
      <c r="U5" s="2926"/>
      <c r="V5" s="2926"/>
      <c r="W5" s="2926"/>
      <c r="X5" s="2926"/>
      <c r="Y5" s="2926"/>
      <c r="Z5" s="2926"/>
    </row>
    <row r="6" spans="1:257">
      <c r="B6" s="2933" t="s">
        <v>2771</v>
      </c>
      <c r="C6" s="2934">
        <v>3</v>
      </c>
      <c r="D6" s="2935">
        <f ca="1">INDIRECT("g"&amp;$J$1)</f>
        <v>5.76</v>
      </c>
      <c r="E6" s="2936">
        <v>3</v>
      </c>
      <c r="F6" s="2937">
        <f ca="1">INDIRECT("s"&amp;$L$1)</f>
        <v>3.33</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2772</v>
      </c>
      <c r="C7" s="2939">
        <v>5</v>
      </c>
      <c r="D7" s="2940">
        <f ca="1">INDIRECT("h"&amp;$J$1)</f>
        <v>5.94</v>
      </c>
      <c r="E7" s="2941">
        <v>5</v>
      </c>
      <c r="F7" s="2942">
        <f ca="1">INDIRECT("t"&amp;$L$1)</f>
        <v>3.6</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2773</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2774</v>
      </c>
      <c r="C10" s="2952"/>
      <c r="D10" s="2952"/>
      <c r="E10" s="2952"/>
      <c r="F10" s="2952"/>
      <c r="G10" s="2952"/>
      <c r="H10" s="2952"/>
      <c r="I10" s="2926"/>
      <c r="J10" s="2926"/>
      <c r="K10" s="2952"/>
      <c r="L10" s="2953" t="s">
        <v>2775</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2776</v>
      </c>
      <c r="C11" s="2957" t="s">
        <v>2777</v>
      </c>
      <c r="D11" s="2958" t="s">
        <v>2778</v>
      </c>
      <c r="E11" s="2959"/>
      <c r="F11" s="2958" t="s">
        <v>2779</v>
      </c>
      <c r="G11" s="2960"/>
      <c r="H11" s="2959"/>
      <c r="I11" s="2958" t="s">
        <v>2780</v>
      </c>
      <c r="J11" s="2959"/>
      <c r="K11" s="2955"/>
      <c r="L11" s="2956" t="s">
        <v>2776</v>
      </c>
      <c r="M11" s="2957" t="s">
        <v>2777</v>
      </c>
      <c r="N11" s="2956" t="s">
        <v>2781</v>
      </c>
      <c r="O11" s="2958" t="s">
        <v>2782</v>
      </c>
      <c r="P11" s="2960"/>
      <c r="Q11" s="2960"/>
      <c r="R11" s="2960"/>
      <c r="S11" s="2960"/>
      <c r="T11" s="2959"/>
      <c r="U11" s="2958" t="s">
        <v>2783</v>
      </c>
      <c r="V11" s="2960"/>
      <c r="W11" s="2959"/>
      <c r="X11" s="2956" t="s">
        <v>2784</v>
      </c>
      <c r="Y11" s="2956" t="s">
        <v>2785</v>
      </c>
      <c r="Z11" s="2956" t="s">
        <v>2786</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2787</v>
      </c>
      <c r="E12" s="2965" t="s">
        <v>2788</v>
      </c>
      <c r="F12" s="2965" t="s">
        <v>2789</v>
      </c>
      <c r="G12" s="2965" t="s">
        <v>2790</v>
      </c>
      <c r="H12" s="2965" t="s">
        <v>2772</v>
      </c>
      <c r="I12" s="2966" t="s">
        <v>2791</v>
      </c>
      <c r="J12" s="2966" t="s">
        <v>2791</v>
      </c>
      <c r="K12" s="2962"/>
      <c r="L12" s="2963"/>
      <c r="M12" s="2964"/>
      <c r="N12" s="2963"/>
      <c r="O12" s="2966" t="s">
        <v>2792</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2793</v>
      </c>
      <c r="C13" s="2970">
        <v>42301</v>
      </c>
      <c r="D13" s="2971">
        <v>4.3499999999999996</v>
      </c>
      <c r="E13" s="2971">
        <v>4.3499999999999996</v>
      </c>
      <c r="F13" s="2971">
        <v>4.75</v>
      </c>
      <c r="G13" s="2971">
        <v>4.75</v>
      </c>
      <c r="H13" s="2971">
        <v>4.9000000000000004</v>
      </c>
      <c r="I13" s="2971">
        <v>2.75</v>
      </c>
      <c r="J13" s="2971">
        <v>3.25</v>
      </c>
      <c r="K13" s="2968"/>
      <c r="L13" s="2969" t="s">
        <v>2793</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2794</v>
      </c>
      <c r="Y42" s="2975" t="s">
        <v>2794</v>
      </c>
      <c r="Z42" s="2975" t="s">
        <v>2794</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2794</v>
      </c>
      <c r="Y43" s="2975" t="s">
        <v>2794</v>
      </c>
      <c r="Z43" s="2975" t="s">
        <v>2794</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2794</v>
      </c>
      <c r="Y44" s="2975" t="s">
        <v>2794</v>
      </c>
      <c r="Z44" s="2975" t="s">
        <v>2794</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2794</v>
      </c>
      <c r="Y45" s="2975" t="s">
        <v>2794</v>
      </c>
      <c r="Z45" s="2975" t="s">
        <v>2794</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2794</v>
      </c>
      <c r="Y46" s="2975" t="s">
        <v>2794</v>
      </c>
      <c r="Z46" s="2975" t="s">
        <v>2794</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2794</v>
      </c>
      <c r="Y47" s="2975" t="s">
        <v>2794</v>
      </c>
      <c r="Z47" s="2975" t="s">
        <v>2794</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2794</v>
      </c>
      <c r="Y48" s="2975" t="s">
        <v>2794</v>
      </c>
      <c r="Z48" s="2975" t="s">
        <v>2794</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2794</v>
      </c>
      <c r="Y49" s="2975" t="s">
        <v>2794</v>
      </c>
      <c r="Z49" s="2975" t="s">
        <v>2794</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2794</v>
      </c>
      <c r="Y50" s="2975" t="s">
        <v>2794</v>
      </c>
      <c r="Z50" s="2975" t="s">
        <v>2794</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2794</v>
      </c>
      <c r="V51" s="2975" t="s">
        <v>2794</v>
      </c>
      <c r="W51" s="2975" t="s">
        <v>2794</v>
      </c>
      <c r="X51" s="2975" t="s">
        <v>2794</v>
      </c>
      <c r="Y51" s="2975" t="s">
        <v>2794</v>
      </c>
      <c r="Z51" s="2975" t="s">
        <v>2794</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2794</v>
      </c>
      <c r="J55" s="2975" t="s">
        <v>2794</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B10" sqref="B10"/>
    </sheetView>
  </sheetViews>
  <sheetFormatPr defaultRowHeight="13.5"/>
  <cols>
    <col min="4" max="4" width="10.25" customWidth="1"/>
    <col min="5" max="5" width="12.5" customWidth="1"/>
  </cols>
  <sheetData>
    <row r="1" spans="1:5">
      <c r="A1" s="3119" t="s">
        <v>2922</v>
      </c>
    </row>
    <row r="2" spans="1:5">
      <c r="A2" s="3119" t="s">
        <v>2923</v>
      </c>
    </row>
    <row r="3" spans="1:5">
      <c r="A3" s="3119" t="s">
        <v>2924</v>
      </c>
      <c r="B3">
        <v>61402.16</v>
      </c>
    </row>
    <row r="4" spans="1:5">
      <c r="A4" s="3119" t="s">
        <v>2925</v>
      </c>
      <c r="B4">
        <v>9985.44</v>
      </c>
    </row>
    <row r="5" spans="1:5">
      <c r="A5" s="3119" t="s">
        <v>2926</v>
      </c>
      <c r="B5">
        <v>16494.21</v>
      </c>
    </row>
    <row r="6" spans="1:5">
      <c r="A6" s="3119" t="s">
        <v>2927</v>
      </c>
      <c r="B6">
        <v>4565.1099999999997</v>
      </c>
    </row>
    <row r="7" spans="1:5">
      <c r="A7" s="3119" t="s">
        <v>2928</v>
      </c>
      <c r="B7">
        <v>20229.400000000001</v>
      </c>
    </row>
    <row r="9" spans="1:5">
      <c r="A9" s="3119" t="s">
        <v>2929</v>
      </c>
    </row>
    <row r="10" spans="1:5">
      <c r="A10" s="3119" t="s">
        <v>2930</v>
      </c>
      <c r="B10">
        <v>5334</v>
      </c>
    </row>
    <row r="12" spans="1:5">
      <c r="A12" s="3119" t="s">
        <v>2931</v>
      </c>
      <c r="B12">
        <f>SUM(B3:B7)+B10</f>
        <v>118010.32</v>
      </c>
    </row>
    <row r="15" spans="1:5">
      <c r="A15" s="3120" t="s">
        <v>2960</v>
      </c>
      <c r="B15" s="3120" t="s">
        <v>2961</v>
      </c>
      <c r="C15" s="3120" t="s">
        <v>2962</v>
      </c>
      <c r="D15" s="3120" t="s">
        <v>2963</v>
      </c>
      <c r="E15" s="3120" t="s">
        <v>2964</v>
      </c>
    </row>
    <row r="16" spans="1:5">
      <c r="A16" s="3120" t="s">
        <v>2965</v>
      </c>
      <c r="B16" s="3120">
        <v>5</v>
      </c>
      <c r="C16" s="3120">
        <v>1844</v>
      </c>
      <c r="D16" s="3120">
        <v>89830</v>
      </c>
      <c r="E16" s="3120">
        <v>16568.2</v>
      </c>
    </row>
    <row r="17" spans="1:6">
      <c r="A17" s="3120" t="s">
        <v>2966</v>
      </c>
      <c r="B17" s="3120">
        <v>2</v>
      </c>
      <c r="C17" s="3120">
        <v>699</v>
      </c>
      <c r="D17" s="3120">
        <v>80647</v>
      </c>
      <c r="E17" s="3120">
        <v>5640</v>
      </c>
    </row>
    <row r="18" spans="1:6">
      <c r="A18" s="3120" t="s">
        <v>2967</v>
      </c>
      <c r="B18" s="3120">
        <v>2</v>
      </c>
      <c r="C18" s="3120">
        <v>628</v>
      </c>
      <c r="D18" s="3120">
        <v>74258</v>
      </c>
      <c r="E18" s="3120">
        <v>4660</v>
      </c>
    </row>
    <row r="19" spans="1:6">
      <c r="A19" s="3120" t="s">
        <v>2968</v>
      </c>
      <c r="B19" s="3120">
        <v>4</v>
      </c>
      <c r="C19" s="3120">
        <v>1604</v>
      </c>
      <c r="D19" s="3120">
        <v>83983</v>
      </c>
      <c r="E19" s="3120">
        <v>13472.47</v>
      </c>
    </row>
    <row r="20" spans="1:6">
      <c r="A20" s="3120" t="s">
        <v>2969</v>
      </c>
      <c r="B20" s="3120">
        <v>12</v>
      </c>
      <c r="C20" s="3120">
        <v>4191</v>
      </c>
      <c r="D20" s="3120">
        <v>71089</v>
      </c>
      <c r="E20" s="3120">
        <v>29796.46</v>
      </c>
      <c r="F20" s="3121">
        <f>D20/D21-1</f>
        <v>4.7845761537667952E-2</v>
      </c>
    </row>
    <row r="21" spans="1:6">
      <c r="A21" s="3120" t="s">
        <v>2970</v>
      </c>
      <c r="B21" s="3120">
        <v>5</v>
      </c>
      <c r="C21" s="3120">
        <v>1690</v>
      </c>
      <c r="D21" s="3120">
        <v>67843</v>
      </c>
      <c r="E21" s="3120">
        <v>11463.38</v>
      </c>
      <c r="F21" s="3121">
        <f>D21/D22-1</f>
        <v>-6.0385302549755604E-2</v>
      </c>
    </row>
    <row r="22" spans="1:6">
      <c r="A22" s="3120" t="s">
        <v>2971</v>
      </c>
      <c r="B22" s="3120">
        <v>5</v>
      </c>
      <c r="C22" s="3120">
        <v>1817</v>
      </c>
      <c r="D22" s="3120">
        <v>72203</v>
      </c>
      <c r="E22" s="3120">
        <v>13122.04</v>
      </c>
      <c r="F22" s="3121">
        <f>D22/D23-1</f>
        <v>9.5655308176456622E-4</v>
      </c>
    </row>
    <row r="23" spans="1:6">
      <c r="A23" s="3120" t="s">
        <v>2972</v>
      </c>
      <c r="B23" s="3120">
        <v>6</v>
      </c>
      <c r="C23" s="3120">
        <v>2492</v>
      </c>
      <c r="D23" s="3120">
        <v>72134</v>
      </c>
      <c r="E23" s="3120">
        <v>17975.75</v>
      </c>
      <c r="F23" s="3121">
        <f t="shared" ref="F23:F25" si="0">D23/D24-1</f>
        <v>7.131824392562236E-2</v>
      </c>
    </row>
    <row r="24" spans="1:6">
      <c r="A24" s="3120" t="s">
        <v>2973</v>
      </c>
      <c r="B24" s="3120">
        <v>3</v>
      </c>
      <c r="C24" s="3120">
        <v>1023</v>
      </c>
      <c r="D24" s="3120">
        <v>67332</v>
      </c>
      <c r="E24" s="3120">
        <v>6890.06</v>
      </c>
      <c r="F24" s="3121">
        <f t="shared" si="0"/>
        <v>5.2769829729349516E-2</v>
      </c>
    </row>
    <row r="25" spans="1:6">
      <c r="A25" s="3120" t="s">
        <v>2974</v>
      </c>
      <c r="B25" s="3120">
        <v>16</v>
      </c>
      <c r="C25" s="3120">
        <v>5439</v>
      </c>
      <c r="D25" s="3120">
        <v>63957</v>
      </c>
      <c r="E25" s="3120">
        <v>34787.11</v>
      </c>
      <c r="F25" s="3121">
        <f t="shared" si="0"/>
        <v>-0.12150598189635042</v>
      </c>
    </row>
    <row r="26" spans="1:6">
      <c r="A26" s="3120" t="s">
        <v>2975</v>
      </c>
      <c r="B26" s="3120">
        <v>4</v>
      </c>
      <c r="C26" s="3120">
        <v>1523</v>
      </c>
      <c r="D26" s="3120">
        <v>72803</v>
      </c>
      <c r="E26" s="3120">
        <v>11086.52</v>
      </c>
    </row>
  </sheetData>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HY61"/>
  <sheetViews>
    <sheetView workbookViewId="0">
      <selection activeCell="A3" sqref="A3:XFD3"/>
    </sheetView>
  </sheetViews>
  <sheetFormatPr defaultRowHeight="13.5"/>
  <cols>
    <col min="1" max="1" width="5.125" style="3147" customWidth="1"/>
    <col min="2" max="2" width="23.375" style="3147" customWidth="1"/>
    <col min="3" max="4" width="13.125" style="3147" customWidth="1"/>
    <col min="5" max="11" width="9" style="3147" customWidth="1"/>
    <col min="12" max="12" width="10.25" style="3148" bestFit="1" customWidth="1"/>
    <col min="13" max="15" width="9" style="3147" customWidth="1"/>
    <col min="16" max="16" width="9" customWidth="1"/>
    <col min="17" max="256" width="9" style="3147"/>
    <col min="257" max="257" width="5.125" style="3147" customWidth="1"/>
    <col min="258" max="258" width="23.375" style="3147" customWidth="1"/>
    <col min="259" max="260" width="13.125" style="3147" customWidth="1"/>
    <col min="261" max="267" width="9" style="3147" customWidth="1"/>
    <col min="268" max="268" width="10.25" style="3147" bestFit="1" customWidth="1"/>
    <col min="269" max="272" width="9" style="3147" customWidth="1"/>
    <col min="273" max="512" width="9" style="3147"/>
    <col min="513" max="513" width="5.125" style="3147" customWidth="1"/>
    <col min="514" max="514" width="23.375" style="3147" customWidth="1"/>
    <col min="515" max="516" width="13.125" style="3147" customWidth="1"/>
    <col min="517" max="523" width="9" style="3147" customWidth="1"/>
    <col min="524" max="524" width="10.25" style="3147" bestFit="1" customWidth="1"/>
    <col min="525" max="528" width="9" style="3147" customWidth="1"/>
    <col min="529" max="768" width="9" style="3147"/>
    <col min="769" max="769" width="5.125" style="3147" customWidth="1"/>
    <col min="770" max="770" width="23.375" style="3147" customWidth="1"/>
    <col min="771" max="772" width="13.125" style="3147" customWidth="1"/>
    <col min="773" max="779" width="9" style="3147" customWidth="1"/>
    <col min="780" max="780" width="10.25" style="3147" bestFit="1" customWidth="1"/>
    <col min="781" max="784" width="9" style="3147" customWidth="1"/>
    <col min="785" max="1024" width="9" style="3147"/>
    <col min="1025" max="1025" width="5.125" style="3147" customWidth="1"/>
    <col min="1026" max="1026" width="23.375" style="3147" customWidth="1"/>
    <col min="1027" max="1028" width="13.125" style="3147" customWidth="1"/>
    <col min="1029" max="1035" width="9" style="3147" customWidth="1"/>
    <col min="1036" max="1036" width="10.25" style="3147" bestFit="1" customWidth="1"/>
    <col min="1037" max="1040" width="9" style="3147" customWidth="1"/>
    <col min="1041" max="1280" width="9" style="3147"/>
    <col min="1281" max="1281" width="5.125" style="3147" customWidth="1"/>
    <col min="1282" max="1282" width="23.375" style="3147" customWidth="1"/>
    <col min="1283" max="1284" width="13.125" style="3147" customWidth="1"/>
    <col min="1285" max="1291" width="9" style="3147" customWidth="1"/>
    <col min="1292" max="1292" width="10.25" style="3147" bestFit="1" customWidth="1"/>
    <col min="1293" max="1296" width="9" style="3147" customWidth="1"/>
    <col min="1297" max="1536" width="9" style="3147"/>
    <col min="1537" max="1537" width="5.125" style="3147" customWidth="1"/>
    <col min="1538" max="1538" width="23.375" style="3147" customWidth="1"/>
    <col min="1539" max="1540" width="13.125" style="3147" customWidth="1"/>
    <col min="1541" max="1547" width="9" style="3147" customWidth="1"/>
    <col min="1548" max="1548" width="10.25" style="3147" bestFit="1" customWidth="1"/>
    <col min="1549" max="1552" width="9" style="3147" customWidth="1"/>
    <col min="1553" max="1792" width="9" style="3147"/>
    <col min="1793" max="1793" width="5.125" style="3147" customWidth="1"/>
    <col min="1794" max="1794" width="23.375" style="3147" customWidth="1"/>
    <col min="1795" max="1796" width="13.125" style="3147" customWidth="1"/>
    <col min="1797" max="1803" width="9" style="3147" customWidth="1"/>
    <col min="1804" max="1804" width="10.25" style="3147" bestFit="1" customWidth="1"/>
    <col min="1805" max="1808" width="9" style="3147" customWidth="1"/>
    <col min="1809" max="2048" width="9" style="3147"/>
    <col min="2049" max="2049" width="5.125" style="3147" customWidth="1"/>
    <col min="2050" max="2050" width="23.375" style="3147" customWidth="1"/>
    <col min="2051" max="2052" width="13.125" style="3147" customWidth="1"/>
    <col min="2053" max="2059" width="9" style="3147" customWidth="1"/>
    <col min="2060" max="2060" width="10.25" style="3147" bestFit="1" customWidth="1"/>
    <col min="2061" max="2064" width="9" style="3147" customWidth="1"/>
    <col min="2065" max="2304" width="9" style="3147"/>
    <col min="2305" max="2305" width="5.125" style="3147" customWidth="1"/>
    <col min="2306" max="2306" width="23.375" style="3147" customWidth="1"/>
    <col min="2307" max="2308" width="13.125" style="3147" customWidth="1"/>
    <col min="2309" max="2315" width="9" style="3147" customWidth="1"/>
    <col min="2316" max="2316" width="10.25" style="3147" bestFit="1" customWidth="1"/>
    <col min="2317" max="2320" width="9" style="3147" customWidth="1"/>
    <col min="2321" max="2560" width="9" style="3147"/>
    <col min="2561" max="2561" width="5.125" style="3147" customWidth="1"/>
    <col min="2562" max="2562" width="23.375" style="3147" customWidth="1"/>
    <col min="2563" max="2564" width="13.125" style="3147" customWidth="1"/>
    <col min="2565" max="2571" width="9" style="3147" customWidth="1"/>
    <col min="2572" max="2572" width="10.25" style="3147" bestFit="1" customWidth="1"/>
    <col min="2573" max="2576" width="9" style="3147" customWidth="1"/>
    <col min="2577" max="2816" width="9" style="3147"/>
    <col min="2817" max="2817" width="5.125" style="3147" customWidth="1"/>
    <col min="2818" max="2818" width="23.375" style="3147" customWidth="1"/>
    <col min="2819" max="2820" width="13.125" style="3147" customWidth="1"/>
    <col min="2821" max="2827" width="9" style="3147" customWidth="1"/>
    <col min="2828" max="2828" width="10.25" style="3147" bestFit="1" customWidth="1"/>
    <col min="2829" max="2832" width="9" style="3147" customWidth="1"/>
    <col min="2833" max="3072" width="9" style="3147"/>
    <col min="3073" max="3073" width="5.125" style="3147" customWidth="1"/>
    <col min="3074" max="3074" width="23.375" style="3147" customWidth="1"/>
    <col min="3075" max="3076" width="13.125" style="3147" customWidth="1"/>
    <col min="3077" max="3083" width="9" style="3147" customWidth="1"/>
    <col min="3084" max="3084" width="10.25" style="3147" bestFit="1" customWidth="1"/>
    <col min="3085" max="3088" width="9" style="3147" customWidth="1"/>
    <col min="3089" max="3328" width="9" style="3147"/>
    <col min="3329" max="3329" width="5.125" style="3147" customWidth="1"/>
    <col min="3330" max="3330" width="23.375" style="3147" customWidth="1"/>
    <col min="3331" max="3332" width="13.125" style="3147" customWidth="1"/>
    <col min="3333" max="3339" width="9" style="3147" customWidth="1"/>
    <col min="3340" max="3340" width="10.25" style="3147" bestFit="1" customWidth="1"/>
    <col min="3341" max="3344" width="9" style="3147" customWidth="1"/>
    <col min="3345" max="3584" width="9" style="3147"/>
    <col min="3585" max="3585" width="5.125" style="3147" customWidth="1"/>
    <col min="3586" max="3586" width="23.375" style="3147" customWidth="1"/>
    <col min="3587" max="3588" width="13.125" style="3147" customWidth="1"/>
    <col min="3589" max="3595" width="9" style="3147" customWidth="1"/>
    <col min="3596" max="3596" width="10.25" style="3147" bestFit="1" customWidth="1"/>
    <col min="3597" max="3600" width="9" style="3147" customWidth="1"/>
    <col min="3601" max="3840" width="9" style="3147"/>
    <col min="3841" max="3841" width="5.125" style="3147" customWidth="1"/>
    <col min="3842" max="3842" width="23.375" style="3147" customWidth="1"/>
    <col min="3843" max="3844" width="13.125" style="3147" customWidth="1"/>
    <col min="3845" max="3851" width="9" style="3147" customWidth="1"/>
    <col min="3852" max="3852" width="10.25" style="3147" bestFit="1" customWidth="1"/>
    <col min="3853" max="3856" width="9" style="3147" customWidth="1"/>
    <col min="3857" max="4096" width="9" style="3147"/>
    <col min="4097" max="4097" width="5.125" style="3147" customWidth="1"/>
    <col min="4098" max="4098" width="23.375" style="3147" customWidth="1"/>
    <col min="4099" max="4100" width="13.125" style="3147" customWidth="1"/>
    <col min="4101" max="4107" width="9" style="3147" customWidth="1"/>
    <col min="4108" max="4108" width="10.25" style="3147" bestFit="1" customWidth="1"/>
    <col min="4109" max="4112" width="9" style="3147" customWidth="1"/>
    <col min="4113" max="4352" width="9" style="3147"/>
    <col min="4353" max="4353" width="5.125" style="3147" customWidth="1"/>
    <col min="4354" max="4354" width="23.375" style="3147" customWidth="1"/>
    <col min="4355" max="4356" width="13.125" style="3147" customWidth="1"/>
    <col min="4357" max="4363" width="9" style="3147" customWidth="1"/>
    <col min="4364" max="4364" width="10.25" style="3147" bestFit="1" customWidth="1"/>
    <col min="4365" max="4368" width="9" style="3147" customWidth="1"/>
    <col min="4369" max="4608" width="9" style="3147"/>
    <col min="4609" max="4609" width="5.125" style="3147" customWidth="1"/>
    <col min="4610" max="4610" width="23.375" style="3147" customWidth="1"/>
    <col min="4611" max="4612" width="13.125" style="3147" customWidth="1"/>
    <col min="4613" max="4619" width="9" style="3147" customWidth="1"/>
    <col min="4620" max="4620" width="10.25" style="3147" bestFit="1" customWidth="1"/>
    <col min="4621" max="4624" width="9" style="3147" customWidth="1"/>
    <col min="4625" max="4864" width="9" style="3147"/>
    <col min="4865" max="4865" width="5.125" style="3147" customWidth="1"/>
    <col min="4866" max="4866" width="23.375" style="3147" customWidth="1"/>
    <col min="4867" max="4868" width="13.125" style="3147" customWidth="1"/>
    <col min="4869" max="4875" width="9" style="3147" customWidth="1"/>
    <col min="4876" max="4876" width="10.25" style="3147" bestFit="1" customWidth="1"/>
    <col min="4877" max="4880" width="9" style="3147" customWidth="1"/>
    <col min="4881" max="5120" width="9" style="3147"/>
    <col min="5121" max="5121" width="5.125" style="3147" customWidth="1"/>
    <col min="5122" max="5122" width="23.375" style="3147" customWidth="1"/>
    <col min="5123" max="5124" width="13.125" style="3147" customWidth="1"/>
    <col min="5125" max="5131" width="9" style="3147" customWidth="1"/>
    <col min="5132" max="5132" width="10.25" style="3147" bestFit="1" customWidth="1"/>
    <col min="5133" max="5136" width="9" style="3147" customWidth="1"/>
    <col min="5137" max="5376" width="9" style="3147"/>
    <col min="5377" max="5377" width="5.125" style="3147" customWidth="1"/>
    <col min="5378" max="5378" width="23.375" style="3147" customWidth="1"/>
    <col min="5379" max="5380" width="13.125" style="3147" customWidth="1"/>
    <col min="5381" max="5387" width="9" style="3147" customWidth="1"/>
    <col min="5388" max="5388" width="10.25" style="3147" bestFit="1" customWidth="1"/>
    <col min="5389" max="5392" width="9" style="3147" customWidth="1"/>
    <col min="5393" max="5632" width="9" style="3147"/>
    <col min="5633" max="5633" width="5.125" style="3147" customWidth="1"/>
    <col min="5634" max="5634" width="23.375" style="3147" customWidth="1"/>
    <col min="5635" max="5636" width="13.125" style="3147" customWidth="1"/>
    <col min="5637" max="5643" width="9" style="3147" customWidth="1"/>
    <col min="5644" max="5644" width="10.25" style="3147" bestFit="1" customWidth="1"/>
    <col min="5645" max="5648" width="9" style="3147" customWidth="1"/>
    <col min="5649" max="5888" width="9" style="3147"/>
    <col min="5889" max="5889" width="5.125" style="3147" customWidth="1"/>
    <col min="5890" max="5890" width="23.375" style="3147" customWidth="1"/>
    <col min="5891" max="5892" width="13.125" style="3147" customWidth="1"/>
    <col min="5893" max="5899" width="9" style="3147" customWidth="1"/>
    <col min="5900" max="5900" width="10.25" style="3147" bestFit="1" customWidth="1"/>
    <col min="5901" max="5904" width="9" style="3147" customWidth="1"/>
    <col min="5905" max="6144" width="9" style="3147"/>
    <col min="6145" max="6145" width="5.125" style="3147" customWidth="1"/>
    <col min="6146" max="6146" width="23.375" style="3147" customWidth="1"/>
    <col min="6147" max="6148" width="13.125" style="3147" customWidth="1"/>
    <col min="6149" max="6155" width="9" style="3147" customWidth="1"/>
    <col min="6156" max="6156" width="10.25" style="3147" bestFit="1" customWidth="1"/>
    <col min="6157" max="6160" width="9" style="3147" customWidth="1"/>
    <col min="6161" max="6400" width="9" style="3147"/>
    <col min="6401" max="6401" width="5.125" style="3147" customWidth="1"/>
    <col min="6402" max="6402" width="23.375" style="3147" customWidth="1"/>
    <col min="6403" max="6404" width="13.125" style="3147" customWidth="1"/>
    <col min="6405" max="6411" width="9" style="3147" customWidth="1"/>
    <col min="6412" max="6412" width="10.25" style="3147" bestFit="1" customWidth="1"/>
    <col min="6413" max="6416" width="9" style="3147" customWidth="1"/>
    <col min="6417" max="6656" width="9" style="3147"/>
    <col min="6657" max="6657" width="5.125" style="3147" customWidth="1"/>
    <col min="6658" max="6658" width="23.375" style="3147" customWidth="1"/>
    <col min="6659" max="6660" width="13.125" style="3147" customWidth="1"/>
    <col min="6661" max="6667" width="9" style="3147" customWidth="1"/>
    <col min="6668" max="6668" width="10.25" style="3147" bestFit="1" customWidth="1"/>
    <col min="6669" max="6672" width="9" style="3147" customWidth="1"/>
    <col min="6673" max="6912" width="9" style="3147"/>
    <col min="6913" max="6913" width="5.125" style="3147" customWidth="1"/>
    <col min="6914" max="6914" width="23.375" style="3147" customWidth="1"/>
    <col min="6915" max="6916" width="13.125" style="3147" customWidth="1"/>
    <col min="6917" max="6923" width="9" style="3147" customWidth="1"/>
    <col min="6924" max="6924" width="10.25" style="3147" bestFit="1" customWidth="1"/>
    <col min="6925" max="6928" width="9" style="3147" customWidth="1"/>
    <col min="6929" max="7168" width="9" style="3147"/>
    <col min="7169" max="7169" width="5.125" style="3147" customWidth="1"/>
    <col min="7170" max="7170" width="23.375" style="3147" customWidth="1"/>
    <col min="7171" max="7172" width="13.125" style="3147" customWidth="1"/>
    <col min="7173" max="7179" width="9" style="3147" customWidth="1"/>
    <col min="7180" max="7180" width="10.25" style="3147" bestFit="1" customWidth="1"/>
    <col min="7181" max="7184" width="9" style="3147" customWidth="1"/>
    <col min="7185" max="7424" width="9" style="3147"/>
    <col min="7425" max="7425" width="5.125" style="3147" customWidth="1"/>
    <col min="7426" max="7426" width="23.375" style="3147" customWidth="1"/>
    <col min="7427" max="7428" width="13.125" style="3147" customWidth="1"/>
    <col min="7429" max="7435" width="9" style="3147" customWidth="1"/>
    <col min="7436" max="7436" width="10.25" style="3147" bestFit="1" customWidth="1"/>
    <col min="7437" max="7440" width="9" style="3147" customWidth="1"/>
    <col min="7441" max="7680" width="9" style="3147"/>
    <col min="7681" max="7681" width="5.125" style="3147" customWidth="1"/>
    <col min="7682" max="7682" width="23.375" style="3147" customWidth="1"/>
    <col min="7683" max="7684" width="13.125" style="3147" customWidth="1"/>
    <col min="7685" max="7691" width="9" style="3147" customWidth="1"/>
    <col min="7692" max="7692" width="10.25" style="3147" bestFit="1" customWidth="1"/>
    <col min="7693" max="7696" width="9" style="3147" customWidth="1"/>
    <col min="7697" max="7936" width="9" style="3147"/>
    <col min="7937" max="7937" width="5.125" style="3147" customWidth="1"/>
    <col min="7938" max="7938" width="23.375" style="3147" customWidth="1"/>
    <col min="7939" max="7940" width="13.125" style="3147" customWidth="1"/>
    <col min="7941" max="7947" width="9" style="3147" customWidth="1"/>
    <col min="7948" max="7948" width="10.25" style="3147" bestFit="1" customWidth="1"/>
    <col min="7949" max="7952" width="9" style="3147" customWidth="1"/>
    <col min="7953" max="8192" width="9" style="3147"/>
    <col min="8193" max="8193" width="5.125" style="3147" customWidth="1"/>
    <col min="8194" max="8194" width="23.375" style="3147" customWidth="1"/>
    <col min="8195" max="8196" width="13.125" style="3147" customWidth="1"/>
    <col min="8197" max="8203" width="9" style="3147" customWidth="1"/>
    <col min="8204" max="8204" width="10.25" style="3147" bestFit="1" customWidth="1"/>
    <col min="8205" max="8208" width="9" style="3147" customWidth="1"/>
    <col min="8209" max="8448" width="9" style="3147"/>
    <col min="8449" max="8449" width="5.125" style="3147" customWidth="1"/>
    <col min="8450" max="8450" width="23.375" style="3147" customWidth="1"/>
    <col min="8451" max="8452" width="13.125" style="3147" customWidth="1"/>
    <col min="8453" max="8459" width="9" style="3147" customWidth="1"/>
    <col min="8460" max="8460" width="10.25" style="3147" bestFit="1" customWidth="1"/>
    <col min="8461" max="8464" width="9" style="3147" customWidth="1"/>
    <col min="8465" max="8704" width="9" style="3147"/>
    <col min="8705" max="8705" width="5.125" style="3147" customWidth="1"/>
    <col min="8706" max="8706" width="23.375" style="3147" customWidth="1"/>
    <col min="8707" max="8708" width="13.125" style="3147" customWidth="1"/>
    <col min="8709" max="8715" width="9" style="3147" customWidth="1"/>
    <col min="8716" max="8716" width="10.25" style="3147" bestFit="1" customWidth="1"/>
    <col min="8717" max="8720" width="9" style="3147" customWidth="1"/>
    <col min="8721" max="8960" width="9" style="3147"/>
    <col min="8961" max="8961" width="5.125" style="3147" customWidth="1"/>
    <col min="8962" max="8962" width="23.375" style="3147" customWidth="1"/>
    <col min="8963" max="8964" width="13.125" style="3147" customWidth="1"/>
    <col min="8965" max="8971" width="9" style="3147" customWidth="1"/>
    <col min="8972" max="8972" width="10.25" style="3147" bestFit="1" customWidth="1"/>
    <col min="8973" max="8976" width="9" style="3147" customWidth="1"/>
    <col min="8977" max="9216" width="9" style="3147"/>
    <col min="9217" max="9217" width="5.125" style="3147" customWidth="1"/>
    <col min="9218" max="9218" width="23.375" style="3147" customWidth="1"/>
    <col min="9219" max="9220" width="13.125" style="3147" customWidth="1"/>
    <col min="9221" max="9227" width="9" style="3147" customWidth="1"/>
    <col min="9228" max="9228" width="10.25" style="3147" bestFit="1" customWidth="1"/>
    <col min="9229" max="9232" width="9" style="3147" customWidth="1"/>
    <col min="9233" max="9472" width="9" style="3147"/>
    <col min="9473" max="9473" width="5.125" style="3147" customWidth="1"/>
    <col min="9474" max="9474" width="23.375" style="3147" customWidth="1"/>
    <col min="9475" max="9476" width="13.125" style="3147" customWidth="1"/>
    <col min="9477" max="9483" width="9" style="3147" customWidth="1"/>
    <col min="9484" max="9484" width="10.25" style="3147" bestFit="1" customWidth="1"/>
    <col min="9485" max="9488" width="9" style="3147" customWidth="1"/>
    <col min="9489" max="9728" width="9" style="3147"/>
    <col min="9729" max="9729" width="5.125" style="3147" customWidth="1"/>
    <col min="9730" max="9730" width="23.375" style="3147" customWidth="1"/>
    <col min="9731" max="9732" width="13.125" style="3147" customWidth="1"/>
    <col min="9733" max="9739" width="9" style="3147" customWidth="1"/>
    <col min="9740" max="9740" width="10.25" style="3147" bestFit="1" customWidth="1"/>
    <col min="9741" max="9744" width="9" style="3147" customWidth="1"/>
    <col min="9745" max="9984" width="9" style="3147"/>
    <col min="9985" max="9985" width="5.125" style="3147" customWidth="1"/>
    <col min="9986" max="9986" width="23.375" style="3147" customWidth="1"/>
    <col min="9987" max="9988" width="13.125" style="3147" customWidth="1"/>
    <col min="9989" max="9995" width="9" style="3147" customWidth="1"/>
    <col min="9996" max="9996" width="10.25" style="3147" bestFit="1" customWidth="1"/>
    <col min="9997" max="10000" width="9" style="3147" customWidth="1"/>
    <col min="10001" max="10240" width="9" style="3147"/>
    <col min="10241" max="10241" width="5.125" style="3147" customWidth="1"/>
    <col min="10242" max="10242" width="23.375" style="3147" customWidth="1"/>
    <col min="10243" max="10244" width="13.125" style="3147" customWidth="1"/>
    <col min="10245" max="10251" width="9" style="3147" customWidth="1"/>
    <col min="10252" max="10252" width="10.25" style="3147" bestFit="1" customWidth="1"/>
    <col min="10253" max="10256" width="9" style="3147" customWidth="1"/>
    <col min="10257" max="10496" width="9" style="3147"/>
    <col min="10497" max="10497" width="5.125" style="3147" customWidth="1"/>
    <col min="10498" max="10498" width="23.375" style="3147" customWidth="1"/>
    <col min="10499" max="10500" width="13.125" style="3147" customWidth="1"/>
    <col min="10501" max="10507" width="9" style="3147" customWidth="1"/>
    <col min="10508" max="10508" width="10.25" style="3147" bestFit="1" customWidth="1"/>
    <col min="10509" max="10512" width="9" style="3147" customWidth="1"/>
    <col min="10513" max="10752" width="9" style="3147"/>
    <col min="10753" max="10753" width="5.125" style="3147" customWidth="1"/>
    <col min="10754" max="10754" width="23.375" style="3147" customWidth="1"/>
    <col min="10755" max="10756" width="13.125" style="3147" customWidth="1"/>
    <col min="10757" max="10763" width="9" style="3147" customWidth="1"/>
    <col min="10764" max="10764" width="10.25" style="3147" bestFit="1" customWidth="1"/>
    <col min="10765" max="10768" width="9" style="3147" customWidth="1"/>
    <col min="10769" max="11008" width="9" style="3147"/>
    <col min="11009" max="11009" width="5.125" style="3147" customWidth="1"/>
    <col min="11010" max="11010" width="23.375" style="3147" customWidth="1"/>
    <col min="11011" max="11012" width="13.125" style="3147" customWidth="1"/>
    <col min="11013" max="11019" width="9" style="3147" customWidth="1"/>
    <col min="11020" max="11020" width="10.25" style="3147" bestFit="1" customWidth="1"/>
    <col min="11021" max="11024" width="9" style="3147" customWidth="1"/>
    <col min="11025" max="11264" width="9" style="3147"/>
    <col min="11265" max="11265" width="5.125" style="3147" customWidth="1"/>
    <col min="11266" max="11266" width="23.375" style="3147" customWidth="1"/>
    <col min="11267" max="11268" width="13.125" style="3147" customWidth="1"/>
    <col min="11269" max="11275" width="9" style="3147" customWidth="1"/>
    <col min="11276" max="11276" width="10.25" style="3147" bestFit="1" customWidth="1"/>
    <col min="11277" max="11280" width="9" style="3147" customWidth="1"/>
    <col min="11281" max="11520" width="9" style="3147"/>
    <col min="11521" max="11521" width="5.125" style="3147" customWidth="1"/>
    <col min="11522" max="11522" width="23.375" style="3147" customWidth="1"/>
    <col min="11523" max="11524" width="13.125" style="3147" customWidth="1"/>
    <col min="11525" max="11531" width="9" style="3147" customWidth="1"/>
    <col min="11532" max="11532" width="10.25" style="3147" bestFit="1" customWidth="1"/>
    <col min="11533" max="11536" width="9" style="3147" customWidth="1"/>
    <col min="11537" max="11776" width="9" style="3147"/>
    <col min="11777" max="11777" width="5.125" style="3147" customWidth="1"/>
    <col min="11778" max="11778" width="23.375" style="3147" customWidth="1"/>
    <col min="11779" max="11780" width="13.125" style="3147" customWidth="1"/>
    <col min="11781" max="11787" width="9" style="3147" customWidth="1"/>
    <col min="11788" max="11788" width="10.25" style="3147" bestFit="1" customWidth="1"/>
    <col min="11789" max="11792" width="9" style="3147" customWidth="1"/>
    <col min="11793" max="12032" width="9" style="3147"/>
    <col min="12033" max="12033" width="5.125" style="3147" customWidth="1"/>
    <col min="12034" max="12034" width="23.375" style="3147" customWidth="1"/>
    <col min="12035" max="12036" width="13.125" style="3147" customWidth="1"/>
    <col min="12037" max="12043" width="9" style="3147" customWidth="1"/>
    <col min="12044" max="12044" width="10.25" style="3147" bestFit="1" customWidth="1"/>
    <col min="12045" max="12048" width="9" style="3147" customWidth="1"/>
    <col min="12049" max="12288" width="9" style="3147"/>
    <col min="12289" max="12289" width="5.125" style="3147" customWidth="1"/>
    <col min="12290" max="12290" width="23.375" style="3147" customWidth="1"/>
    <col min="12291" max="12292" width="13.125" style="3147" customWidth="1"/>
    <col min="12293" max="12299" width="9" style="3147" customWidth="1"/>
    <col min="12300" max="12300" width="10.25" style="3147" bestFit="1" customWidth="1"/>
    <col min="12301" max="12304" width="9" style="3147" customWidth="1"/>
    <col min="12305" max="12544" width="9" style="3147"/>
    <col min="12545" max="12545" width="5.125" style="3147" customWidth="1"/>
    <col min="12546" max="12546" width="23.375" style="3147" customWidth="1"/>
    <col min="12547" max="12548" width="13.125" style="3147" customWidth="1"/>
    <col min="12549" max="12555" width="9" style="3147" customWidth="1"/>
    <col min="12556" max="12556" width="10.25" style="3147" bestFit="1" customWidth="1"/>
    <col min="12557" max="12560" width="9" style="3147" customWidth="1"/>
    <col min="12561" max="12800" width="9" style="3147"/>
    <col min="12801" max="12801" width="5.125" style="3147" customWidth="1"/>
    <col min="12802" max="12802" width="23.375" style="3147" customWidth="1"/>
    <col min="12803" max="12804" width="13.125" style="3147" customWidth="1"/>
    <col min="12805" max="12811" width="9" style="3147" customWidth="1"/>
    <col min="12812" max="12812" width="10.25" style="3147" bestFit="1" customWidth="1"/>
    <col min="12813" max="12816" width="9" style="3147" customWidth="1"/>
    <col min="12817" max="13056" width="9" style="3147"/>
    <col min="13057" max="13057" width="5.125" style="3147" customWidth="1"/>
    <col min="13058" max="13058" width="23.375" style="3147" customWidth="1"/>
    <col min="13059" max="13060" width="13.125" style="3147" customWidth="1"/>
    <col min="13061" max="13067" width="9" style="3147" customWidth="1"/>
    <col min="13068" max="13068" width="10.25" style="3147" bestFit="1" customWidth="1"/>
    <col min="13069" max="13072" width="9" style="3147" customWidth="1"/>
    <col min="13073" max="13312" width="9" style="3147"/>
    <col min="13313" max="13313" width="5.125" style="3147" customWidth="1"/>
    <col min="13314" max="13314" width="23.375" style="3147" customWidth="1"/>
    <col min="13315" max="13316" width="13.125" style="3147" customWidth="1"/>
    <col min="13317" max="13323" width="9" style="3147" customWidth="1"/>
    <col min="13324" max="13324" width="10.25" style="3147" bestFit="1" customWidth="1"/>
    <col min="13325" max="13328" width="9" style="3147" customWidth="1"/>
    <col min="13329" max="13568" width="9" style="3147"/>
    <col min="13569" max="13569" width="5.125" style="3147" customWidth="1"/>
    <col min="13570" max="13570" width="23.375" style="3147" customWidth="1"/>
    <col min="13571" max="13572" width="13.125" style="3147" customWidth="1"/>
    <col min="13573" max="13579" width="9" style="3147" customWidth="1"/>
    <col min="13580" max="13580" width="10.25" style="3147" bestFit="1" customWidth="1"/>
    <col min="13581" max="13584" width="9" style="3147" customWidth="1"/>
    <col min="13585" max="13824" width="9" style="3147"/>
    <col min="13825" max="13825" width="5.125" style="3147" customWidth="1"/>
    <col min="13826" max="13826" width="23.375" style="3147" customWidth="1"/>
    <col min="13827" max="13828" width="13.125" style="3147" customWidth="1"/>
    <col min="13829" max="13835" width="9" style="3147" customWidth="1"/>
    <col min="13836" max="13836" width="10.25" style="3147" bestFit="1" customWidth="1"/>
    <col min="13837" max="13840" width="9" style="3147" customWidth="1"/>
    <col min="13841" max="14080" width="9" style="3147"/>
    <col min="14081" max="14081" width="5.125" style="3147" customWidth="1"/>
    <col min="14082" max="14082" width="23.375" style="3147" customWidth="1"/>
    <col min="14083" max="14084" width="13.125" style="3147" customWidth="1"/>
    <col min="14085" max="14091" width="9" style="3147" customWidth="1"/>
    <col min="14092" max="14092" width="10.25" style="3147" bestFit="1" customWidth="1"/>
    <col min="14093" max="14096" width="9" style="3147" customWidth="1"/>
    <col min="14097" max="14336" width="9" style="3147"/>
    <col min="14337" max="14337" width="5.125" style="3147" customWidth="1"/>
    <col min="14338" max="14338" width="23.375" style="3147" customWidth="1"/>
    <col min="14339" max="14340" width="13.125" style="3147" customWidth="1"/>
    <col min="14341" max="14347" width="9" style="3147" customWidth="1"/>
    <col min="14348" max="14348" width="10.25" style="3147" bestFit="1" customWidth="1"/>
    <col min="14349" max="14352" width="9" style="3147" customWidth="1"/>
    <col min="14353" max="14592" width="9" style="3147"/>
    <col min="14593" max="14593" width="5.125" style="3147" customWidth="1"/>
    <col min="14594" max="14594" width="23.375" style="3147" customWidth="1"/>
    <col min="14595" max="14596" width="13.125" style="3147" customWidth="1"/>
    <col min="14597" max="14603" width="9" style="3147" customWidth="1"/>
    <col min="14604" max="14604" width="10.25" style="3147" bestFit="1" customWidth="1"/>
    <col min="14605" max="14608" width="9" style="3147" customWidth="1"/>
    <col min="14609" max="14848" width="9" style="3147"/>
    <col min="14849" max="14849" width="5.125" style="3147" customWidth="1"/>
    <col min="14850" max="14850" width="23.375" style="3147" customWidth="1"/>
    <col min="14851" max="14852" width="13.125" style="3147" customWidth="1"/>
    <col min="14853" max="14859" width="9" style="3147" customWidth="1"/>
    <col min="14860" max="14860" width="10.25" style="3147" bestFit="1" customWidth="1"/>
    <col min="14861" max="14864" width="9" style="3147" customWidth="1"/>
    <col min="14865" max="15104" width="9" style="3147"/>
    <col min="15105" max="15105" width="5.125" style="3147" customWidth="1"/>
    <col min="15106" max="15106" width="23.375" style="3147" customWidth="1"/>
    <col min="15107" max="15108" width="13.125" style="3147" customWidth="1"/>
    <col min="15109" max="15115" width="9" style="3147" customWidth="1"/>
    <col min="15116" max="15116" width="10.25" style="3147" bestFit="1" customWidth="1"/>
    <col min="15117" max="15120" width="9" style="3147" customWidth="1"/>
    <col min="15121" max="15360" width="9" style="3147"/>
    <col min="15361" max="15361" width="5.125" style="3147" customWidth="1"/>
    <col min="15362" max="15362" width="23.375" style="3147" customWidth="1"/>
    <col min="15363" max="15364" width="13.125" style="3147" customWidth="1"/>
    <col min="15365" max="15371" width="9" style="3147" customWidth="1"/>
    <col min="15372" max="15372" width="10.25" style="3147" bestFit="1" customWidth="1"/>
    <col min="15373" max="15376" width="9" style="3147" customWidth="1"/>
    <col min="15377" max="15616" width="9" style="3147"/>
    <col min="15617" max="15617" width="5.125" style="3147" customWidth="1"/>
    <col min="15618" max="15618" width="23.375" style="3147" customWidth="1"/>
    <col min="15619" max="15620" width="13.125" style="3147" customWidth="1"/>
    <col min="15621" max="15627" width="9" style="3147" customWidth="1"/>
    <col min="15628" max="15628" width="10.25" style="3147" bestFit="1" customWidth="1"/>
    <col min="15629" max="15632" width="9" style="3147" customWidth="1"/>
    <col min="15633" max="15872" width="9" style="3147"/>
    <col min="15873" max="15873" width="5.125" style="3147" customWidth="1"/>
    <col min="15874" max="15874" width="23.375" style="3147" customWidth="1"/>
    <col min="15875" max="15876" width="13.125" style="3147" customWidth="1"/>
    <col min="15877" max="15883" width="9" style="3147" customWidth="1"/>
    <col min="15884" max="15884" width="10.25" style="3147" bestFit="1" customWidth="1"/>
    <col min="15885" max="15888" width="9" style="3147" customWidth="1"/>
    <col min="15889" max="16128" width="9" style="3147"/>
    <col min="16129" max="16129" width="5.125" style="3147" customWidth="1"/>
    <col min="16130" max="16130" width="23.375" style="3147" customWidth="1"/>
    <col min="16131" max="16132" width="13.125" style="3147" customWidth="1"/>
    <col min="16133" max="16139" width="9" style="3147" customWidth="1"/>
    <col min="16140" max="16140" width="10.25" style="3147" bestFit="1" customWidth="1"/>
    <col min="16141" max="16144" width="9" style="3147" customWidth="1"/>
    <col min="16145" max="16384" width="9" style="3147"/>
  </cols>
  <sheetData>
    <row r="1" spans="1:20" s="3128" customFormat="1" ht="19.5" customHeight="1">
      <c r="A1" s="3626" t="s">
        <v>220</v>
      </c>
      <c r="B1" s="3626" t="s">
        <v>2976</v>
      </c>
      <c r="C1" s="3626" t="s">
        <v>2977</v>
      </c>
      <c r="D1" s="3626" t="s">
        <v>2978</v>
      </c>
      <c r="E1" s="3624" t="s">
        <v>3073</v>
      </c>
      <c r="F1" s="3626" t="s">
        <v>2979</v>
      </c>
      <c r="G1" s="3626"/>
      <c r="H1" s="3626"/>
      <c r="I1" s="3626" t="s">
        <v>2980</v>
      </c>
      <c r="J1" s="3626" t="s">
        <v>2981</v>
      </c>
      <c r="K1" s="3626" t="s">
        <v>2982</v>
      </c>
      <c r="L1" s="3627" t="s">
        <v>2983</v>
      </c>
      <c r="M1" s="3624" t="s">
        <v>3074</v>
      </c>
      <c r="N1" s="3626" t="s">
        <v>2984</v>
      </c>
      <c r="O1" s="3626" t="s">
        <v>2985</v>
      </c>
      <c r="P1" s="3628" t="s">
        <v>2986</v>
      </c>
      <c r="Q1" s="3626" t="s">
        <v>3075</v>
      </c>
      <c r="R1" s="3626" t="s">
        <v>3076</v>
      </c>
      <c r="S1" s="3626" t="s">
        <v>3077</v>
      </c>
      <c r="T1" s="3626" t="s">
        <v>3078</v>
      </c>
    </row>
    <row r="2" spans="1:20" s="3128" customFormat="1" ht="19.5" customHeight="1">
      <c r="A2" s="3626"/>
      <c r="B2" s="3626"/>
      <c r="C2" s="3626"/>
      <c r="D2" s="3626"/>
      <c r="E2" s="3625"/>
      <c r="F2" s="3129" t="s">
        <v>191</v>
      </c>
      <c r="G2" s="3129" t="s">
        <v>2987</v>
      </c>
      <c r="H2" s="3129" t="s">
        <v>2988</v>
      </c>
      <c r="I2" s="3626"/>
      <c r="J2" s="3626"/>
      <c r="K2" s="3626"/>
      <c r="L2" s="3627"/>
      <c r="M2" s="3625"/>
      <c r="N2" s="3626"/>
      <c r="O2" s="3626"/>
      <c r="P2" s="3628"/>
      <c r="Q2" s="3626"/>
      <c r="R2" s="3626"/>
      <c r="S2" s="3626"/>
      <c r="T2" s="3626"/>
    </row>
    <row r="3" spans="1:20" s="3182" customFormat="1" ht="30.75" customHeight="1">
      <c r="A3" s="3174">
        <v>31</v>
      </c>
      <c r="B3" s="3175" t="s">
        <v>3104</v>
      </c>
      <c r="C3" s="3174" t="s">
        <v>2994</v>
      </c>
      <c r="D3" s="3176">
        <v>39856</v>
      </c>
      <c r="E3" s="3174">
        <v>18103</v>
      </c>
      <c r="F3" s="3174">
        <v>6360.4070000000002</v>
      </c>
      <c r="G3" s="3174">
        <v>6360.4070000000002</v>
      </c>
      <c r="H3" s="3174">
        <v>0</v>
      </c>
      <c r="I3" s="3174">
        <v>15901.0175</v>
      </c>
      <c r="J3" s="3174" t="s">
        <v>2989</v>
      </c>
      <c r="K3" s="3174" t="s">
        <v>2995</v>
      </c>
      <c r="L3" s="3177" t="s">
        <v>2992</v>
      </c>
      <c r="M3" s="3174">
        <v>21200</v>
      </c>
      <c r="N3" s="3174" t="s">
        <v>3079</v>
      </c>
      <c r="O3" s="3174" t="s">
        <v>3080</v>
      </c>
      <c r="P3" s="3178">
        <v>26</v>
      </c>
      <c r="Q3" s="3179">
        <v>13332</v>
      </c>
      <c r="R3" s="3180">
        <v>2.5</v>
      </c>
      <c r="S3" s="3181">
        <v>33331</v>
      </c>
      <c r="T3" s="3182">
        <v>2222</v>
      </c>
    </row>
    <row r="4" spans="1:20" s="3128" customFormat="1" ht="30.75" hidden="1" customHeight="1">
      <c r="A4" s="3130">
        <v>32</v>
      </c>
      <c r="B4" s="3131" t="s">
        <v>2996</v>
      </c>
      <c r="C4" s="3130" t="s">
        <v>2997</v>
      </c>
      <c r="D4" s="3132">
        <v>39828</v>
      </c>
      <c r="E4" s="3130">
        <v>7288.13</v>
      </c>
      <c r="F4" s="3130">
        <v>20579.13</v>
      </c>
      <c r="G4" s="3130">
        <v>16066.607</v>
      </c>
      <c r="H4" s="3130">
        <v>4512.5230000000001</v>
      </c>
      <c r="I4" s="3130">
        <v>32133.214</v>
      </c>
      <c r="J4" s="3130" t="s">
        <v>2989</v>
      </c>
      <c r="K4" s="3130" t="s">
        <v>2998</v>
      </c>
      <c r="L4" s="3133" t="s">
        <v>2999</v>
      </c>
      <c r="M4" s="3130">
        <v>7288.13</v>
      </c>
      <c r="N4" s="3130" t="s">
        <v>3081</v>
      </c>
      <c r="O4" s="3130" t="s">
        <v>3082</v>
      </c>
      <c r="P4" s="3134">
        <v>0</v>
      </c>
      <c r="Q4" s="3135">
        <v>2268</v>
      </c>
      <c r="R4" s="3136">
        <v>2</v>
      </c>
      <c r="S4" s="3137">
        <v>4536</v>
      </c>
      <c r="T4" s="3128">
        <v>302</v>
      </c>
    </row>
    <row r="5" spans="1:20" s="3128" customFormat="1" ht="30.75" hidden="1" customHeight="1">
      <c r="A5" s="3130">
        <v>69</v>
      </c>
      <c r="B5" s="3131" t="s">
        <v>3001</v>
      </c>
      <c r="C5" s="3130" t="s">
        <v>3002</v>
      </c>
      <c r="D5" s="3132">
        <v>39933</v>
      </c>
      <c r="E5" s="3130">
        <v>38486.69</v>
      </c>
      <c r="F5" s="3130">
        <v>201994.5</v>
      </c>
      <c r="G5" s="3130">
        <v>178099.1</v>
      </c>
      <c r="H5" s="3130">
        <v>23895.397000000001</v>
      </c>
      <c r="I5" s="3130">
        <v>315580.46799999999</v>
      </c>
      <c r="J5" s="3130" t="s">
        <v>3000</v>
      </c>
      <c r="K5" s="3130" t="s">
        <v>3003</v>
      </c>
      <c r="L5" s="3133">
        <v>39948</v>
      </c>
      <c r="M5" s="3130">
        <v>38486.69</v>
      </c>
      <c r="N5" s="3130" t="s">
        <v>3083</v>
      </c>
      <c r="O5" s="3130" t="s">
        <v>3084</v>
      </c>
      <c r="P5" s="3134">
        <v>0</v>
      </c>
      <c r="Q5" s="3135">
        <v>1220</v>
      </c>
      <c r="R5" s="3136">
        <v>1.7719374662757981</v>
      </c>
      <c r="S5" s="3137">
        <v>2161</v>
      </c>
      <c r="T5" s="3128">
        <v>144</v>
      </c>
    </row>
    <row r="6" spans="1:20" s="3128" customFormat="1" ht="30.75" hidden="1" customHeight="1">
      <c r="A6" s="3130">
        <v>73</v>
      </c>
      <c r="B6" s="3131" t="s">
        <v>3004</v>
      </c>
      <c r="C6" s="3130" t="s">
        <v>3005</v>
      </c>
      <c r="D6" s="3132">
        <v>39938</v>
      </c>
      <c r="E6" s="3130">
        <v>38000</v>
      </c>
      <c r="F6" s="3130">
        <v>90063</v>
      </c>
      <c r="G6" s="3130">
        <v>63394</v>
      </c>
      <c r="H6" s="3130">
        <v>26669</v>
      </c>
      <c r="I6" s="3130">
        <v>136587</v>
      </c>
      <c r="J6" s="3130" t="s">
        <v>3000</v>
      </c>
      <c r="K6" s="3130" t="s">
        <v>3006</v>
      </c>
      <c r="L6" s="3133">
        <v>39952</v>
      </c>
      <c r="M6" s="3130">
        <v>62400</v>
      </c>
      <c r="N6" s="3130" t="s">
        <v>3085</v>
      </c>
      <c r="O6" s="3130" t="s">
        <v>3084</v>
      </c>
      <c r="P6" s="3134">
        <v>80</v>
      </c>
      <c r="Q6" s="3135">
        <v>4569</v>
      </c>
      <c r="R6" s="3136">
        <v>2.1545729879799351</v>
      </c>
      <c r="S6" s="3137">
        <v>9843</v>
      </c>
      <c r="T6" s="3128">
        <v>656</v>
      </c>
    </row>
    <row r="7" spans="1:20" s="3128" customFormat="1" ht="30.75" hidden="1" customHeight="1">
      <c r="A7" s="3130">
        <v>74</v>
      </c>
      <c r="B7" s="3131" t="s">
        <v>3007</v>
      </c>
      <c r="C7" s="3130" t="s">
        <v>3008</v>
      </c>
      <c r="D7" s="3132">
        <v>39940</v>
      </c>
      <c r="E7" s="3130">
        <v>29925</v>
      </c>
      <c r="F7" s="3130">
        <v>42549.96</v>
      </c>
      <c r="G7" s="3130">
        <v>32299.953000000001</v>
      </c>
      <c r="H7" s="3130">
        <v>10250.008</v>
      </c>
      <c r="I7" s="3130">
        <v>72500</v>
      </c>
      <c r="J7" s="3130" t="s">
        <v>3000</v>
      </c>
      <c r="K7" s="3130" t="s">
        <v>3009</v>
      </c>
      <c r="L7" s="3133">
        <v>39954</v>
      </c>
      <c r="M7" s="3130">
        <v>102200</v>
      </c>
      <c r="N7" s="3130" t="s">
        <v>3086</v>
      </c>
      <c r="O7" s="3130" t="s">
        <v>3080</v>
      </c>
      <c r="P7" s="3134">
        <v>89</v>
      </c>
      <c r="Q7" s="3135">
        <v>14097</v>
      </c>
      <c r="R7" s="3136">
        <v>2.2445853094584995</v>
      </c>
      <c r="S7" s="3137">
        <v>31641</v>
      </c>
      <c r="T7" s="3128">
        <v>2109</v>
      </c>
    </row>
    <row r="8" spans="1:20" s="3128" customFormat="1" ht="30.75" hidden="1" customHeight="1">
      <c r="A8" s="3130">
        <v>81</v>
      </c>
      <c r="B8" s="3131" t="s">
        <v>3010</v>
      </c>
      <c r="C8" s="3130" t="s">
        <v>3011</v>
      </c>
      <c r="D8" s="3132">
        <v>39947</v>
      </c>
      <c r="E8" s="3130">
        <v>769.80100000000004</v>
      </c>
      <c r="F8" s="3130">
        <v>3240.28</v>
      </c>
      <c r="G8" s="3130">
        <v>3240.28</v>
      </c>
      <c r="H8" s="3130">
        <v>0</v>
      </c>
      <c r="I8" s="3130">
        <v>7128.616</v>
      </c>
      <c r="J8" s="3130" t="s">
        <v>3000</v>
      </c>
      <c r="K8" s="3130" t="s">
        <v>3012</v>
      </c>
      <c r="L8" s="3133">
        <v>39964</v>
      </c>
      <c r="M8" s="3130">
        <v>769.80100000000004</v>
      </c>
      <c r="N8" s="3130" t="s">
        <v>3087</v>
      </c>
      <c r="O8" s="3130" t="s">
        <v>3084</v>
      </c>
      <c r="P8" s="3134">
        <v>0</v>
      </c>
      <c r="Q8" s="3135">
        <v>1080</v>
      </c>
      <c r="R8" s="3136">
        <v>2.1999999999999997</v>
      </c>
      <c r="S8" s="3137">
        <v>2376</v>
      </c>
      <c r="T8" s="3128">
        <v>158</v>
      </c>
    </row>
    <row r="9" spans="1:20" s="3128" customFormat="1" ht="30.75" hidden="1" customHeight="1">
      <c r="A9" s="3130">
        <v>87</v>
      </c>
      <c r="B9" s="3131" t="s">
        <v>3013</v>
      </c>
      <c r="C9" s="3130" t="s">
        <v>3014</v>
      </c>
      <c r="D9" s="3132">
        <v>39961</v>
      </c>
      <c r="E9" s="3130">
        <v>7670.64</v>
      </c>
      <c r="F9" s="3130">
        <v>21876.67</v>
      </c>
      <c r="G9" s="3130">
        <v>18825.516</v>
      </c>
      <c r="H9" s="3130">
        <v>3051.1509999999998</v>
      </c>
      <c r="I9" s="3130">
        <v>52711.445</v>
      </c>
      <c r="J9" s="3130" t="s">
        <v>3000</v>
      </c>
      <c r="K9" s="3130" t="s">
        <v>3012</v>
      </c>
      <c r="L9" s="3133">
        <v>39976</v>
      </c>
      <c r="M9" s="3130">
        <v>7670.64</v>
      </c>
      <c r="N9" s="3130" t="s">
        <v>3088</v>
      </c>
      <c r="O9" s="3130" t="s">
        <v>3084</v>
      </c>
      <c r="P9" s="3134">
        <v>0</v>
      </c>
      <c r="Q9" s="3135">
        <v>1455</v>
      </c>
      <c r="R9" s="3136">
        <v>2.8000000106238789</v>
      </c>
      <c r="S9" s="3137">
        <v>4075</v>
      </c>
      <c r="T9" s="3128">
        <v>272</v>
      </c>
    </row>
    <row r="10" spans="1:20" s="3128" customFormat="1" ht="30.75" hidden="1" customHeight="1">
      <c r="A10" s="3130">
        <v>96</v>
      </c>
      <c r="B10" s="3131" t="s">
        <v>3015</v>
      </c>
      <c r="C10" s="3130" t="s">
        <v>3016</v>
      </c>
      <c r="D10" s="3132">
        <v>39975</v>
      </c>
      <c r="E10" s="3130">
        <v>14276.65</v>
      </c>
      <c r="F10" s="3130">
        <v>211429.5</v>
      </c>
      <c r="G10" s="3130">
        <v>51495.906999999999</v>
      </c>
      <c r="H10" s="3130">
        <v>159933.61199999999</v>
      </c>
      <c r="I10" s="3130">
        <v>71290.491999999998</v>
      </c>
      <c r="J10" s="3130" t="s">
        <v>3000</v>
      </c>
      <c r="K10" s="3130" t="s">
        <v>3017</v>
      </c>
      <c r="L10" s="3133">
        <v>39989</v>
      </c>
      <c r="M10" s="3130">
        <v>30400</v>
      </c>
      <c r="N10" s="3130" t="s">
        <v>3089</v>
      </c>
      <c r="O10" s="3130" t="s">
        <v>3084</v>
      </c>
      <c r="P10" s="3134">
        <v>32</v>
      </c>
      <c r="Q10" s="3135">
        <v>4264</v>
      </c>
      <c r="R10" s="3136">
        <v>1.384391423574693</v>
      </c>
      <c r="S10" s="3137">
        <v>5903</v>
      </c>
      <c r="T10" s="3128">
        <v>394</v>
      </c>
    </row>
    <row r="11" spans="1:20" s="3128" customFormat="1" ht="30.75" hidden="1" customHeight="1">
      <c r="A11" s="3130">
        <v>102</v>
      </c>
      <c r="B11" s="3131" t="s">
        <v>3019</v>
      </c>
      <c r="C11" s="3130" t="s">
        <v>3020</v>
      </c>
      <c r="D11" s="3132">
        <v>39975</v>
      </c>
      <c r="E11" s="3130">
        <v>9540</v>
      </c>
      <c r="F11" s="3130">
        <v>12542.27</v>
      </c>
      <c r="G11" s="3130">
        <v>11216.148999999999</v>
      </c>
      <c r="H11" s="3130">
        <v>1326.123</v>
      </c>
      <c r="I11" s="3130">
        <v>31405.22</v>
      </c>
      <c r="J11" s="3130" t="s">
        <v>3000</v>
      </c>
      <c r="K11" s="3130" t="s">
        <v>3021</v>
      </c>
      <c r="L11" s="3133">
        <v>39990</v>
      </c>
      <c r="M11" s="3130">
        <v>18800</v>
      </c>
      <c r="N11" s="3130" t="s">
        <v>3090</v>
      </c>
      <c r="O11" s="3130" t="s">
        <v>3084</v>
      </c>
      <c r="P11" s="3134">
        <v>90</v>
      </c>
      <c r="Q11" s="3135">
        <v>5986</v>
      </c>
      <c r="R11" s="3136">
        <v>2.8000002496400507</v>
      </c>
      <c r="S11" s="3137">
        <v>16762</v>
      </c>
      <c r="T11" s="3128">
        <v>1117</v>
      </c>
    </row>
    <row r="12" spans="1:20" s="3146" customFormat="1" ht="45" hidden="1" customHeight="1">
      <c r="A12" s="3138">
        <v>105</v>
      </c>
      <c r="B12" s="3139" t="s">
        <v>3022</v>
      </c>
      <c r="C12" s="3138" t="s">
        <v>3023</v>
      </c>
      <c r="D12" s="3140">
        <v>39975</v>
      </c>
      <c r="E12" s="3138">
        <v>87373.59</v>
      </c>
      <c r="F12" s="3138">
        <v>59824.52</v>
      </c>
      <c r="G12" s="3138">
        <v>55523.862000000001</v>
      </c>
      <c r="H12" s="3138">
        <v>4300.6530000000002</v>
      </c>
      <c r="I12" s="3138">
        <v>148809.23000000001</v>
      </c>
      <c r="J12" s="3138" t="s">
        <v>3000</v>
      </c>
      <c r="K12" s="3138" t="s">
        <v>3003</v>
      </c>
      <c r="L12" s="3141">
        <v>39990</v>
      </c>
      <c r="M12" s="3138">
        <v>196000</v>
      </c>
      <c r="N12" s="3138" t="s">
        <v>3091</v>
      </c>
      <c r="O12" s="3138" t="s">
        <v>3084</v>
      </c>
      <c r="P12" s="3142">
        <v>46</v>
      </c>
      <c r="Q12" s="3143">
        <v>13171</v>
      </c>
      <c r="R12" s="3144">
        <v>2.6800950913681043</v>
      </c>
      <c r="S12" s="3145">
        <v>35300</v>
      </c>
      <c r="T12" s="3146">
        <v>2353</v>
      </c>
    </row>
    <row r="13" spans="1:20" s="3128" customFormat="1" ht="36.75" hidden="1" customHeight="1">
      <c r="A13" s="3130">
        <v>108</v>
      </c>
      <c r="B13" s="3131" t="s">
        <v>3024</v>
      </c>
      <c r="C13" s="3130" t="s">
        <v>3025</v>
      </c>
      <c r="D13" s="3132">
        <v>39953</v>
      </c>
      <c r="E13" s="3130">
        <v>24699.919999999998</v>
      </c>
      <c r="F13" s="3130">
        <v>65446.62</v>
      </c>
      <c r="G13" s="3130">
        <v>60075.228999999999</v>
      </c>
      <c r="H13" s="3130">
        <v>5371.3850000000002</v>
      </c>
      <c r="I13" s="3130">
        <v>98956.820999999996</v>
      </c>
      <c r="J13" s="3130" t="s">
        <v>3000</v>
      </c>
      <c r="K13" s="3130" t="s">
        <v>2998</v>
      </c>
      <c r="L13" s="3133">
        <v>39994</v>
      </c>
      <c r="M13" s="3130">
        <v>24950</v>
      </c>
      <c r="N13" s="3130" t="s">
        <v>3092</v>
      </c>
      <c r="O13" s="3130" t="s">
        <v>3082</v>
      </c>
      <c r="P13" s="3134">
        <v>0</v>
      </c>
      <c r="Q13" s="3135">
        <v>2521</v>
      </c>
      <c r="R13" s="3136">
        <v>1.6472150443238427</v>
      </c>
      <c r="S13" s="3137">
        <v>4153</v>
      </c>
      <c r="T13" s="3128">
        <v>277</v>
      </c>
    </row>
    <row r="14" spans="1:20" s="3209" customFormat="1" ht="30.75" hidden="1" customHeight="1">
      <c r="A14" s="3201">
        <v>110</v>
      </c>
      <c r="B14" s="3202" t="s">
        <v>3206</v>
      </c>
      <c r="C14" s="3201" t="s">
        <v>3026</v>
      </c>
      <c r="D14" s="3203">
        <v>39980</v>
      </c>
      <c r="E14" s="3201">
        <v>164700</v>
      </c>
      <c r="F14" s="3201">
        <v>155919.79999999999</v>
      </c>
      <c r="G14" s="3201">
        <v>119057.16499999999</v>
      </c>
      <c r="H14" s="3201">
        <v>36862.6</v>
      </c>
      <c r="I14" s="3201">
        <v>280121.44280000002</v>
      </c>
      <c r="J14" s="3201" t="s">
        <v>3000</v>
      </c>
      <c r="K14" s="3201" t="s">
        <v>3009</v>
      </c>
      <c r="L14" s="3204">
        <v>39994</v>
      </c>
      <c r="M14" s="3201">
        <v>406000</v>
      </c>
      <c r="N14" s="3201" t="s">
        <v>3093</v>
      </c>
      <c r="O14" s="3201" t="s">
        <v>3094</v>
      </c>
      <c r="P14" s="3205">
        <v>97</v>
      </c>
      <c r="Q14" s="3206">
        <v>14494</v>
      </c>
      <c r="R14" s="3207">
        <v>2.3528314553769194</v>
      </c>
      <c r="S14" s="3208">
        <v>34101</v>
      </c>
      <c r="T14" s="3209">
        <v>2273</v>
      </c>
    </row>
    <row r="15" spans="1:20" s="3128" customFormat="1" ht="30.75" hidden="1" customHeight="1">
      <c r="A15" s="3130">
        <v>111</v>
      </c>
      <c r="B15" s="3131" t="s">
        <v>3027</v>
      </c>
      <c r="C15" s="3130" t="s">
        <v>3018</v>
      </c>
      <c r="D15" s="3132">
        <v>39980</v>
      </c>
      <c r="E15" s="3130">
        <v>43325.15</v>
      </c>
      <c r="F15" s="3130">
        <v>187342.6</v>
      </c>
      <c r="G15" s="3130">
        <v>87375.75</v>
      </c>
      <c r="H15" s="3130">
        <v>99966.81</v>
      </c>
      <c r="I15" s="3130">
        <v>188485.46400000001</v>
      </c>
      <c r="J15" s="3130" t="s">
        <v>3000</v>
      </c>
      <c r="K15" s="3130" t="s">
        <v>3028</v>
      </c>
      <c r="L15" s="3133">
        <v>39994</v>
      </c>
      <c r="M15" s="3130">
        <v>66500</v>
      </c>
      <c r="N15" s="3130" t="s">
        <v>3095</v>
      </c>
      <c r="O15" s="3130" t="s">
        <v>3080</v>
      </c>
      <c r="P15" s="3134">
        <v>113</v>
      </c>
      <c r="Q15" s="3135">
        <v>3528</v>
      </c>
      <c r="R15" s="3136">
        <v>2.1571827881305738</v>
      </c>
      <c r="S15" s="3137">
        <v>7611</v>
      </c>
      <c r="T15" s="3128">
        <v>507</v>
      </c>
    </row>
    <row r="16" spans="1:20" s="3128" customFormat="1" ht="30.75" hidden="1" customHeight="1">
      <c r="A16" s="3130">
        <v>112</v>
      </c>
      <c r="B16" s="3131" t="s">
        <v>3029</v>
      </c>
      <c r="C16" s="3130" t="s">
        <v>2991</v>
      </c>
      <c r="D16" s="3132">
        <v>39980</v>
      </c>
      <c r="E16" s="3130">
        <v>38489.660000000003</v>
      </c>
      <c r="F16" s="3130">
        <v>103210.3</v>
      </c>
      <c r="G16" s="3130">
        <v>69940.05</v>
      </c>
      <c r="H16" s="3130">
        <v>33270.269999999997</v>
      </c>
      <c r="I16" s="3130">
        <v>133559.32</v>
      </c>
      <c r="J16" s="3130" t="s">
        <v>3000</v>
      </c>
      <c r="K16" s="3130" t="s">
        <v>3009</v>
      </c>
      <c r="L16" s="3133">
        <v>39995</v>
      </c>
      <c r="M16" s="3130">
        <v>82000</v>
      </c>
      <c r="N16" s="3130" t="s">
        <v>3096</v>
      </c>
      <c r="O16" s="3130" t="s">
        <v>3082</v>
      </c>
      <c r="P16" s="3134">
        <v>52</v>
      </c>
      <c r="Q16" s="3135">
        <v>6140</v>
      </c>
      <c r="R16" s="3136">
        <v>1.909625743761979</v>
      </c>
      <c r="S16" s="3137">
        <v>11724</v>
      </c>
      <c r="T16" s="3128">
        <v>782</v>
      </c>
    </row>
    <row r="17" spans="1:20" s="3128" customFormat="1" ht="30.75" hidden="1" customHeight="1">
      <c r="A17" s="3130">
        <v>121</v>
      </c>
      <c r="B17" s="3131" t="s">
        <v>3030</v>
      </c>
      <c r="C17" s="3130" t="s">
        <v>3031</v>
      </c>
      <c r="D17" s="3132">
        <v>39980</v>
      </c>
      <c r="E17" s="3130">
        <v>9777.4791999999998</v>
      </c>
      <c r="F17" s="3130">
        <v>145965.6</v>
      </c>
      <c r="G17" s="3130">
        <v>77813.183999999994</v>
      </c>
      <c r="H17" s="3130">
        <v>68152.391000000003</v>
      </c>
      <c r="I17" s="3130">
        <v>172891.84349999999</v>
      </c>
      <c r="J17" s="3130" t="s">
        <v>3000</v>
      </c>
      <c r="K17" s="3130" t="s">
        <v>3032</v>
      </c>
      <c r="L17" s="3133">
        <v>40004</v>
      </c>
      <c r="M17" s="3130">
        <v>13900</v>
      </c>
      <c r="N17" s="3130" t="s">
        <v>3097</v>
      </c>
      <c r="O17" s="3130" t="s">
        <v>3080</v>
      </c>
      <c r="P17" s="3134">
        <v>24</v>
      </c>
      <c r="Q17" s="3135">
        <v>804</v>
      </c>
      <c r="R17" s="3136">
        <v>2.2218836784779299</v>
      </c>
      <c r="S17" s="3137">
        <v>1786</v>
      </c>
      <c r="T17" s="3128">
        <v>119</v>
      </c>
    </row>
    <row r="18" spans="1:20" s="3128" customFormat="1" ht="30.75" hidden="1" customHeight="1">
      <c r="A18" s="3130">
        <v>138</v>
      </c>
      <c r="B18" s="3131" t="s">
        <v>3033</v>
      </c>
      <c r="C18" s="3130" t="s">
        <v>3034</v>
      </c>
      <c r="D18" s="3132">
        <v>40014</v>
      </c>
      <c r="E18" s="3130">
        <v>46309.14</v>
      </c>
      <c r="F18" s="3130">
        <v>454073.1</v>
      </c>
      <c r="G18" s="3130">
        <v>141497.78200000001</v>
      </c>
      <c r="H18" s="3130">
        <v>312575.33100000001</v>
      </c>
      <c r="I18" s="3130">
        <v>149772</v>
      </c>
      <c r="J18" s="3130" t="s">
        <v>3000</v>
      </c>
      <c r="K18" s="3130" t="s">
        <v>3035</v>
      </c>
      <c r="L18" s="3133">
        <v>40028</v>
      </c>
      <c r="M18" s="3130">
        <v>47309.14</v>
      </c>
      <c r="N18" s="3130" t="s">
        <v>3098</v>
      </c>
      <c r="O18" s="3130" t="s">
        <v>3084</v>
      </c>
      <c r="P18" s="3134">
        <v>0</v>
      </c>
      <c r="Q18" s="3135">
        <v>3159</v>
      </c>
      <c r="R18" s="3136">
        <v>1.0584759554746943</v>
      </c>
      <c r="S18" s="3137">
        <v>3343</v>
      </c>
      <c r="T18" s="3128">
        <v>223</v>
      </c>
    </row>
    <row r="19" spans="1:20" s="3128" customFormat="1" ht="30.75" hidden="1" customHeight="1">
      <c r="A19" s="3130">
        <v>139</v>
      </c>
      <c r="B19" s="3131" t="s">
        <v>3036</v>
      </c>
      <c r="C19" s="3130" t="s">
        <v>3037</v>
      </c>
      <c r="D19" s="3132">
        <v>40014</v>
      </c>
      <c r="E19" s="3130">
        <v>140381</v>
      </c>
      <c r="F19" s="3130">
        <v>453924.1</v>
      </c>
      <c r="G19" s="3130">
        <v>330159.22399999999</v>
      </c>
      <c r="H19" s="3130">
        <v>123764.863</v>
      </c>
      <c r="I19" s="3130">
        <v>712184.90899999999</v>
      </c>
      <c r="J19" s="3130" t="s">
        <v>3000</v>
      </c>
      <c r="K19" s="3130" t="s">
        <v>3038</v>
      </c>
      <c r="L19" s="3133">
        <v>40028</v>
      </c>
      <c r="M19" s="3130">
        <v>200200</v>
      </c>
      <c r="N19" s="3130" t="s">
        <v>3099</v>
      </c>
      <c r="O19" s="3130" t="s">
        <v>3084</v>
      </c>
      <c r="P19" s="3134">
        <v>106</v>
      </c>
      <c r="Q19" s="3135">
        <v>2811</v>
      </c>
      <c r="R19" s="3136">
        <v>2.1570952959351515</v>
      </c>
      <c r="S19" s="3137">
        <v>6064</v>
      </c>
      <c r="T19" s="3128">
        <v>404</v>
      </c>
    </row>
    <row r="20" spans="1:20" s="3128" customFormat="1" ht="30.75" hidden="1" customHeight="1">
      <c r="A20" s="3130">
        <v>153</v>
      </c>
      <c r="B20" s="3131" t="s">
        <v>3039</v>
      </c>
      <c r="C20" s="3130" t="s">
        <v>3040</v>
      </c>
      <c r="D20" s="3132">
        <v>40031</v>
      </c>
      <c r="E20" s="3130">
        <v>36847</v>
      </c>
      <c r="F20" s="3130">
        <v>89793.84</v>
      </c>
      <c r="G20" s="3130">
        <v>84140.423999999999</v>
      </c>
      <c r="H20" s="3130">
        <v>5653.4219999999996</v>
      </c>
      <c r="I20" s="3130">
        <v>201721.06</v>
      </c>
      <c r="J20" s="3130" t="s">
        <v>3000</v>
      </c>
      <c r="K20" s="3130" t="s">
        <v>3028</v>
      </c>
      <c r="L20" s="3133">
        <v>40045</v>
      </c>
      <c r="M20" s="3130">
        <v>71200</v>
      </c>
      <c r="N20" s="3130" t="s">
        <v>3100</v>
      </c>
      <c r="O20" s="3130" t="s">
        <v>3084</v>
      </c>
      <c r="P20" s="3134">
        <v>96</v>
      </c>
      <c r="Q20" s="3135">
        <v>3530</v>
      </c>
      <c r="R20" s="3136">
        <v>2.3974333668677494</v>
      </c>
      <c r="S20" s="3137">
        <v>8462</v>
      </c>
      <c r="T20" s="3128">
        <v>564</v>
      </c>
    </row>
    <row r="21" spans="1:20" s="3128" customFormat="1" ht="30.75" hidden="1" customHeight="1">
      <c r="A21" s="3130">
        <v>158</v>
      </c>
      <c r="B21" s="3131" t="s">
        <v>3041</v>
      </c>
      <c r="C21" s="3130" t="s">
        <v>3042</v>
      </c>
      <c r="D21" s="3132">
        <v>40038</v>
      </c>
      <c r="E21" s="3130">
        <v>29281.759999999998</v>
      </c>
      <c r="F21" s="3130">
        <v>70266.59</v>
      </c>
      <c r="G21" s="3130">
        <v>38320.358999999997</v>
      </c>
      <c r="H21" s="3130">
        <v>31946.238000000001</v>
      </c>
      <c r="I21" s="3130">
        <v>77780.899999999994</v>
      </c>
      <c r="J21" s="3130" t="s">
        <v>3000</v>
      </c>
      <c r="K21" s="3130" t="s">
        <v>3003</v>
      </c>
      <c r="L21" s="3133">
        <v>40052</v>
      </c>
      <c r="M21" s="3130">
        <v>40150</v>
      </c>
      <c r="N21" s="3130" t="s">
        <v>3101</v>
      </c>
      <c r="O21" s="3130" t="s">
        <v>3082</v>
      </c>
      <c r="P21" s="3134">
        <v>1</v>
      </c>
      <c r="Q21" s="3135">
        <v>5162</v>
      </c>
      <c r="R21" s="3136">
        <v>2.0297539488082563</v>
      </c>
      <c r="S21" s="3137">
        <v>10477</v>
      </c>
      <c r="T21" s="3128">
        <v>699</v>
      </c>
    </row>
    <row r="22" spans="1:20" s="3182" customFormat="1" ht="30.75" customHeight="1">
      <c r="A22" s="3174">
        <v>160</v>
      </c>
      <c r="B22" s="3175" t="s">
        <v>3043</v>
      </c>
      <c r="C22" s="3174" t="s">
        <v>3044</v>
      </c>
      <c r="D22" s="3176">
        <v>40042</v>
      </c>
      <c r="E22" s="3174">
        <v>15244</v>
      </c>
      <c r="F22" s="3174">
        <v>18642.2</v>
      </c>
      <c r="G22" s="3174">
        <v>14300</v>
      </c>
      <c r="H22" s="3174">
        <v>4342.2</v>
      </c>
      <c r="I22" s="3174">
        <v>37750</v>
      </c>
      <c r="J22" s="3174" t="s">
        <v>3000</v>
      </c>
      <c r="K22" s="3174" t="s">
        <v>3045</v>
      </c>
      <c r="L22" s="3177">
        <v>40056</v>
      </c>
      <c r="M22" s="3174">
        <v>51600</v>
      </c>
      <c r="N22" s="3174" t="s">
        <v>3102</v>
      </c>
      <c r="O22" s="3174" t="s">
        <v>3082</v>
      </c>
      <c r="P22" s="3178">
        <v>122</v>
      </c>
      <c r="Q22" s="3179">
        <v>13669</v>
      </c>
      <c r="R22" s="3180">
        <v>2.63986013986014</v>
      </c>
      <c r="S22" s="3181">
        <v>36084</v>
      </c>
      <c r="T22" s="3182">
        <v>2406</v>
      </c>
    </row>
    <row r="23" spans="1:20" s="3146" customFormat="1" ht="30.75" hidden="1" customHeight="1">
      <c r="A23" s="3138">
        <v>167</v>
      </c>
      <c r="B23" s="3139" t="s">
        <v>3046</v>
      </c>
      <c r="C23" s="3183" t="s">
        <v>3205</v>
      </c>
      <c r="D23" s="3140">
        <v>40045</v>
      </c>
      <c r="E23" s="3138">
        <v>48790</v>
      </c>
      <c r="F23" s="3138">
        <v>67480.479999999996</v>
      </c>
      <c r="G23" s="3138">
        <v>34851.633000000002</v>
      </c>
      <c r="H23" s="3138">
        <v>32628.85</v>
      </c>
      <c r="I23" s="3138">
        <v>87129</v>
      </c>
      <c r="J23" s="3138" t="s">
        <v>3000</v>
      </c>
      <c r="K23" s="3138" t="s">
        <v>3009</v>
      </c>
      <c r="L23" s="3141">
        <v>40063</v>
      </c>
      <c r="M23" s="3138">
        <v>130000</v>
      </c>
      <c r="N23" s="3138" t="s">
        <v>3103</v>
      </c>
      <c r="O23" s="3138" t="s">
        <v>3084</v>
      </c>
      <c r="P23" s="3142">
        <v>95</v>
      </c>
      <c r="Q23" s="3143">
        <v>14920</v>
      </c>
      <c r="R23" s="3144">
        <v>2.4999976328225424</v>
      </c>
      <c r="S23" s="3145">
        <v>37301</v>
      </c>
      <c r="T23" s="3146">
        <v>2487</v>
      </c>
    </row>
    <row r="24" spans="1:20" s="3128" customFormat="1" ht="30.75" hidden="1" customHeight="1">
      <c r="A24" s="3130">
        <v>219</v>
      </c>
      <c r="B24" s="3131" t="s">
        <v>3049</v>
      </c>
      <c r="C24" s="3130" t="s">
        <v>3050</v>
      </c>
      <c r="D24" s="3132">
        <v>40137</v>
      </c>
      <c r="E24" s="3130">
        <v>85120</v>
      </c>
      <c r="F24" s="3130">
        <v>541103.4</v>
      </c>
      <c r="G24" s="3130">
        <v>244519.1</v>
      </c>
      <c r="H24" s="3130">
        <v>296584.3</v>
      </c>
      <c r="I24" s="3130">
        <v>268131</v>
      </c>
      <c r="J24" s="3130" t="s">
        <v>3000</v>
      </c>
      <c r="K24" s="3130" t="s">
        <v>3051</v>
      </c>
      <c r="L24" s="3133">
        <v>40151</v>
      </c>
      <c r="M24" s="3130">
        <v>483000</v>
      </c>
      <c r="N24" s="3130" t="s">
        <v>3052</v>
      </c>
      <c r="O24" s="3130" t="s">
        <v>2990</v>
      </c>
      <c r="P24" s="3134">
        <v>169</v>
      </c>
      <c r="Q24" s="3135">
        <v>18014</v>
      </c>
      <c r="R24" s="3136">
        <v>1.0965646446433019</v>
      </c>
      <c r="S24" s="3137">
        <v>19753</v>
      </c>
      <c r="T24" s="3128">
        <v>1317</v>
      </c>
    </row>
    <row r="25" spans="1:20" s="3128" customFormat="1" ht="30.75" hidden="1" customHeight="1">
      <c r="A25" s="3130">
        <v>231</v>
      </c>
      <c r="B25" s="3131" t="s">
        <v>3053</v>
      </c>
      <c r="C25" s="3130" t="s">
        <v>2991</v>
      </c>
      <c r="D25" s="3132">
        <v>40157</v>
      </c>
      <c r="E25" s="3130">
        <v>168955</v>
      </c>
      <c r="F25" s="3130">
        <v>220352.7</v>
      </c>
      <c r="G25" s="3130">
        <v>113834.4</v>
      </c>
      <c r="H25" s="3130">
        <v>106518.3</v>
      </c>
      <c r="I25" s="3130">
        <v>282067.5</v>
      </c>
      <c r="J25" s="3130" t="s">
        <v>3000</v>
      </c>
      <c r="K25" s="3130" t="s">
        <v>3054</v>
      </c>
      <c r="L25" s="3133">
        <v>40171</v>
      </c>
      <c r="M25" s="3130">
        <v>300500</v>
      </c>
      <c r="N25" s="3130" t="s">
        <v>3055</v>
      </c>
      <c r="O25" s="3130" t="s">
        <v>3047</v>
      </c>
      <c r="P25" s="3134">
        <v>97</v>
      </c>
      <c r="Q25" s="3135">
        <v>10653</v>
      </c>
      <c r="R25" s="3136">
        <v>2.4778757563618732</v>
      </c>
      <c r="S25" s="3137">
        <v>26398</v>
      </c>
      <c r="T25" s="3128">
        <v>1760</v>
      </c>
    </row>
    <row r="26" spans="1:20" s="3128" customFormat="1" ht="30.75" hidden="1" customHeight="1">
      <c r="A26" s="3130">
        <v>232</v>
      </c>
      <c r="B26" s="3131" t="s">
        <v>3056</v>
      </c>
      <c r="C26" s="3130" t="s">
        <v>2991</v>
      </c>
      <c r="D26" s="3132">
        <v>40157</v>
      </c>
      <c r="E26" s="3130">
        <v>85154</v>
      </c>
      <c r="F26" s="3130">
        <v>79174.679999999993</v>
      </c>
      <c r="G26" s="3130">
        <v>64878.11</v>
      </c>
      <c r="H26" s="3130">
        <v>14296.57</v>
      </c>
      <c r="I26" s="3130">
        <v>146864.20000000001</v>
      </c>
      <c r="J26" s="3130" t="s">
        <v>3000</v>
      </c>
      <c r="K26" s="3130" t="s">
        <v>3057</v>
      </c>
      <c r="L26" s="3133">
        <v>40171</v>
      </c>
      <c r="M26" s="3130">
        <v>160500</v>
      </c>
      <c r="N26" s="3130" t="s">
        <v>3058</v>
      </c>
      <c r="O26" s="3130" t="s">
        <v>3047</v>
      </c>
      <c r="P26" s="3134">
        <v>57</v>
      </c>
      <c r="Q26" s="3135">
        <v>10928</v>
      </c>
      <c r="R26" s="3136">
        <v>2.2636941797472216</v>
      </c>
      <c r="S26" s="3137">
        <v>24739</v>
      </c>
      <c r="T26" s="3128">
        <v>1649</v>
      </c>
    </row>
    <row r="27" spans="1:20" s="3128" customFormat="1" ht="30.75" hidden="1" customHeight="1">
      <c r="A27" s="3130">
        <v>235</v>
      </c>
      <c r="B27" s="3131" t="s">
        <v>3059</v>
      </c>
      <c r="C27" s="3130" t="s">
        <v>3060</v>
      </c>
      <c r="D27" s="3132">
        <v>40163</v>
      </c>
      <c r="E27" s="3130">
        <v>33075</v>
      </c>
      <c r="F27" s="3130">
        <v>271819.8</v>
      </c>
      <c r="G27" s="3130">
        <v>176908.3</v>
      </c>
      <c r="H27" s="3130">
        <v>94911.52</v>
      </c>
      <c r="I27" s="3130">
        <v>346367.3</v>
      </c>
      <c r="J27" s="3130" t="s">
        <v>3000</v>
      </c>
      <c r="K27" s="3130" t="s">
        <v>3045</v>
      </c>
      <c r="L27" s="3133">
        <v>40177</v>
      </c>
      <c r="M27" s="3130">
        <v>200500</v>
      </c>
      <c r="N27" s="3130" t="s">
        <v>3061</v>
      </c>
      <c r="O27" s="3130" t="s">
        <v>2990</v>
      </c>
      <c r="P27" s="3134">
        <v>62</v>
      </c>
      <c r="Q27" s="3135">
        <v>5789</v>
      </c>
      <c r="R27" s="3136">
        <v>1.9578917439147854</v>
      </c>
      <c r="S27" s="3137">
        <v>11334</v>
      </c>
      <c r="T27" s="3128">
        <v>756</v>
      </c>
    </row>
    <row r="28" spans="1:20" s="3128" customFormat="1" ht="30.75" hidden="1" customHeight="1">
      <c r="A28" s="3130">
        <v>238</v>
      </c>
      <c r="B28" s="3131" t="s">
        <v>3062</v>
      </c>
      <c r="C28" s="3130" t="s">
        <v>3063</v>
      </c>
      <c r="D28" s="3132">
        <v>40163</v>
      </c>
      <c r="E28" s="3130">
        <v>39902</v>
      </c>
      <c r="F28" s="3130">
        <v>43720.53</v>
      </c>
      <c r="G28" s="3130">
        <v>33677.4</v>
      </c>
      <c r="H28" s="3130">
        <v>10043.120000000001</v>
      </c>
      <c r="I28" s="3130">
        <v>49737.83</v>
      </c>
      <c r="J28" s="3130" t="s">
        <v>3000</v>
      </c>
      <c r="K28" s="3130" t="s">
        <v>3017</v>
      </c>
      <c r="L28" s="3133">
        <v>40177</v>
      </c>
      <c r="M28" s="3130">
        <v>66200</v>
      </c>
      <c r="N28" s="3130" t="s">
        <v>3064</v>
      </c>
      <c r="O28" s="3130" t="s">
        <v>2990</v>
      </c>
      <c r="P28" s="3134">
        <v>13</v>
      </c>
      <c r="Q28" s="3135">
        <v>13310</v>
      </c>
      <c r="R28" s="3136">
        <v>1.4768904369102127</v>
      </c>
      <c r="S28" s="3137">
        <v>19657</v>
      </c>
      <c r="T28" s="3128">
        <v>1310</v>
      </c>
    </row>
    <row r="29" spans="1:20" s="3128" customFormat="1" ht="30.75" hidden="1" customHeight="1">
      <c r="A29" s="3130">
        <v>240</v>
      </c>
      <c r="B29" s="3131" t="s">
        <v>3065</v>
      </c>
      <c r="C29" s="3130" t="s">
        <v>3066</v>
      </c>
      <c r="D29" s="3132">
        <v>40163</v>
      </c>
      <c r="E29" s="3130">
        <v>16683</v>
      </c>
      <c r="F29" s="3130">
        <v>86344.27</v>
      </c>
      <c r="G29" s="3130">
        <v>71911.81</v>
      </c>
      <c r="H29" s="3130">
        <v>14432.45</v>
      </c>
      <c r="I29" s="3130">
        <v>137807.70000000001</v>
      </c>
      <c r="J29" s="3130" t="s">
        <v>3000</v>
      </c>
      <c r="K29" s="3130" t="s">
        <v>3067</v>
      </c>
      <c r="L29" s="3133">
        <v>40177</v>
      </c>
      <c r="M29" s="3130">
        <v>60000</v>
      </c>
      <c r="N29" s="3130" t="s">
        <v>3068</v>
      </c>
      <c r="O29" s="3130" t="s">
        <v>3048</v>
      </c>
      <c r="P29" s="3134">
        <v>120</v>
      </c>
      <c r="Q29" s="3135">
        <v>4354</v>
      </c>
      <c r="R29" s="3136">
        <v>1.9163430874567058</v>
      </c>
      <c r="S29" s="3137">
        <v>8344</v>
      </c>
      <c r="T29" s="3128">
        <v>556</v>
      </c>
    </row>
    <row r="30" spans="1:20" s="3128" customFormat="1" ht="30.75" hidden="1" customHeight="1">
      <c r="A30" s="3130">
        <v>241</v>
      </c>
      <c r="B30" s="3131" t="s">
        <v>3069</v>
      </c>
      <c r="C30" s="3130" t="s">
        <v>3070</v>
      </c>
      <c r="D30" s="3132">
        <v>40163</v>
      </c>
      <c r="E30" s="3130">
        <v>11473</v>
      </c>
      <c r="F30" s="3130">
        <v>43679.01</v>
      </c>
      <c r="G30" s="3130">
        <v>34442.239999999998</v>
      </c>
      <c r="H30" s="3130">
        <v>9236.77</v>
      </c>
      <c r="I30" s="3130">
        <v>86105.600000000006</v>
      </c>
      <c r="J30" s="3130" t="s">
        <v>3000</v>
      </c>
      <c r="K30" s="3130" t="s">
        <v>3071</v>
      </c>
      <c r="L30" s="3133">
        <v>40177</v>
      </c>
      <c r="M30" s="3130">
        <v>80200</v>
      </c>
      <c r="N30" s="3130" t="s">
        <v>3072</v>
      </c>
      <c r="O30" s="3130" t="s">
        <v>3048</v>
      </c>
      <c r="P30" s="3134">
        <v>59</v>
      </c>
      <c r="Q30" s="3135">
        <v>9314</v>
      </c>
      <c r="R30" s="3136">
        <v>2.5000000000000004</v>
      </c>
      <c r="S30" s="3137">
        <v>23285</v>
      </c>
      <c r="T30" s="3128">
        <v>1552</v>
      </c>
    </row>
    <row r="34" spans="1:19" s="3185" customFormat="1" ht="17.25" customHeight="1">
      <c r="A34" s="3631" t="s">
        <v>220</v>
      </c>
      <c r="B34" s="3632" t="s">
        <v>2976</v>
      </c>
      <c r="C34" s="3631" t="s">
        <v>2977</v>
      </c>
      <c r="D34" s="3631" t="s">
        <v>2978</v>
      </c>
      <c r="E34" s="3184" t="s">
        <v>3211</v>
      </c>
      <c r="F34" s="3631" t="s">
        <v>2979</v>
      </c>
      <c r="G34" s="3631"/>
      <c r="H34" s="3631"/>
      <c r="I34" s="3631" t="s">
        <v>2980</v>
      </c>
      <c r="J34" s="3631" t="s">
        <v>2981</v>
      </c>
      <c r="K34" s="3631" t="s">
        <v>2982</v>
      </c>
      <c r="L34" s="3631" t="s">
        <v>2983</v>
      </c>
      <c r="M34" s="3184" t="s">
        <v>3212</v>
      </c>
      <c r="N34" s="3631" t="s">
        <v>2984</v>
      </c>
      <c r="O34" s="3631" t="s">
        <v>2985</v>
      </c>
      <c r="P34" s="3640" t="s">
        <v>3213</v>
      </c>
      <c r="Q34" s="3640" t="s">
        <v>3214</v>
      </c>
      <c r="R34" s="3631" t="s">
        <v>3215</v>
      </c>
      <c r="S34" s="3631" t="s">
        <v>3216</v>
      </c>
    </row>
    <row r="35" spans="1:19" s="3185" customFormat="1" ht="17.25" hidden="1" customHeight="1">
      <c r="A35" s="3631"/>
      <c r="B35" s="3632"/>
      <c r="C35" s="3631"/>
      <c r="D35" s="3631"/>
      <c r="E35" s="3184" t="s">
        <v>3217</v>
      </c>
      <c r="F35" s="3184" t="s">
        <v>191</v>
      </c>
      <c r="G35" s="3184" t="s">
        <v>2987</v>
      </c>
      <c r="H35" s="3184" t="s">
        <v>2988</v>
      </c>
      <c r="I35" s="3631"/>
      <c r="J35" s="3631"/>
      <c r="K35" s="3631"/>
      <c r="L35" s="3631"/>
      <c r="M35" s="3184" t="s">
        <v>3217</v>
      </c>
      <c r="N35" s="3631"/>
      <c r="O35" s="3631"/>
      <c r="P35" s="3640"/>
      <c r="Q35" s="3640"/>
      <c r="R35" s="3631"/>
      <c r="S35" s="3631"/>
    </row>
    <row r="36" spans="1:19" s="3185" customFormat="1" ht="17.25" hidden="1" customHeight="1">
      <c r="A36" s="3186">
        <v>13</v>
      </c>
      <c r="B36" s="3187" t="s">
        <v>3218</v>
      </c>
      <c r="C36" s="3186" t="s">
        <v>3219</v>
      </c>
      <c r="D36" s="3188">
        <v>39451</v>
      </c>
      <c r="E36" s="3186">
        <v>15306.3614</v>
      </c>
      <c r="F36" s="3186">
        <v>12206.38</v>
      </c>
      <c r="G36" s="3186">
        <v>8900.3649999999998</v>
      </c>
      <c r="H36" s="3186">
        <v>3306.0149999999999</v>
      </c>
      <c r="I36" s="3189">
        <v>26701.095000000001</v>
      </c>
      <c r="J36" s="3189" t="s">
        <v>2989</v>
      </c>
      <c r="K36" s="3186" t="s">
        <v>3220</v>
      </c>
      <c r="L36" s="3186" t="s">
        <v>3221</v>
      </c>
      <c r="M36" s="3186">
        <v>15306.3614</v>
      </c>
      <c r="N36" s="3186" t="s">
        <v>3222</v>
      </c>
      <c r="O36" s="3186" t="s">
        <v>3048</v>
      </c>
      <c r="P36" s="3190">
        <v>5732</v>
      </c>
      <c r="Q36" s="3191">
        <v>3</v>
      </c>
      <c r="R36" s="3192">
        <v>17197</v>
      </c>
      <c r="S36" s="3192">
        <v>1147</v>
      </c>
    </row>
    <row r="37" spans="1:19" s="3185" customFormat="1" ht="17.25" hidden="1" customHeight="1">
      <c r="A37" s="3186">
        <v>15</v>
      </c>
      <c r="B37" s="3187" t="s">
        <v>3223</v>
      </c>
      <c r="C37" s="3186" t="s">
        <v>3224</v>
      </c>
      <c r="D37" s="3188">
        <v>39451</v>
      </c>
      <c r="E37" s="3186">
        <v>21906.3</v>
      </c>
      <c r="F37" s="3186">
        <v>8407.5930000000008</v>
      </c>
      <c r="G37" s="3186">
        <v>6440.06</v>
      </c>
      <c r="H37" s="3186">
        <v>1967.5329999999999</v>
      </c>
      <c r="I37" s="3189">
        <v>28700</v>
      </c>
      <c r="J37" s="3189" t="s">
        <v>2989</v>
      </c>
      <c r="K37" s="3186" t="s">
        <v>3225</v>
      </c>
      <c r="L37" s="3186" t="s">
        <v>3221</v>
      </c>
      <c r="M37" s="3186">
        <v>32200</v>
      </c>
      <c r="N37" s="3186" t="s">
        <v>3226</v>
      </c>
      <c r="O37" s="3186" t="s">
        <v>3227</v>
      </c>
      <c r="P37" s="3190">
        <v>11220</v>
      </c>
      <c r="Q37" s="3191">
        <v>4.4564802191283928</v>
      </c>
      <c r="R37" s="3192">
        <v>50000</v>
      </c>
      <c r="S37" s="3192">
        <v>3333</v>
      </c>
    </row>
    <row r="38" spans="1:19" s="3200" customFormat="1" ht="32.25" customHeight="1">
      <c r="A38" s="3193">
        <v>26</v>
      </c>
      <c r="B38" s="3194" t="s">
        <v>3228</v>
      </c>
      <c r="C38" s="3193" t="s">
        <v>3229</v>
      </c>
      <c r="D38" s="3195">
        <v>39463</v>
      </c>
      <c r="E38" s="3193">
        <v>24527.402900000001</v>
      </c>
      <c r="F38" s="3193">
        <v>21037.77</v>
      </c>
      <c r="G38" s="3193">
        <v>19721.84</v>
      </c>
      <c r="H38" s="3193">
        <v>1315.93</v>
      </c>
      <c r="I38" s="3196">
        <v>43388.048000000003</v>
      </c>
      <c r="J38" s="3196" t="s">
        <v>2989</v>
      </c>
      <c r="K38" s="3193" t="s">
        <v>3230</v>
      </c>
      <c r="L38" s="3193" t="s">
        <v>3231</v>
      </c>
      <c r="M38" s="3193">
        <v>64000</v>
      </c>
      <c r="N38" s="3193" t="s">
        <v>3232</v>
      </c>
      <c r="O38" s="3193" t="s">
        <v>3048</v>
      </c>
      <c r="P38" s="3197">
        <v>14751</v>
      </c>
      <c r="Q38" s="3198">
        <v>2.2000000000000002</v>
      </c>
      <c r="R38" s="3199">
        <v>32451</v>
      </c>
      <c r="S38" s="3199">
        <v>2163</v>
      </c>
    </row>
    <row r="39" spans="1:19" s="3185" customFormat="1" ht="17.25" hidden="1" customHeight="1">
      <c r="A39" s="3186">
        <v>29</v>
      </c>
      <c r="B39" s="3187" t="s">
        <v>3233</v>
      </c>
      <c r="C39" s="3186" t="s">
        <v>3234</v>
      </c>
      <c r="D39" s="3188">
        <v>39463</v>
      </c>
      <c r="E39" s="3186">
        <v>72499</v>
      </c>
      <c r="F39" s="3186">
        <v>61874.245999999999</v>
      </c>
      <c r="G39" s="3186">
        <v>44174.245999999999</v>
      </c>
      <c r="H39" s="3186">
        <v>17700</v>
      </c>
      <c r="I39" s="3189">
        <v>185531.83300000001</v>
      </c>
      <c r="J39" s="3189" t="s">
        <v>2989</v>
      </c>
      <c r="K39" s="3186" t="s">
        <v>3235</v>
      </c>
      <c r="L39" s="3186" t="s">
        <v>3231</v>
      </c>
      <c r="M39" s="3186">
        <v>72499</v>
      </c>
      <c r="N39" s="3186" t="s">
        <v>3236</v>
      </c>
      <c r="O39" s="3186" t="s">
        <v>3047</v>
      </c>
      <c r="P39" s="3190">
        <v>3908</v>
      </c>
      <c r="Q39" s="3191">
        <v>4.1999999954724752</v>
      </c>
      <c r="R39" s="3192">
        <v>16412</v>
      </c>
      <c r="S39" s="3192">
        <v>1094</v>
      </c>
    </row>
    <row r="40" spans="1:19" s="3185" customFormat="1" ht="33.75" customHeight="1">
      <c r="A40" s="3186">
        <v>33</v>
      </c>
      <c r="B40" s="3187" t="s">
        <v>3237</v>
      </c>
      <c r="C40" s="3186" t="s">
        <v>3238</v>
      </c>
      <c r="D40" s="3188">
        <v>39472</v>
      </c>
      <c r="E40" s="3186" t="s">
        <v>3239</v>
      </c>
      <c r="F40" s="3186">
        <v>274731.31699999998</v>
      </c>
      <c r="G40" s="3186">
        <v>82812.207999999999</v>
      </c>
      <c r="H40" s="3186">
        <v>191919.109</v>
      </c>
      <c r="I40" s="3189">
        <v>251874.18</v>
      </c>
      <c r="J40" s="3189" t="s">
        <v>3240</v>
      </c>
      <c r="K40" s="3186" t="s">
        <v>3003</v>
      </c>
      <c r="L40" s="3186" t="s">
        <v>3241</v>
      </c>
      <c r="M40" s="3186">
        <v>283800</v>
      </c>
      <c r="N40" s="3186" t="s">
        <v>3242</v>
      </c>
      <c r="O40" s="3186" t="s">
        <v>3048</v>
      </c>
      <c r="P40" s="3190">
        <v>11268</v>
      </c>
      <c r="Q40" s="3191">
        <v>3.0415102565554104</v>
      </c>
      <c r="R40" s="3192">
        <v>34270</v>
      </c>
      <c r="S40" s="3192">
        <v>2285</v>
      </c>
    </row>
    <row r="41" spans="1:19" s="3185" customFormat="1" ht="33" customHeight="1">
      <c r="A41" s="3186">
        <v>34</v>
      </c>
      <c r="B41" s="3187" t="s">
        <v>3243</v>
      </c>
      <c r="C41" s="3186" t="s">
        <v>3238</v>
      </c>
      <c r="D41" s="3188">
        <v>39472</v>
      </c>
      <c r="E41" s="3186" t="s">
        <v>3244</v>
      </c>
      <c r="F41" s="3186">
        <v>233375.08300000001</v>
      </c>
      <c r="G41" s="3186">
        <v>127369.12</v>
      </c>
      <c r="H41" s="3186">
        <v>106005.963</v>
      </c>
      <c r="I41" s="3189">
        <v>317050.78999999998</v>
      </c>
      <c r="J41" s="3189" t="s">
        <v>3240</v>
      </c>
      <c r="K41" s="3186" t="s">
        <v>3245</v>
      </c>
      <c r="L41" s="3186" t="s">
        <v>3241</v>
      </c>
      <c r="M41" s="3186">
        <v>300880</v>
      </c>
      <c r="N41" s="3186" t="s">
        <v>3246</v>
      </c>
      <c r="O41" s="3186" t="s">
        <v>3048</v>
      </c>
      <c r="P41" s="3190">
        <v>9490</v>
      </c>
      <c r="Q41" s="3191">
        <v>2.4892280797731821</v>
      </c>
      <c r="R41" s="3192">
        <v>23623</v>
      </c>
      <c r="S41" s="3192">
        <v>1575</v>
      </c>
    </row>
    <row r="42" spans="1:19" s="3185" customFormat="1" ht="33" customHeight="1">
      <c r="A42" s="3186">
        <v>35</v>
      </c>
      <c r="B42" s="3187" t="s">
        <v>3247</v>
      </c>
      <c r="C42" s="3186" t="s">
        <v>3248</v>
      </c>
      <c r="D42" s="3188">
        <v>39463</v>
      </c>
      <c r="E42" s="3186" t="s">
        <v>3249</v>
      </c>
      <c r="F42" s="3186">
        <v>46494.9</v>
      </c>
      <c r="G42" s="3186">
        <v>32228.400000000001</v>
      </c>
      <c r="H42" s="3186">
        <v>14266.5</v>
      </c>
      <c r="I42" s="3189">
        <v>81944</v>
      </c>
      <c r="J42" s="3189" t="s">
        <v>3240</v>
      </c>
      <c r="K42" s="3186" t="s">
        <v>3250</v>
      </c>
      <c r="L42" s="3186" t="s">
        <v>3251</v>
      </c>
      <c r="M42" s="3186">
        <v>58700</v>
      </c>
      <c r="N42" s="3186" t="s">
        <v>3252</v>
      </c>
      <c r="O42" s="3186" t="s">
        <v>3048</v>
      </c>
      <c r="P42" s="3190">
        <v>7163</v>
      </c>
      <c r="Q42" s="3191">
        <v>2.542602176961934</v>
      </c>
      <c r="R42" s="3192">
        <v>18214</v>
      </c>
      <c r="S42" s="3192">
        <v>1214</v>
      </c>
    </row>
    <row r="43" spans="1:19" s="3185" customFormat="1" ht="33.75" customHeight="1">
      <c r="A43" s="3186">
        <v>36</v>
      </c>
      <c r="B43" s="3187" t="s">
        <v>3253</v>
      </c>
      <c r="C43" s="3186" t="s">
        <v>3254</v>
      </c>
      <c r="D43" s="3188">
        <v>39463</v>
      </c>
      <c r="E43" s="3186" t="s">
        <v>3255</v>
      </c>
      <c r="F43" s="3186">
        <v>417977.85499999998</v>
      </c>
      <c r="G43" s="3186">
        <v>263467.92700000003</v>
      </c>
      <c r="H43" s="3186">
        <v>154509.92800000001</v>
      </c>
      <c r="I43" s="3189">
        <v>662219.81299999997</v>
      </c>
      <c r="J43" s="3189" t="s">
        <v>3240</v>
      </c>
      <c r="K43" s="3186" t="s">
        <v>3256</v>
      </c>
      <c r="L43" s="3186" t="s">
        <v>3251</v>
      </c>
      <c r="M43" s="3186">
        <v>210059.66</v>
      </c>
      <c r="N43" s="3186" t="s">
        <v>3257</v>
      </c>
      <c r="O43" s="3186" t="s">
        <v>3047</v>
      </c>
      <c r="P43" s="3190">
        <v>3172</v>
      </c>
      <c r="Q43" s="3191">
        <v>2.5134741087479688</v>
      </c>
      <c r="R43" s="3192">
        <v>7973</v>
      </c>
      <c r="S43" s="3192">
        <v>532</v>
      </c>
    </row>
    <row r="44" spans="1:19" s="3185" customFormat="1" ht="17.25" hidden="1" customHeight="1">
      <c r="A44" s="3186">
        <v>40</v>
      </c>
      <c r="B44" s="3187" t="s">
        <v>3258</v>
      </c>
      <c r="C44" s="3186" t="s">
        <v>3259</v>
      </c>
      <c r="D44" s="3188">
        <v>39519</v>
      </c>
      <c r="E44" s="3186">
        <v>42184.2</v>
      </c>
      <c r="F44" s="3186">
        <v>61924.337</v>
      </c>
      <c r="G44" s="3186">
        <v>61924.337</v>
      </c>
      <c r="H44" s="3186">
        <v>0</v>
      </c>
      <c r="I44" s="3189">
        <v>112778.2225</v>
      </c>
      <c r="J44" s="3189" t="s">
        <v>2989</v>
      </c>
      <c r="K44" s="3186" t="s">
        <v>3260</v>
      </c>
      <c r="L44" s="3186" t="s">
        <v>3261</v>
      </c>
      <c r="M44" s="3186">
        <v>42184.2</v>
      </c>
      <c r="N44" s="3186" t="s">
        <v>3262</v>
      </c>
      <c r="O44" s="3186" t="s">
        <v>3047</v>
      </c>
      <c r="P44" s="3190">
        <v>3740</v>
      </c>
      <c r="Q44" s="3191">
        <v>1.8212261602413282</v>
      </c>
      <c r="R44" s="3192">
        <v>6812</v>
      </c>
      <c r="S44" s="3192">
        <v>454</v>
      </c>
    </row>
    <row r="45" spans="1:19" s="3185" customFormat="1" ht="17.25" hidden="1" customHeight="1">
      <c r="A45" s="3186">
        <v>54</v>
      </c>
      <c r="B45" s="3187" t="s">
        <v>3263</v>
      </c>
      <c r="C45" s="3186" t="s">
        <v>3264</v>
      </c>
      <c r="D45" s="3188">
        <v>39580</v>
      </c>
      <c r="E45" s="3186">
        <v>52417.044000000002</v>
      </c>
      <c r="F45" s="3186">
        <v>191476.503</v>
      </c>
      <c r="G45" s="3186">
        <v>144776.804</v>
      </c>
      <c r="H45" s="3186">
        <v>46699.699000000001</v>
      </c>
      <c r="I45" s="3189">
        <v>173732.16500000001</v>
      </c>
      <c r="J45" s="3189" t="s">
        <v>2989</v>
      </c>
      <c r="K45" s="3186" t="s">
        <v>24</v>
      </c>
      <c r="L45" s="3186" t="s">
        <v>3265</v>
      </c>
      <c r="M45" s="3186">
        <v>52417.044000000002</v>
      </c>
      <c r="N45" s="3186" t="s">
        <v>3266</v>
      </c>
      <c r="O45" s="3186" t="s">
        <v>2990</v>
      </c>
      <c r="P45" s="3190">
        <v>3017</v>
      </c>
      <c r="Q45" s="3191">
        <v>1.2000000013814367</v>
      </c>
      <c r="R45" s="3192">
        <v>3621</v>
      </c>
      <c r="S45" s="3192">
        <v>241</v>
      </c>
    </row>
    <row r="46" spans="1:19" s="3185" customFormat="1" ht="27.75" customHeight="1">
      <c r="A46" s="3186">
        <v>56</v>
      </c>
      <c r="B46" s="3187" t="s">
        <v>3267</v>
      </c>
      <c r="C46" s="3186" t="s">
        <v>3268</v>
      </c>
      <c r="D46" s="3188">
        <v>39581</v>
      </c>
      <c r="E46" s="3186">
        <v>11211.03</v>
      </c>
      <c r="F46" s="3186">
        <v>10583.476000000001</v>
      </c>
      <c r="G46" s="3186">
        <v>10583.476000000001</v>
      </c>
      <c r="H46" s="3186">
        <v>0</v>
      </c>
      <c r="I46" s="3189">
        <v>24267</v>
      </c>
      <c r="J46" s="3189" t="s">
        <v>2989</v>
      </c>
      <c r="K46" s="3186" t="s">
        <v>3269</v>
      </c>
      <c r="L46" s="3186" t="s">
        <v>3270</v>
      </c>
      <c r="M46" s="3186">
        <v>11361.03</v>
      </c>
      <c r="N46" s="3186" t="s">
        <v>3271</v>
      </c>
      <c r="O46" s="3186" t="s">
        <v>3048</v>
      </c>
      <c r="P46" s="3190">
        <v>4682</v>
      </c>
      <c r="Q46" s="3191">
        <v>2.2929139726872343</v>
      </c>
      <c r="R46" s="3192">
        <v>10735</v>
      </c>
      <c r="S46" s="3192">
        <v>716</v>
      </c>
    </row>
    <row r="47" spans="1:19" s="3185" customFormat="1" ht="17.25" hidden="1" customHeight="1">
      <c r="A47" s="3186">
        <v>58</v>
      </c>
      <c r="B47" s="3187" t="s">
        <v>3272</v>
      </c>
      <c r="C47" s="3186" t="s">
        <v>3273</v>
      </c>
      <c r="D47" s="3188">
        <v>39587</v>
      </c>
      <c r="E47" s="3186">
        <v>11967</v>
      </c>
      <c r="F47" s="3186">
        <v>16283.31</v>
      </c>
      <c r="G47" s="3186">
        <v>10346.280000000001</v>
      </c>
      <c r="H47" s="3186">
        <v>5937.03</v>
      </c>
      <c r="I47" s="3189">
        <v>31038.84</v>
      </c>
      <c r="J47" s="3189" t="s">
        <v>2989</v>
      </c>
      <c r="K47" s="3186" t="s">
        <v>3274</v>
      </c>
      <c r="L47" s="3186" t="s">
        <v>3275</v>
      </c>
      <c r="M47" s="3186">
        <v>11967</v>
      </c>
      <c r="N47" s="3186" t="s">
        <v>3276</v>
      </c>
      <c r="O47" s="3186" t="s">
        <v>3047</v>
      </c>
      <c r="P47" s="3190">
        <v>3855</v>
      </c>
      <c r="Q47" s="3191">
        <v>3</v>
      </c>
      <c r="R47" s="3192">
        <v>11566</v>
      </c>
      <c r="S47" s="3192">
        <v>771</v>
      </c>
    </row>
    <row r="48" spans="1:19" s="3185" customFormat="1" ht="30.75" hidden="1" customHeight="1">
      <c r="A48" s="3186">
        <v>78</v>
      </c>
      <c r="B48" s="3131" t="s">
        <v>3277</v>
      </c>
      <c r="C48" s="3186" t="s">
        <v>3278</v>
      </c>
      <c r="D48" s="3188">
        <v>39630</v>
      </c>
      <c r="E48" s="3186">
        <v>1493</v>
      </c>
      <c r="F48" s="3186">
        <v>3401.5920000000001</v>
      </c>
      <c r="G48" s="3186">
        <v>2512.2399999999998</v>
      </c>
      <c r="H48" s="3186">
        <v>889.35199999999998</v>
      </c>
      <c r="I48" s="3189">
        <v>3014</v>
      </c>
      <c r="J48" s="3189" t="s">
        <v>2989</v>
      </c>
      <c r="K48" s="3186" t="s">
        <v>3279</v>
      </c>
      <c r="L48" s="3186" t="s">
        <v>3280</v>
      </c>
      <c r="M48" s="3186">
        <v>1493</v>
      </c>
      <c r="N48" s="3186" t="s">
        <v>3281</v>
      </c>
      <c r="O48" s="3186" t="s">
        <v>3048</v>
      </c>
      <c r="P48" s="3190">
        <v>4954</v>
      </c>
      <c r="Q48" s="3191">
        <v>1.1997261408145719</v>
      </c>
      <c r="R48" s="3192">
        <v>5943</v>
      </c>
      <c r="S48" s="3192">
        <v>396</v>
      </c>
    </row>
    <row r="49" spans="1:233" s="3185" customFormat="1" ht="43.5" customHeight="1">
      <c r="A49" s="3186">
        <v>107</v>
      </c>
      <c r="B49" s="3131" t="s">
        <v>3282</v>
      </c>
      <c r="C49" s="3186" t="s">
        <v>3042</v>
      </c>
      <c r="D49" s="3188">
        <v>39766</v>
      </c>
      <c r="E49" s="3186" t="s">
        <v>3283</v>
      </c>
      <c r="F49" s="3186">
        <v>311455.40000000002</v>
      </c>
      <c r="G49" s="3186">
        <v>214460.6</v>
      </c>
      <c r="H49" s="3186">
        <v>96994.8</v>
      </c>
      <c r="I49" s="3189">
        <v>419487.9</v>
      </c>
      <c r="J49" s="3189" t="s">
        <v>3240</v>
      </c>
      <c r="K49" s="3186" t="s">
        <v>3284</v>
      </c>
      <c r="L49" s="3186" t="s">
        <v>3285</v>
      </c>
      <c r="M49" s="3186">
        <v>158000</v>
      </c>
      <c r="N49" s="3186" t="s">
        <v>3286</v>
      </c>
      <c r="O49" s="3186" t="s">
        <v>3047</v>
      </c>
      <c r="P49" s="3190">
        <v>3766</v>
      </c>
      <c r="Q49" s="3191">
        <v>1.9560138319113161</v>
      </c>
      <c r="R49" s="3192">
        <v>7367</v>
      </c>
      <c r="S49" s="3192">
        <v>491</v>
      </c>
    </row>
    <row r="50" spans="1:233" s="3185" customFormat="1" ht="42.75" hidden="1" customHeight="1">
      <c r="A50" s="3186">
        <v>116</v>
      </c>
      <c r="B50" s="3131" t="s">
        <v>3287</v>
      </c>
      <c r="C50" s="3186" t="s">
        <v>3288</v>
      </c>
      <c r="D50" s="3188">
        <v>39764</v>
      </c>
      <c r="E50" s="3186">
        <v>85917.96</v>
      </c>
      <c r="F50" s="3186">
        <v>57313.428</v>
      </c>
      <c r="G50" s="3186">
        <v>47284.800000000003</v>
      </c>
      <c r="H50" s="3186">
        <v>10028.628000000001</v>
      </c>
      <c r="I50" s="3189">
        <v>139186</v>
      </c>
      <c r="J50" s="3189" t="s">
        <v>2989</v>
      </c>
      <c r="K50" s="3186" t="s">
        <v>3289</v>
      </c>
      <c r="L50" s="3186" t="s">
        <v>3290</v>
      </c>
      <c r="M50" s="3186">
        <v>85917.96</v>
      </c>
      <c r="N50" s="3186" t="s">
        <v>3291</v>
      </c>
      <c r="O50" s="3186" t="s">
        <v>2990</v>
      </c>
      <c r="P50" s="3190">
        <v>6173</v>
      </c>
      <c r="Q50" s="3191">
        <v>2.9435674889182146</v>
      </c>
      <c r="R50" s="3192">
        <v>18170</v>
      </c>
      <c r="S50" s="3192">
        <v>1211</v>
      </c>
    </row>
    <row r="51" spans="1:233" s="3185" customFormat="1" ht="34.5" customHeight="1">
      <c r="A51" s="3186">
        <v>121</v>
      </c>
      <c r="B51" s="3131" t="s">
        <v>3292</v>
      </c>
      <c r="C51" s="3186" t="s">
        <v>3293</v>
      </c>
      <c r="D51" s="3188">
        <v>39770</v>
      </c>
      <c r="E51" s="3186">
        <v>47489.064299999998</v>
      </c>
      <c r="F51" s="3186">
        <v>43874.334999999999</v>
      </c>
      <c r="G51" s="3186">
        <v>42676.146999999997</v>
      </c>
      <c r="H51" s="3186">
        <v>1198.1880000000001</v>
      </c>
      <c r="I51" s="3189">
        <v>140831.29</v>
      </c>
      <c r="J51" s="3189" t="s">
        <v>2989</v>
      </c>
      <c r="K51" s="3186" t="s">
        <v>3294</v>
      </c>
      <c r="L51" s="3186" t="s">
        <v>3295</v>
      </c>
      <c r="M51" s="3186">
        <v>47489.064299999998</v>
      </c>
      <c r="N51" s="3186" t="s">
        <v>3296</v>
      </c>
      <c r="O51" s="3186" t="s">
        <v>3048</v>
      </c>
      <c r="P51" s="3190">
        <v>3372</v>
      </c>
      <c r="Q51" s="3191">
        <v>3.3000001148182383</v>
      </c>
      <c r="R51" s="3192">
        <v>11128</v>
      </c>
      <c r="S51" s="3192">
        <v>742</v>
      </c>
    </row>
    <row r="52" spans="1:233" s="3185" customFormat="1" ht="38.25" customHeight="1">
      <c r="A52" s="3186">
        <v>124</v>
      </c>
      <c r="B52" s="3131" t="s">
        <v>3297</v>
      </c>
      <c r="C52" s="3186" t="s">
        <v>3298</v>
      </c>
      <c r="D52" s="3188">
        <v>39776</v>
      </c>
      <c r="E52" s="3186">
        <v>176327.76</v>
      </c>
      <c r="F52" s="3186">
        <v>477713.49800000002</v>
      </c>
      <c r="G52" s="3186">
        <v>196881.677</v>
      </c>
      <c r="H52" s="3186">
        <v>280831.821</v>
      </c>
      <c r="I52" s="3189">
        <v>287160.17450000002</v>
      </c>
      <c r="J52" s="3189" t="s">
        <v>2989</v>
      </c>
      <c r="K52" s="3186" t="s">
        <v>3299</v>
      </c>
      <c r="L52" s="3186" t="s">
        <v>3300</v>
      </c>
      <c r="M52" s="3186">
        <v>201000</v>
      </c>
      <c r="N52" s="3186" t="s">
        <v>3301</v>
      </c>
      <c r="O52" s="3186" t="s">
        <v>3047</v>
      </c>
      <c r="P52" s="3190">
        <v>7000</v>
      </c>
      <c r="Q52" s="3191">
        <v>1.45854189620703</v>
      </c>
      <c r="R52" s="3192">
        <v>10209</v>
      </c>
      <c r="S52" s="3192">
        <v>681</v>
      </c>
    </row>
    <row r="57" spans="1:233" s="3150" customFormat="1">
      <c r="A57" s="3629" t="s">
        <v>3105</v>
      </c>
      <c r="B57" s="3629" t="s">
        <v>3106</v>
      </c>
      <c r="C57" s="3630" t="s">
        <v>3107</v>
      </c>
      <c r="D57" s="3629" t="s">
        <v>3108</v>
      </c>
      <c r="E57" s="3629" t="s">
        <v>3109</v>
      </c>
      <c r="F57" s="3629"/>
      <c r="G57" s="3629"/>
      <c r="H57" s="3629"/>
      <c r="I57" s="3629"/>
      <c r="J57" s="3629"/>
      <c r="K57" s="3629"/>
      <c r="L57" s="3629"/>
      <c r="M57" s="3629"/>
      <c r="N57" s="3629" t="s">
        <v>3110</v>
      </c>
      <c r="O57" s="3633" t="s">
        <v>3111</v>
      </c>
      <c r="P57" s="3629" t="s">
        <v>3112</v>
      </c>
      <c r="Q57" s="3629"/>
      <c r="R57" s="3629"/>
      <c r="S57" s="3629"/>
      <c r="T57" s="3629"/>
      <c r="U57" s="3629" t="s">
        <v>3113</v>
      </c>
      <c r="V57" s="3629"/>
      <c r="W57" s="3629"/>
      <c r="X57" s="3629"/>
      <c r="Y57" s="3629" t="s">
        <v>3114</v>
      </c>
      <c r="Z57" s="3629"/>
      <c r="AA57" s="3629"/>
      <c r="AB57" s="3629"/>
      <c r="AC57" s="3629"/>
      <c r="AD57" s="3629"/>
      <c r="AE57" s="3629"/>
      <c r="AF57" s="3642" t="s">
        <v>3115</v>
      </c>
      <c r="AG57" s="3629" t="s">
        <v>3116</v>
      </c>
      <c r="AH57" s="3629"/>
      <c r="AI57" s="3629"/>
      <c r="AJ57" s="3643" t="s">
        <v>3117</v>
      </c>
      <c r="AK57" s="3641" t="s">
        <v>3118</v>
      </c>
      <c r="AL57" s="3641"/>
      <c r="AM57" s="3641"/>
      <c r="AN57" s="3638" t="s">
        <v>3119</v>
      </c>
      <c r="AO57" s="3638"/>
      <c r="AP57" s="3638"/>
      <c r="AQ57" s="3638"/>
      <c r="AR57" s="3638"/>
      <c r="AS57" s="3638"/>
      <c r="AT57" s="3641" t="s">
        <v>3120</v>
      </c>
      <c r="AU57" s="3641"/>
      <c r="AV57" s="3641"/>
      <c r="AW57" s="3641"/>
      <c r="AX57" s="3641"/>
      <c r="AY57" s="3629" t="s">
        <v>3121</v>
      </c>
      <c r="AZ57" s="3629"/>
      <c r="BA57" s="3629"/>
      <c r="BB57" s="3629"/>
      <c r="BC57" s="3629"/>
      <c r="BD57" s="3629"/>
      <c r="BE57" s="3629" t="s">
        <v>3122</v>
      </c>
      <c r="BF57" s="3629"/>
      <c r="BG57" s="3629"/>
      <c r="BH57" s="3629"/>
      <c r="BI57" s="3629"/>
      <c r="BJ57" s="3629"/>
      <c r="BK57" s="3629"/>
      <c r="BL57" s="3647"/>
      <c r="BM57" s="3629"/>
      <c r="BN57" s="3637" t="s">
        <v>3123</v>
      </c>
      <c r="BO57" s="3637"/>
      <c r="BP57" s="3637"/>
      <c r="BQ57" s="3637"/>
      <c r="BR57" s="3629" t="s">
        <v>3124</v>
      </c>
      <c r="BS57" s="3629"/>
      <c r="BT57" s="3149"/>
      <c r="BU57" s="3149"/>
      <c r="BV57" s="3149"/>
      <c r="BW57" s="3149"/>
      <c r="BX57" s="3149"/>
      <c r="BY57" s="3149"/>
      <c r="BZ57" s="3149"/>
      <c r="CA57" s="3149"/>
      <c r="CB57" s="3149"/>
      <c r="CC57" s="3149"/>
      <c r="CD57" s="3149"/>
      <c r="CE57" s="3149"/>
      <c r="CF57" s="3149"/>
      <c r="CG57" s="3149"/>
      <c r="CH57" s="3149"/>
      <c r="CI57" s="3149"/>
      <c r="CJ57" s="3149"/>
      <c r="CK57" s="3149"/>
      <c r="CL57" s="3149"/>
      <c r="CM57" s="3149"/>
      <c r="CN57" s="3149"/>
      <c r="CO57" s="3149"/>
      <c r="CP57" s="3149"/>
      <c r="CQ57" s="3149"/>
      <c r="CR57" s="3149"/>
      <c r="CS57" s="3149"/>
      <c r="CT57" s="3149"/>
      <c r="CU57" s="3149"/>
      <c r="CV57" s="3149"/>
      <c r="CW57" s="3149"/>
      <c r="CX57" s="3149"/>
      <c r="CY57" s="3149"/>
      <c r="CZ57" s="3149"/>
      <c r="DA57" s="3149"/>
      <c r="DB57" s="3149"/>
      <c r="DC57" s="3149"/>
      <c r="DD57" s="3149"/>
      <c r="DE57" s="3149"/>
      <c r="DF57" s="3149"/>
      <c r="DG57" s="3149"/>
      <c r="DH57" s="3149"/>
      <c r="DI57" s="3149"/>
      <c r="DJ57" s="3149"/>
      <c r="DK57" s="3149"/>
      <c r="DL57" s="3149"/>
      <c r="DM57" s="3149"/>
      <c r="DN57" s="3149"/>
      <c r="DO57" s="3149"/>
      <c r="DP57" s="3149"/>
      <c r="DQ57" s="3149"/>
      <c r="DR57" s="3149"/>
      <c r="DS57" s="3149"/>
      <c r="DT57" s="3149"/>
      <c r="DU57" s="3149"/>
      <c r="DV57" s="3149"/>
      <c r="DW57" s="3149"/>
      <c r="DX57" s="3149"/>
      <c r="DY57" s="3149"/>
      <c r="DZ57" s="3149"/>
      <c r="EA57" s="3149"/>
      <c r="EB57" s="3149"/>
      <c r="EC57" s="3149"/>
      <c r="ED57" s="3149"/>
      <c r="EE57" s="3149"/>
      <c r="EF57" s="3149"/>
      <c r="EG57" s="3149"/>
      <c r="EH57" s="3149"/>
      <c r="EI57" s="3149"/>
      <c r="EJ57" s="3149"/>
      <c r="EK57" s="3149"/>
      <c r="EL57" s="3149"/>
      <c r="EM57" s="3149"/>
      <c r="EN57" s="3149"/>
      <c r="EO57" s="3149"/>
      <c r="EP57" s="3149"/>
      <c r="EQ57" s="3149"/>
      <c r="ER57" s="3149"/>
      <c r="ES57" s="3149"/>
      <c r="ET57" s="3149"/>
      <c r="EU57" s="3149"/>
      <c r="EV57" s="3149"/>
      <c r="EW57" s="3149"/>
      <c r="EX57" s="3149"/>
      <c r="EY57" s="3149"/>
      <c r="EZ57" s="3149"/>
      <c r="FA57" s="3149"/>
      <c r="FB57" s="3149"/>
      <c r="FC57" s="3149"/>
      <c r="FD57" s="3149"/>
      <c r="FE57" s="3149"/>
      <c r="FF57" s="3149"/>
      <c r="FG57" s="3149"/>
      <c r="FH57" s="3149"/>
      <c r="FI57" s="3149"/>
      <c r="FJ57" s="3149"/>
      <c r="FK57" s="3149"/>
      <c r="FL57" s="3149"/>
      <c r="FM57" s="3149"/>
      <c r="FN57" s="3149"/>
      <c r="FO57" s="3149"/>
      <c r="FP57" s="3149"/>
      <c r="FQ57" s="3149"/>
      <c r="FR57" s="3149"/>
      <c r="FS57" s="3149"/>
      <c r="FT57" s="3149"/>
      <c r="FU57" s="3149"/>
      <c r="FV57" s="3149"/>
      <c r="FW57" s="3149"/>
      <c r="FX57" s="3149"/>
      <c r="FY57" s="3149"/>
      <c r="FZ57" s="3149"/>
      <c r="GA57" s="3149"/>
      <c r="GB57" s="3149"/>
      <c r="GC57" s="3149"/>
      <c r="GD57" s="3149"/>
      <c r="GE57" s="3149"/>
      <c r="GF57" s="3149"/>
      <c r="GG57" s="3149"/>
      <c r="GH57" s="3149"/>
      <c r="GI57" s="3149"/>
      <c r="GJ57" s="3149"/>
      <c r="GK57" s="3149"/>
      <c r="GL57" s="3149"/>
      <c r="GM57" s="3149"/>
      <c r="GN57" s="3149"/>
      <c r="GO57" s="3149"/>
      <c r="GP57" s="3149"/>
      <c r="GQ57" s="3149"/>
      <c r="GR57" s="3149"/>
      <c r="GS57" s="3149"/>
      <c r="GT57" s="3149"/>
      <c r="GU57" s="3149"/>
      <c r="GV57" s="3149"/>
      <c r="GW57" s="3149"/>
      <c r="GX57" s="3149"/>
      <c r="GY57" s="3149"/>
      <c r="GZ57" s="3149"/>
      <c r="HA57" s="3149"/>
      <c r="HB57" s="3149"/>
      <c r="HC57" s="3149"/>
      <c r="HD57" s="3149"/>
      <c r="HE57" s="3149"/>
      <c r="HF57" s="3149"/>
      <c r="HG57" s="3149"/>
      <c r="HH57" s="3149"/>
      <c r="HI57" s="3149"/>
      <c r="HJ57" s="3149"/>
      <c r="HK57" s="3149"/>
      <c r="HL57" s="3149"/>
      <c r="HM57" s="3149"/>
      <c r="HN57" s="3149"/>
      <c r="HO57" s="3149"/>
      <c r="HP57" s="3149"/>
      <c r="HQ57" s="3149"/>
      <c r="HR57" s="3149"/>
      <c r="HS57" s="3149"/>
      <c r="HT57" s="3149"/>
      <c r="HU57" s="3149"/>
      <c r="HV57" s="3149"/>
      <c r="HW57" s="3149"/>
      <c r="HX57" s="3149"/>
      <c r="HY57" s="3149"/>
    </row>
    <row r="58" spans="1:233" s="3150" customFormat="1">
      <c r="A58" s="3629"/>
      <c r="B58" s="3629"/>
      <c r="C58" s="3630"/>
      <c r="D58" s="3629"/>
      <c r="E58" s="3629" t="s">
        <v>3125</v>
      </c>
      <c r="F58" s="3629" t="s">
        <v>3126</v>
      </c>
      <c r="G58" s="3629" t="s">
        <v>3127</v>
      </c>
      <c r="H58" s="3630" t="s">
        <v>3128</v>
      </c>
      <c r="I58" s="3629" t="s">
        <v>3129</v>
      </c>
      <c r="J58" s="3629"/>
      <c r="K58" s="3629"/>
      <c r="L58" s="3629"/>
      <c r="M58" s="3629" t="s">
        <v>3130</v>
      </c>
      <c r="N58" s="3629"/>
      <c r="O58" s="3634"/>
      <c r="P58" s="3636" t="s">
        <v>3131</v>
      </c>
      <c r="Q58" s="3629" t="s">
        <v>3132</v>
      </c>
      <c r="R58" s="3629"/>
      <c r="S58" s="3629"/>
      <c r="T58" s="3629"/>
      <c r="U58" s="3629" t="s">
        <v>3133</v>
      </c>
      <c r="V58" s="3629" t="s">
        <v>3134</v>
      </c>
      <c r="W58" s="3629"/>
      <c r="X58" s="3630" t="s">
        <v>2988</v>
      </c>
      <c r="Y58" s="3629" t="s">
        <v>3135</v>
      </c>
      <c r="Z58" s="3629"/>
      <c r="AA58" s="3629" t="s">
        <v>3136</v>
      </c>
      <c r="AB58" s="3629"/>
      <c r="AC58" s="3629"/>
      <c r="AD58" s="3629"/>
      <c r="AE58" s="3629"/>
      <c r="AF58" s="3642"/>
      <c r="AG58" s="3629"/>
      <c r="AH58" s="3629"/>
      <c r="AI58" s="3629"/>
      <c r="AJ58" s="3643"/>
      <c r="AK58" s="3641"/>
      <c r="AL58" s="3641"/>
      <c r="AM58" s="3641"/>
      <c r="AN58" s="3641" t="s">
        <v>3137</v>
      </c>
      <c r="AO58" s="3629" t="s">
        <v>3138</v>
      </c>
      <c r="AP58" s="3644" t="s">
        <v>3139</v>
      </c>
      <c r="AQ58" s="3629" t="s">
        <v>6</v>
      </c>
      <c r="AR58" s="3629" t="s">
        <v>3140</v>
      </c>
      <c r="AS58" s="3629" t="s">
        <v>3141</v>
      </c>
      <c r="AT58" s="3629" t="s">
        <v>3142</v>
      </c>
      <c r="AU58" s="3638" t="s">
        <v>3143</v>
      </c>
      <c r="AV58" s="3638"/>
      <c r="AW58" s="3638" t="s">
        <v>3144</v>
      </c>
      <c r="AX58" s="3638"/>
      <c r="AY58" s="3629" t="s">
        <v>3145</v>
      </c>
      <c r="AZ58" s="3629" t="s">
        <v>3137</v>
      </c>
      <c r="BA58" s="3629" t="s">
        <v>6</v>
      </c>
      <c r="BB58" s="3629" t="s">
        <v>3146</v>
      </c>
      <c r="BC58" s="3629" t="s">
        <v>3147</v>
      </c>
      <c r="BD58" s="3630" t="s">
        <v>3148</v>
      </c>
      <c r="BE58" s="3639" t="s">
        <v>3149</v>
      </c>
      <c r="BF58" s="3639"/>
      <c r="BG58" s="3639"/>
      <c r="BH58" s="3639"/>
      <c r="BI58" s="3636" t="s">
        <v>3150</v>
      </c>
      <c r="BJ58" s="3629" t="s">
        <v>3151</v>
      </c>
      <c r="BK58" s="3629"/>
      <c r="BL58" s="3646" t="s">
        <v>3152</v>
      </c>
      <c r="BM58" s="3629" t="s">
        <v>3153</v>
      </c>
      <c r="BN58" s="3637"/>
      <c r="BO58" s="3637"/>
      <c r="BP58" s="3637"/>
      <c r="BQ58" s="3637"/>
      <c r="BR58" s="3629"/>
      <c r="BS58" s="3629"/>
      <c r="BT58" s="3149"/>
      <c r="BU58" s="3149"/>
      <c r="BV58" s="3149"/>
      <c r="BW58" s="3149"/>
      <c r="BX58" s="3149"/>
      <c r="BY58" s="3149"/>
      <c r="BZ58" s="3149"/>
      <c r="CA58" s="3149"/>
      <c r="CB58" s="3149"/>
      <c r="CC58" s="3149"/>
      <c r="CD58" s="3149"/>
      <c r="CE58" s="3149"/>
      <c r="CF58" s="3149"/>
      <c r="CG58" s="3149"/>
      <c r="CH58" s="3149"/>
      <c r="CI58" s="3149"/>
      <c r="CJ58" s="3149"/>
      <c r="CK58" s="3149"/>
      <c r="CL58" s="3149"/>
      <c r="CM58" s="3149"/>
      <c r="CN58" s="3149"/>
      <c r="CO58" s="3149"/>
      <c r="CP58" s="3149"/>
      <c r="CQ58" s="3149"/>
      <c r="CR58" s="3149"/>
      <c r="CS58" s="3149"/>
      <c r="CT58" s="3149"/>
      <c r="CU58" s="3149"/>
      <c r="CV58" s="3149"/>
      <c r="CW58" s="3149"/>
      <c r="CX58" s="3149"/>
      <c r="CY58" s="3149"/>
      <c r="CZ58" s="3149"/>
      <c r="DA58" s="3149"/>
      <c r="DB58" s="3149"/>
      <c r="DC58" s="3149"/>
      <c r="DD58" s="3149"/>
      <c r="DE58" s="3149"/>
      <c r="DF58" s="3149"/>
      <c r="DG58" s="3149"/>
      <c r="DH58" s="3149"/>
      <c r="DI58" s="3149"/>
      <c r="DJ58" s="3149"/>
      <c r="DK58" s="3149"/>
      <c r="DL58" s="3149"/>
      <c r="DM58" s="3149"/>
      <c r="DN58" s="3149"/>
      <c r="DO58" s="3149"/>
      <c r="DP58" s="3149"/>
      <c r="DQ58" s="3149"/>
      <c r="DR58" s="3149"/>
      <c r="DS58" s="3149"/>
      <c r="DT58" s="3149"/>
      <c r="DU58" s="3149"/>
      <c r="DV58" s="3149"/>
      <c r="DW58" s="3149"/>
      <c r="DX58" s="3149"/>
      <c r="DY58" s="3149"/>
      <c r="DZ58" s="3149"/>
      <c r="EA58" s="3149"/>
      <c r="EB58" s="3149"/>
      <c r="EC58" s="3149"/>
      <c r="ED58" s="3149"/>
      <c r="EE58" s="3149"/>
      <c r="EF58" s="3149"/>
      <c r="EG58" s="3149"/>
      <c r="EH58" s="3149"/>
      <c r="EI58" s="3149"/>
      <c r="EJ58" s="3149"/>
      <c r="EK58" s="3149"/>
      <c r="EL58" s="3149"/>
      <c r="EM58" s="3149"/>
      <c r="EN58" s="3149"/>
      <c r="EO58" s="3149"/>
      <c r="EP58" s="3149"/>
      <c r="EQ58" s="3149"/>
      <c r="ER58" s="3149"/>
      <c r="ES58" s="3149"/>
      <c r="ET58" s="3149"/>
      <c r="EU58" s="3149"/>
      <c r="EV58" s="3149"/>
      <c r="EW58" s="3149"/>
      <c r="EX58" s="3149"/>
      <c r="EY58" s="3149"/>
      <c r="EZ58" s="3149"/>
      <c r="FA58" s="3149"/>
      <c r="FB58" s="3149"/>
      <c r="FC58" s="3149"/>
      <c r="FD58" s="3149"/>
      <c r="FE58" s="3149"/>
      <c r="FF58" s="3149"/>
      <c r="FG58" s="3149"/>
      <c r="FH58" s="3149"/>
      <c r="FI58" s="3149"/>
      <c r="FJ58" s="3149"/>
      <c r="FK58" s="3149"/>
      <c r="FL58" s="3149"/>
      <c r="FM58" s="3149"/>
      <c r="FN58" s="3149"/>
      <c r="FO58" s="3149"/>
      <c r="FP58" s="3149"/>
      <c r="FQ58" s="3149"/>
      <c r="FR58" s="3149"/>
      <c r="FS58" s="3149"/>
      <c r="FT58" s="3149"/>
      <c r="FU58" s="3149"/>
      <c r="FV58" s="3149"/>
      <c r="FW58" s="3149"/>
      <c r="FX58" s="3149"/>
      <c r="FY58" s="3149"/>
      <c r="FZ58" s="3149"/>
      <c r="GA58" s="3149"/>
      <c r="GB58" s="3149"/>
      <c r="GC58" s="3149"/>
      <c r="GD58" s="3149"/>
      <c r="GE58" s="3149"/>
      <c r="GF58" s="3149"/>
      <c r="GG58" s="3149"/>
      <c r="GH58" s="3149"/>
      <c r="GI58" s="3149"/>
      <c r="GJ58" s="3149"/>
      <c r="GK58" s="3149"/>
      <c r="GL58" s="3149"/>
      <c r="GM58" s="3149"/>
      <c r="GN58" s="3149"/>
      <c r="GO58" s="3149"/>
      <c r="GP58" s="3149"/>
      <c r="GQ58" s="3149"/>
      <c r="GR58" s="3149"/>
      <c r="GS58" s="3149"/>
      <c r="GT58" s="3149"/>
      <c r="GU58" s="3149"/>
      <c r="GV58" s="3149"/>
      <c r="GW58" s="3149"/>
      <c r="GX58" s="3149"/>
      <c r="GY58" s="3149"/>
      <c r="GZ58" s="3149"/>
      <c r="HA58" s="3149"/>
      <c r="HB58" s="3149"/>
      <c r="HC58" s="3149"/>
      <c r="HD58" s="3149"/>
      <c r="HE58" s="3149"/>
      <c r="HF58" s="3149"/>
      <c r="HG58" s="3149"/>
      <c r="HH58" s="3149"/>
      <c r="HI58" s="3149"/>
      <c r="HJ58" s="3149"/>
      <c r="HK58" s="3149"/>
      <c r="HL58" s="3149"/>
      <c r="HM58" s="3149"/>
      <c r="HN58" s="3149"/>
      <c r="HO58" s="3149"/>
      <c r="HP58" s="3149"/>
      <c r="HQ58" s="3149"/>
      <c r="HR58" s="3149"/>
      <c r="HS58" s="3149"/>
      <c r="HT58" s="3149"/>
      <c r="HU58" s="3149"/>
      <c r="HV58" s="3149"/>
      <c r="HW58" s="3149"/>
      <c r="HX58" s="3149"/>
      <c r="HY58" s="3149"/>
    </row>
    <row r="59" spans="1:233" s="3150" customFormat="1" ht="49.5" customHeight="1">
      <c r="A59" s="3629"/>
      <c r="B59" s="3629"/>
      <c r="C59" s="3630"/>
      <c r="D59" s="3629"/>
      <c r="E59" s="3629"/>
      <c r="F59" s="3629"/>
      <c r="G59" s="3629"/>
      <c r="H59" s="3630"/>
      <c r="I59" s="3151" t="s">
        <v>3154</v>
      </c>
      <c r="J59" s="3151" t="s">
        <v>3155</v>
      </c>
      <c r="K59" s="3151" t="s">
        <v>3156</v>
      </c>
      <c r="L59" s="3151" t="s">
        <v>3157</v>
      </c>
      <c r="M59" s="3629"/>
      <c r="N59" s="3629"/>
      <c r="O59" s="3635"/>
      <c r="P59" s="3636"/>
      <c r="Q59" s="3152" t="s">
        <v>3045</v>
      </c>
      <c r="R59" s="3152" t="s">
        <v>3158</v>
      </c>
      <c r="S59" s="3152" t="s">
        <v>26</v>
      </c>
      <c r="T59" s="3152" t="s">
        <v>24</v>
      </c>
      <c r="U59" s="3629"/>
      <c r="V59" s="3152" t="s">
        <v>3159</v>
      </c>
      <c r="W59" s="3153" t="s">
        <v>3160</v>
      </c>
      <c r="X59" s="3630"/>
      <c r="Y59" s="3152" t="s">
        <v>3161</v>
      </c>
      <c r="Z59" s="3152" t="s">
        <v>3162</v>
      </c>
      <c r="AA59" s="3152" t="s">
        <v>3163</v>
      </c>
      <c r="AB59" s="3152" t="s">
        <v>3164</v>
      </c>
      <c r="AC59" s="3152" t="s">
        <v>3165</v>
      </c>
      <c r="AD59" s="3152" t="s">
        <v>3166</v>
      </c>
      <c r="AE59" s="3152" t="s">
        <v>3167</v>
      </c>
      <c r="AF59" s="3642"/>
      <c r="AG59" s="3152" t="s">
        <v>3168</v>
      </c>
      <c r="AH59" s="3152" t="s">
        <v>3169</v>
      </c>
      <c r="AI59" s="3152" t="s">
        <v>3170</v>
      </c>
      <c r="AJ59" s="3643"/>
      <c r="AK59" s="3154" t="s">
        <v>3137</v>
      </c>
      <c r="AL59" s="3152" t="s">
        <v>6</v>
      </c>
      <c r="AM59" s="3152" t="s">
        <v>3171</v>
      </c>
      <c r="AN59" s="3641"/>
      <c r="AO59" s="3629"/>
      <c r="AP59" s="3645"/>
      <c r="AQ59" s="3629"/>
      <c r="AR59" s="3629"/>
      <c r="AS59" s="3629"/>
      <c r="AT59" s="3629"/>
      <c r="AU59" s="3152" t="s">
        <v>25</v>
      </c>
      <c r="AV59" s="3152" t="s">
        <v>3172</v>
      </c>
      <c r="AW59" s="3152" t="s">
        <v>202</v>
      </c>
      <c r="AX59" s="3152" t="s">
        <v>3173</v>
      </c>
      <c r="AY59" s="3629"/>
      <c r="AZ59" s="3629"/>
      <c r="BA59" s="3629"/>
      <c r="BB59" s="3629"/>
      <c r="BC59" s="3629"/>
      <c r="BD59" s="3630"/>
      <c r="BE59" s="3152" t="s">
        <v>2919</v>
      </c>
      <c r="BF59" s="3152" t="s">
        <v>6</v>
      </c>
      <c r="BG59" s="3152" t="s">
        <v>3174</v>
      </c>
      <c r="BH59" s="3152" t="s">
        <v>3171</v>
      </c>
      <c r="BI59" s="3636"/>
      <c r="BJ59" s="3152" t="s">
        <v>3175</v>
      </c>
      <c r="BK59" s="3152" t="s">
        <v>3176</v>
      </c>
      <c r="BL59" s="3646"/>
      <c r="BM59" s="3629"/>
      <c r="BN59" s="3155" t="s">
        <v>3045</v>
      </c>
      <c r="BO59" s="3155" t="s">
        <v>3158</v>
      </c>
      <c r="BP59" s="3155" t="s">
        <v>26</v>
      </c>
      <c r="BQ59" s="3155" t="s">
        <v>24</v>
      </c>
      <c r="BR59" s="3156" t="s">
        <v>2960</v>
      </c>
      <c r="BS59" s="3152" t="s">
        <v>3177</v>
      </c>
      <c r="BT59" s="3149"/>
      <c r="BU59" s="3149"/>
      <c r="BV59" s="3149"/>
      <c r="BW59" s="3149"/>
      <c r="BX59" s="3149"/>
      <c r="BY59" s="3149"/>
      <c r="BZ59" s="3149"/>
      <c r="CA59" s="3149"/>
      <c r="CB59" s="3149"/>
      <c r="CC59" s="3149"/>
      <c r="CD59" s="3149"/>
      <c r="CE59" s="3149"/>
      <c r="CF59" s="3149"/>
      <c r="CG59" s="3149"/>
      <c r="CH59" s="3149"/>
      <c r="CI59" s="3149"/>
      <c r="CJ59" s="3149"/>
      <c r="CK59" s="3149"/>
      <c r="CL59" s="3149"/>
      <c r="CM59" s="3149"/>
      <c r="CN59" s="3149"/>
      <c r="CO59" s="3149"/>
      <c r="CP59" s="3149"/>
      <c r="CQ59" s="3149"/>
      <c r="CR59" s="3149"/>
      <c r="CS59" s="3149"/>
      <c r="CT59" s="3149"/>
      <c r="CU59" s="3149"/>
      <c r="CV59" s="3149"/>
      <c r="CW59" s="3149"/>
      <c r="CX59" s="3149"/>
      <c r="CY59" s="3149"/>
      <c r="CZ59" s="3149"/>
      <c r="DA59" s="3149"/>
      <c r="DB59" s="3149"/>
      <c r="DC59" s="3149"/>
      <c r="DD59" s="3149"/>
      <c r="DE59" s="3149"/>
      <c r="DF59" s="3149"/>
      <c r="DG59" s="3149"/>
      <c r="DH59" s="3149"/>
      <c r="DI59" s="3149"/>
      <c r="DJ59" s="3149"/>
      <c r="DK59" s="3149"/>
      <c r="DL59" s="3149"/>
      <c r="DM59" s="3149"/>
      <c r="DN59" s="3149"/>
      <c r="DO59" s="3149"/>
      <c r="DP59" s="3149"/>
      <c r="DQ59" s="3149"/>
      <c r="DR59" s="3149"/>
      <c r="DS59" s="3149"/>
      <c r="DT59" s="3149"/>
      <c r="DU59" s="3149"/>
      <c r="DV59" s="3149"/>
      <c r="DW59" s="3149"/>
      <c r="DX59" s="3149"/>
      <c r="DY59" s="3149"/>
      <c r="DZ59" s="3149"/>
      <c r="EA59" s="3149"/>
      <c r="EB59" s="3149"/>
      <c r="EC59" s="3149"/>
      <c r="ED59" s="3149"/>
      <c r="EE59" s="3149"/>
      <c r="EF59" s="3149"/>
      <c r="EG59" s="3149"/>
      <c r="EH59" s="3149"/>
      <c r="EI59" s="3149"/>
      <c r="EJ59" s="3149"/>
      <c r="EK59" s="3149"/>
      <c r="EL59" s="3149"/>
      <c r="EM59" s="3149"/>
      <c r="EN59" s="3149"/>
      <c r="EO59" s="3149"/>
      <c r="EP59" s="3149"/>
      <c r="EQ59" s="3149"/>
      <c r="ER59" s="3149"/>
      <c r="ES59" s="3149"/>
      <c r="ET59" s="3149"/>
      <c r="EU59" s="3149"/>
      <c r="EV59" s="3149"/>
      <c r="EW59" s="3149"/>
      <c r="EX59" s="3149"/>
      <c r="EY59" s="3149"/>
      <c r="EZ59" s="3149"/>
      <c r="FA59" s="3149"/>
      <c r="FB59" s="3149"/>
      <c r="FC59" s="3149"/>
      <c r="FD59" s="3149"/>
      <c r="FE59" s="3149"/>
      <c r="FF59" s="3149"/>
      <c r="FG59" s="3149"/>
      <c r="FH59" s="3149"/>
      <c r="FI59" s="3149"/>
      <c r="FJ59" s="3149"/>
      <c r="FK59" s="3149"/>
      <c r="FL59" s="3149"/>
      <c r="FM59" s="3149"/>
      <c r="FN59" s="3149"/>
      <c r="FO59" s="3149"/>
      <c r="FP59" s="3149"/>
      <c r="FQ59" s="3149"/>
      <c r="FR59" s="3149"/>
      <c r="FS59" s="3149"/>
      <c r="FT59" s="3149"/>
      <c r="FU59" s="3149"/>
      <c r="FV59" s="3149"/>
      <c r="FW59" s="3149"/>
      <c r="FX59" s="3149"/>
      <c r="FY59" s="3149"/>
      <c r="FZ59" s="3149"/>
      <c r="GA59" s="3149"/>
      <c r="GB59" s="3149"/>
      <c r="GC59" s="3149"/>
      <c r="GD59" s="3149"/>
      <c r="GE59" s="3149"/>
      <c r="GF59" s="3149"/>
      <c r="GG59" s="3149"/>
      <c r="GH59" s="3149"/>
      <c r="GI59" s="3149"/>
      <c r="GJ59" s="3149"/>
      <c r="GK59" s="3149"/>
      <c r="GL59" s="3149"/>
      <c r="GM59" s="3149"/>
      <c r="GN59" s="3149"/>
      <c r="GO59" s="3149"/>
      <c r="GP59" s="3149"/>
      <c r="GQ59" s="3149"/>
      <c r="GR59" s="3149"/>
      <c r="GS59" s="3149"/>
      <c r="GT59" s="3149"/>
      <c r="GU59" s="3149"/>
      <c r="GV59" s="3149"/>
      <c r="GW59" s="3149"/>
      <c r="GX59" s="3149"/>
      <c r="GY59" s="3149"/>
      <c r="GZ59" s="3149"/>
      <c r="HA59" s="3149"/>
      <c r="HB59" s="3149"/>
      <c r="HC59" s="3149"/>
      <c r="HD59" s="3149"/>
      <c r="HE59" s="3149"/>
      <c r="HF59" s="3149"/>
      <c r="HG59" s="3149"/>
      <c r="HH59" s="3149"/>
      <c r="HI59" s="3149"/>
      <c r="HJ59" s="3149"/>
      <c r="HK59" s="3149"/>
      <c r="HL59" s="3149"/>
      <c r="HM59" s="3149"/>
      <c r="HN59" s="3149"/>
      <c r="HO59" s="3149"/>
      <c r="HP59" s="3149"/>
      <c r="HQ59" s="3149"/>
      <c r="HR59" s="3149"/>
      <c r="HS59" s="3149"/>
      <c r="HT59" s="3149"/>
      <c r="HU59" s="3149"/>
      <c r="HV59" s="3149"/>
      <c r="HW59" s="3149"/>
      <c r="HX59" s="3149"/>
      <c r="HY59" s="3149"/>
    </row>
    <row r="60" spans="1:233" s="3159" customFormat="1" ht="96" customHeight="1">
      <c r="A60" s="3157" t="s">
        <v>3178</v>
      </c>
      <c r="B60" s="3158" t="s">
        <v>3179</v>
      </c>
      <c r="C60" s="3159" t="s">
        <v>3180</v>
      </c>
      <c r="D60" s="3159" t="s">
        <v>2993</v>
      </c>
      <c r="E60" s="3159" t="s">
        <v>3181</v>
      </c>
      <c r="F60" s="3159" t="s">
        <v>3182</v>
      </c>
      <c r="G60" s="3159" t="s">
        <v>3183</v>
      </c>
      <c r="H60" s="3159" t="s">
        <v>3184</v>
      </c>
      <c r="I60" s="3159" t="s">
        <v>3185</v>
      </c>
      <c r="J60" s="3159" t="s">
        <v>3186</v>
      </c>
      <c r="K60" s="3159" t="s">
        <v>3187</v>
      </c>
      <c r="L60" s="3159" t="s">
        <v>3188</v>
      </c>
      <c r="M60" s="3160" t="s">
        <v>3189</v>
      </c>
      <c r="N60" s="3159" t="s">
        <v>2989</v>
      </c>
      <c r="P60" s="3159" t="s">
        <v>2995</v>
      </c>
      <c r="Q60" s="3159" t="s">
        <v>3190</v>
      </c>
      <c r="R60" s="3159" t="s">
        <v>3190</v>
      </c>
      <c r="S60" s="3159" t="s">
        <v>3190</v>
      </c>
      <c r="U60" s="3159">
        <v>6360.4070000000002</v>
      </c>
      <c r="V60" s="3159">
        <v>6360.4070000000002</v>
      </c>
      <c r="W60" s="3161">
        <f t="shared" ref="W60:W61" si="0">V60/U60</f>
        <v>1</v>
      </c>
      <c r="X60" s="3158">
        <f t="shared" ref="X60:X61" si="1">U60-V60</f>
        <v>0</v>
      </c>
      <c r="Z60" s="3159">
        <v>15901.0175</v>
      </c>
      <c r="AA60" s="3159" t="s">
        <v>3191</v>
      </c>
      <c r="AB60" s="3162"/>
      <c r="AC60" s="3159">
        <v>2300</v>
      </c>
      <c r="AD60" s="3163" t="e">
        <f>IF(Y60="",AC60/AD1990Z4,AC60/Y60)</f>
        <v>#NAME?</v>
      </c>
      <c r="AF60" s="3164">
        <f t="shared" ref="AF60:AF61" si="2">IF(Y60="",Z60/V60,Y60/V60)</f>
        <v>2.5</v>
      </c>
      <c r="AG60" s="3159" t="s">
        <v>2990</v>
      </c>
      <c r="AH60" s="3159" t="s">
        <v>3192</v>
      </c>
      <c r="AI60" s="3160" t="s">
        <v>3193</v>
      </c>
      <c r="AJ60" s="3165">
        <v>39856</v>
      </c>
      <c r="AK60" s="3158">
        <v>18103</v>
      </c>
      <c r="AL60" s="3166">
        <f t="shared" ref="AL60:AL61" si="3">ROUND(IF(Y60="",AK60*10000/Z60,AK60*10000/Y60),0)</f>
        <v>11385</v>
      </c>
      <c r="AM60" s="3159">
        <f t="shared" ref="AM60:AM61" si="4">ROUND(AK60*10000/V60,0)</f>
        <v>28462</v>
      </c>
      <c r="AN60" s="3167">
        <v>1157</v>
      </c>
      <c r="AO60" s="3168" t="s">
        <v>3194</v>
      </c>
      <c r="AP60" s="3159" t="s">
        <v>25</v>
      </c>
      <c r="AQ60" s="3157">
        <f t="shared" ref="AQ60:AQ61" si="5">ROUND(IF(Y60="",AN60*10000/Z60,AN60*10000/Y60),0)</f>
        <v>728</v>
      </c>
      <c r="AR60" s="3162">
        <f t="shared" ref="AR60:AR61" si="6">BE60-AZ60</f>
        <v>1657</v>
      </c>
      <c r="AS60" s="3161">
        <f t="shared" ref="AS60:AS61" si="7">AR60/AZ60</f>
        <v>9.7781187300837957E-2</v>
      </c>
      <c r="AT60" s="3158" t="s">
        <v>3195</v>
      </c>
      <c r="AU60" s="3164" t="s">
        <v>3196</v>
      </c>
      <c r="AV60" s="3159" t="s">
        <v>3197</v>
      </c>
      <c r="AW60" s="3159" t="s">
        <v>3198</v>
      </c>
      <c r="AX60" s="3159" t="s">
        <v>3199</v>
      </c>
      <c r="AY60" s="3159" t="s">
        <v>3200</v>
      </c>
      <c r="AZ60" s="3159">
        <v>16946</v>
      </c>
      <c r="BA60" s="3159">
        <f t="shared" ref="BA60:BA61" si="8">ROUND(IF(Y60="",AZ60*10000/Z60,AZ60*10000/Y60),0)</f>
        <v>10657</v>
      </c>
      <c r="BB60" s="3169">
        <f t="shared" ref="BB60:BB61" si="9">AZ60/AK60</f>
        <v>0.93608794122521133</v>
      </c>
      <c r="BC60" s="3169">
        <f t="shared" ref="BC60:BC61" si="10">AZ60/BE60</f>
        <v>0.91092834489060903</v>
      </c>
      <c r="BE60" s="3159">
        <v>18603</v>
      </c>
      <c r="BF60" s="3170">
        <f t="shared" ref="BF60:BF61" si="11">ROUND(IF(Y60="",BE60*10000/Z60,BE60*10000/Y60),0)</f>
        <v>11699</v>
      </c>
      <c r="BG60" s="3170">
        <f t="shared" ref="BG60:BG61" si="12">ROUND(IF(Y60="",(BE60-AZ60)*10000/Z60,(BE60-AZ60)*10000/Y60),0)</f>
        <v>1042</v>
      </c>
      <c r="BH60" s="3159">
        <f t="shared" ref="BH60:BH61" si="13">ROUND(BE60*10000/V60,0)</f>
        <v>29248</v>
      </c>
      <c r="BI60" s="3171">
        <f t="shared" ref="BI60:BI61" si="14">BE60/AK60</f>
        <v>1.0276197315362094</v>
      </c>
      <c r="BJ60" s="3172"/>
      <c r="BK60" s="3159" t="s">
        <v>3201</v>
      </c>
      <c r="BL60" s="3165">
        <v>39870</v>
      </c>
      <c r="BM60" s="3172">
        <v>6</v>
      </c>
      <c r="BN60" s="3170">
        <v>4590</v>
      </c>
      <c r="BO60" s="3170" t="s">
        <v>3202</v>
      </c>
      <c r="BP60" s="3170" t="s">
        <v>3203</v>
      </c>
      <c r="BQ60" s="3170"/>
      <c r="BR60" s="3165">
        <v>39869</v>
      </c>
      <c r="BS60" s="3159" t="s">
        <v>3204</v>
      </c>
      <c r="BT60" s="3173"/>
      <c r="BU60" s="3173"/>
      <c r="BX60" s="3161"/>
    </row>
    <row r="61" spans="1:233" s="3159" customFormat="1" ht="60" customHeight="1">
      <c r="B61" s="3159" t="s">
        <v>3302</v>
      </c>
      <c r="C61" s="3159" t="s">
        <v>3303</v>
      </c>
      <c r="D61" s="3159" t="s">
        <v>3043</v>
      </c>
      <c r="E61" s="3159" t="s">
        <v>3304</v>
      </c>
      <c r="F61" s="3159" t="s">
        <v>3305</v>
      </c>
      <c r="G61" s="3159" t="s">
        <v>3306</v>
      </c>
      <c r="H61" s="3159" t="s">
        <v>3307</v>
      </c>
      <c r="I61" s="3159" t="s">
        <v>3308</v>
      </c>
      <c r="J61" s="3159" t="s">
        <v>3309</v>
      </c>
      <c r="K61" s="3159" t="s">
        <v>3310</v>
      </c>
      <c r="L61" s="3159" t="s">
        <v>3311</v>
      </c>
      <c r="M61" s="3160" t="s">
        <v>3312</v>
      </c>
      <c r="N61" s="3159" t="s">
        <v>2989</v>
      </c>
      <c r="P61" s="3159" t="s">
        <v>3045</v>
      </c>
      <c r="Q61" s="3159" t="s">
        <v>3190</v>
      </c>
      <c r="S61" s="3159" t="s">
        <v>3190</v>
      </c>
      <c r="U61" s="3159">
        <v>18642.2</v>
      </c>
      <c r="V61" s="3159">
        <v>14300</v>
      </c>
      <c r="W61" s="3161">
        <f t="shared" si="0"/>
        <v>0.76707684715323299</v>
      </c>
      <c r="X61" s="3158">
        <f t="shared" si="1"/>
        <v>4342.2000000000007</v>
      </c>
      <c r="Z61" s="3159">
        <v>37750</v>
      </c>
      <c r="AA61" s="3159" t="s">
        <v>3191</v>
      </c>
      <c r="AB61" s="3162"/>
      <c r="AC61" s="3159">
        <v>5000</v>
      </c>
      <c r="AD61" s="3163" t="e">
        <f>IF(Y61="",AC61/AD1990Z4,AC61/Y61)</f>
        <v>#NAME?</v>
      </c>
      <c r="AF61" s="3164">
        <f t="shared" si="2"/>
        <v>2.63986013986014</v>
      </c>
      <c r="AG61" s="3159" t="s">
        <v>3047</v>
      </c>
      <c r="AH61" s="3159" t="s">
        <v>3313</v>
      </c>
      <c r="AI61" s="3160" t="s">
        <v>3314</v>
      </c>
      <c r="AJ61" s="3165">
        <v>40042</v>
      </c>
      <c r="AK61" s="3159">
        <v>15244</v>
      </c>
      <c r="AL61" s="3166">
        <f t="shared" si="3"/>
        <v>4038</v>
      </c>
      <c r="AM61" s="3159">
        <f t="shared" si="4"/>
        <v>10660</v>
      </c>
      <c r="AN61" s="3167">
        <v>1965.69</v>
      </c>
      <c r="AO61" s="3168" t="s">
        <v>3194</v>
      </c>
      <c r="AP61" s="3159" t="s">
        <v>3045</v>
      </c>
      <c r="AQ61" s="3157">
        <f t="shared" si="5"/>
        <v>521</v>
      </c>
      <c r="AR61" s="3162">
        <f t="shared" si="6"/>
        <v>38321.69</v>
      </c>
      <c r="AS61" s="3161">
        <f t="shared" si="7"/>
        <v>2.8860367019598128</v>
      </c>
      <c r="AT61" s="3158" t="s">
        <v>3315</v>
      </c>
      <c r="AU61" s="3164" t="s">
        <v>3196</v>
      </c>
      <c r="AV61" s="3159" t="s">
        <v>3316</v>
      </c>
      <c r="AW61" s="3159">
        <v>200</v>
      </c>
      <c r="AX61" s="3159" t="s">
        <v>3208</v>
      </c>
      <c r="AY61" s="3159" t="s">
        <v>3200</v>
      </c>
      <c r="AZ61" s="3159">
        <v>13278.31</v>
      </c>
      <c r="BA61" s="3159">
        <f t="shared" si="8"/>
        <v>3517</v>
      </c>
      <c r="BB61" s="3169">
        <f t="shared" si="9"/>
        <v>0.87105156127000782</v>
      </c>
      <c r="BC61" s="3169">
        <f t="shared" si="10"/>
        <v>0.25733158914728682</v>
      </c>
      <c r="BE61" s="3159">
        <v>51600</v>
      </c>
      <c r="BF61" s="3170">
        <f t="shared" si="11"/>
        <v>13669</v>
      </c>
      <c r="BG61" s="3170">
        <f t="shared" si="12"/>
        <v>10151</v>
      </c>
      <c r="BH61" s="3159">
        <f t="shared" si="13"/>
        <v>36084</v>
      </c>
      <c r="BI61" s="3171">
        <f t="shared" si="14"/>
        <v>3.3849383363946473</v>
      </c>
      <c r="BJ61" s="3172"/>
      <c r="BK61" s="3159" t="s">
        <v>3317</v>
      </c>
      <c r="BL61" s="3165">
        <v>40056</v>
      </c>
      <c r="BM61" s="3172" t="s">
        <v>3318</v>
      </c>
      <c r="BN61" s="3170" t="s">
        <v>3209</v>
      </c>
      <c r="BO61" s="3170"/>
      <c r="BP61" s="3170" t="s">
        <v>3319</v>
      </c>
      <c r="BQ61" s="3170"/>
      <c r="BR61" s="3165">
        <v>40056</v>
      </c>
      <c r="BS61" s="3159" t="s">
        <v>3210</v>
      </c>
      <c r="BT61" s="3173"/>
      <c r="BU61" s="3173"/>
    </row>
  </sheetData>
  <autoFilter ref="A34:S52">
    <filterColumn colId="5" showButton="0"/>
    <filterColumn colId="6" showButton="0"/>
    <filterColumn colId="10">
      <filters>
        <filter val="办公、居住及居住公共服务设施"/>
        <filter val="居住、居住公共服务设施、商业金融、文化娱乐、教育科研等"/>
        <filter val="居住及居住公共服务设施"/>
        <filter val="居住及居住公共服务设施、教育、混合用地"/>
        <filter val="居住用地、公共绿地"/>
        <filter val="居住用地等"/>
        <filter val="住宅及居住公共服务设施"/>
        <filter val="住宅及居住公共服务设施、商业金融业"/>
        <filter val="住宅及居住公建服务设施"/>
      </filters>
    </filterColumn>
  </autoFilter>
  <mergeCells count="86">
    <mergeCell ref="R34:R35"/>
    <mergeCell ref="S34:S35"/>
    <mergeCell ref="BJ58:BK58"/>
    <mergeCell ref="BL58:BL59"/>
    <mergeCell ref="BM58:BM59"/>
    <mergeCell ref="BE57:BM57"/>
    <mergeCell ref="O34:O35"/>
    <mergeCell ref="P34:P35"/>
    <mergeCell ref="Q34:Q35"/>
    <mergeCell ref="AT57:AX57"/>
    <mergeCell ref="AY57:BD57"/>
    <mergeCell ref="AF57:AF59"/>
    <mergeCell ref="AG57:AI58"/>
    <mergeCell ref="AJ57:AJ59"/>
    <mergeCell ref="AK57:AM58"/>
    <mergeCell ref="AN57:AS57"/>
    <mergeCell ref="AN58:AN59"/>
    <mergeCell ref="AO58:AO59"/>
    <mergeCell ref="AP58:AP59"/>
    <mergeCell ref="AQ58:AQ59"/>
    <mergeCell ref="AR58:AR59"/>
    <mergeCell ref="AS58:AS59"/>
    <mergeCell ref="BN57:BQ58"/>
    <mergeCell ref="BR57:BS58"/>
    <mergeCell ref="AT58:AT59"/>
    <mergeCell ref="AU58:AV58"/>
    <mergeCell ref="AW58:AX58"/>
    <mergeCell ref="AY58:AY59"/>
    <mergeCell ref="AZ58:AZ59"/>
    <mergeCell ref="BA58:BA59"/>
    <mergeCell ref="BB58:BB59"/>
    <mergeCell ref="BC58:BC59"/>
    <mergeCell ref="BD58:BD59"/>
    <mergeCell ref="BE58:BH58"/>
    <mergeCell ref="BI58:BI59"/>
    <mergeCell ref="O57:O59"/>
    <mergeCell ref="P57:T57"/>
    <mergeCell ref="U57:X57"/>
    <mergeCell ref="Y57:AE57"/>
    <mergeCell ref="P58:P59"/>
    <mergeCell ref="Q58:T58"/>
    <mergeCell ref="U58:U59"/>
    <mergeCell ref="V58:W58"/>
    <mergeCell ref="X58:X59"/>
    <mergeCell ref="Y58:Z58"/>
    <mergeCell ref="AA58:AE58"/>
    <mergeCell ref="A1:A2"/>
    <mergeCell ref="B1:B2"/>
    <mergeCell ref="C1:C2"/>
    <mergeCell ref="D1:D2"/>
    <mergeCell ref="N57:N59"/>
    <mergeCell ref="I34:I35"/>
    <mergeCell ref="J34:J35"/>
    <mergeCell ref="K34:K35"/>
    <mergeCell ref="L34:L35"/>
    <mergeCell ref="N34:N35"/>
    <mergeCell ref="A34:A35"/>
    <mergeCell ref="B34:B35"/>
    <mergeCell ref="C34:C35"/>
    <mergeCell ref="D34:D35"/>
    <mergeCell ref="F34:H34"/>
    <mergeCell ref="A57:A59"/>
    <mergeCell ref="B57:B59"/>
    <mergeCell ref="C57:C59"/>
    <mergeCell ref="D57:D59"/>
    <mergeCell ref="E57:M57"/>
    <mergeCell ref="E58:E59"/>
    <mergeCell ref="F58:F59"/>
    <mergeCell ref="G58:G59"/>
    <mergeCell ref="H58:H59"/>
    <mergeCell ref="I58:L58"/>
    <mergeCell ref="M58:M59"/>
    <mergeCell ref="E1:E2"/>
    <mergeCell ref="T1:T2"/>
    <mergeCell ref="I1:I2"/>
    <mergeCell ref="J1:J2"/>
    <mergeCell ref="K1:K2"/>
    <mergeCell ref="L1:L2"/>
    <mergeCell ref="M1:M2"/>
    <mergeCell ref="N1:N2"/>
    <mergeCell ref="O1:O2"/>
    <mergeCell ref="P1:P2"/>
    <mergeCell ref="Q1:Q2"/>
    <mergeCell ref="R1:R2"/>
    <mergeCell ref="S1:S2"/>
    <mergeCell ref="F1:H1"/>
  </mergeCells>
  <phoneticPr fontId="259" type="noConversion"/>
  <dataValidations count="3">
    <dataValidation type="list" allowBlank="1" showInputMessage="1" showErrorMessage="1" sqref="WWJ60:WWJ61 WMN60:WMN61 WCR60:WCR61 VSV60:VSV61 VIZ60:VIZ61 UZD60:UZD61 UPH60:UPH61 UFL60:UFL61 TVP60:TVP61 TLT60:TLT61 TBX60:TBX61 SSB60:SSB61 SIF60:SIF61 RYJ60:RYJ61 RON60:RON61 RER60:RER61 QUV60:QUV61 QKZ60:QKZ61 QBD60:QBD61 PRH60:PRH61 PHL60:PHL61 OXP60:OXP61 ONT60:ONT61 ODX60:ODX61 NUB60:NUB61 NKF60:NKF61 NAJ60:NAJ61 MQN60:MQN61 MGR60:MGR61 LWV60:LWV61 LMZ60:LMZ61 LDD60:LDD61 KTH60:KTH61 KJL60:KJL61 JZP60:JZP61 JPT60:JPT61 JFX60:JFX61 IWB60:IWB61 IMF60:IMF61 ICJ60:ICJ61 HSN60:HSN61 HIR60:HIR61 GYV60:GYV61 GOZ60:GOZ61 GFD60:GFD61 FVH60:FVH61 FLL60:FLL61 FBP60:FBP61 ERT60:ERT61 EHX60:EHX61 DYB60:DYB61 DOF60:DOF61 DEJ60:DEJ61 CUN60:CUN61 CKR60:CKR61 CAV60:CAV61 BQZ60:BQZ61 BHD60:BHD61 AXH60:AXH61 ANL60:ANL61 ADP60:ADP61 TT60:TT61 JX60:JX61 AB60:AB61">
      <formula1>"——,现场竞报"</formula1>
    </dataValidation>
    <dataValidation allowBlank="1" showInputMessage="1" showErrorMessage="1" prompt="公共租赁住房_x000a_廉租房_x000a_经济适用住房_x000a_限价商品房_x000a_定向安置房_x000a_回迁房" sqref="WWI60:WWI61 WMM60:WMM61 WCQ60:WCQ61 VSU60:VSU61 VIY60:VIY61 UZC60:UZC61 UPG60:UPG61 UFK60:UFK61 TVO60:TVO61 TLS60:TLS61 TBW60:TBW61 SSA60:SSA61 SIE60:SIE61 RYI60:RYI61 ROM60:ROM61 REQ60:REQ61 QUU60:QUU61 QKY60:QKY61 QBC60:QBC61 PRG60:PRG61 PHK60:PHK61 OXO60:OXO61 ONS60:ONS61 ODW60:ODW61 NUA60:NUA61 NKE60:NKE61 NAI60:NAI61 MQM60:MQM61 MGQ60:MGQ61 LWU60:LWU61 LMY60:LMY61 LDC60:LDC61 KTG60:KTG61 KJK60:KJK61 JZO60:JZO61 JPS60:JPS61 JFW60:JFW61 IWA60:IWA61 IME60:IME61 ICI60:ICI61 HSM60:HSM61 HIQ60:HIQ61 GYU60:GYU61 GOY60:GOY61 GFC60:GFC61 FVG60:FVG61 FLK60:FLK61 FBO60:FBO61 ERS60:ERS61 EHW60:EHW61 DYA60:DYA61 DOE60:DOE61 DEI60:DEI61 CUM60:CUM61 CKQ60:CKQ61 CAU60:CAU61 BQY60:BQY61 BHC60:BHC61 AXG60:AXG61 ANK60:ANK61 ADO60:ADO61 TS60:TS61 JW60:JW61 AA60:AA61"/>
    <dataValidation type="list" allowBlank="1" showInputMessage="1" showErrorMessage="1" sqref="WWW60:WWW61 WNA60:WNA61 WDE60:WDE61 VTI60:VTI61 VJM60:VJM61 UZQ60:UZQ61 UPU60:UPU61 UFY60:UFY61 TWC60:TWC61 TMG60:TMG61 TCK60:TCK61 SSO60:SSO61 SIS60:SIS61 RYW60:RYW61 RPA60:RPA61 RFE60:RFE61 QVI60:QVI61 QLM60:QLM61 QBQ60:QBQ61 PRU60:PRU61 PHY60:PHY61 OYC60:OYC61 OOG60:OOG61 OEK60:OEK61 NUO60:NUO61 NKS60:NKS61 NAW60:NAW61 MRA60:MRA61 MHE60:MHE61 LXI60:LXI61 LNM60:LNM61 LDQ60:LDQ61 KTU60:KTU61 KJY60:KJY61 KAC60:KAC61 JQG60:JQG61 JGK60:JGK61 IWO60:IWO61 IMS60:IMS61 ICW60:ICW61 HTA60:HTA61 HJE60:HJE61 GZI60:GZI61 GPM60:GPM61 GFQ60:GFQ61 FVU60:FVU61 FLY60:FLY61 FCC60:FCC61 ESG60:ESG61 EIK60:EIK61 DYO60:DYO61 DOS60:DOS61 DEW60:DEW61 CVA60:CVA61 CLE60:CLE61 CBI60:CBI61 BRM60:BRM61 BHQ60:BHQ61 AXU60:AXU61 ANY60:ANY61 AEC60:AEC61 UG60:UG61 KK60:KK61 AO60:AO61">
      <formula1>"仅含土地出让金,含土地出让金和城市基础设施建设费"</formula1>
    </dataValidation>
  </dataValidations>
  <hyperlinks>
    <hyperlink ref="B3" r:id="rId1" display="http://www.bjtd.com/Center/gp_view.asp?prj_id=719&amp;prj_code=京土整储挂（西）%5b2009%5d001号"/>
    <hyperlink ref="B4" r:id="rId2" display="http://www.bjtd.com/Center/gp_view.asp?prj_id=712&amp;prj_code=京土整储挂（昌）%5b2008%5d053号"/>
    <hyperlink ref="B5" r:id="rId3" display="http://www.bjtd.com/tabid/3029/Default.aspx?projectid=763"/>
    <hyperlink ref="B6" r:id="rId4" display="http://www.bjtd.com/tabid/3029/Default.aspx?projectid=766"/>
    <hyperlink ref="B7" r:id="rId5" display="http://www.bjtd.com/tabid/3029/Default.aspx?projectid=768"/>
    <hyperlink ref="B8" r:id="rId6" display="http://www.bjtd.com/tabid/3029/Default.aspx?projectid=777"/>
    <hyperlink ref="B9" r:id="rId7" display="http://www.bjtd.com/tabid/3029/Default.aspx?projectid=809"/>
    <hyperlink ref="B10" r:id="rId8" display="http://www.bjtd.com/tabid/3029/Default.aspx?projectid=820"/>
    <hyperlink ref="B11" r:id="rId9" display="http://www.bjtd.com/tabid/3029/Default.aspx?projectid=821"/>
    <hyperlink ref="B12" r:id="rId10" display="http://www.bjtd.com/tabid/3029/Default.aspx?projectid=823"/>
    <hyperlink ref="B13" r:id="rId11" display="http://www.bjtd.com/tabid/3029/Default.aspx?projectid=793"/>
    <hyperlink ref="B14" r:id="rId12" display="http://www.bjtd.com/tabid/3029/Default.aspx?projectid=833"/>
    <hyperlink ref="B15" r:id="rId13" display="http://www.bjtd.com/tabid/3029/Default.aspx?projectid=832"/>
    <hyperlink ref="B16" r:id="rId14" display="http://www.bjtd.com/tabid/3029/Default.aspx?projectid=836"/>
    <hyperlink ref="B17" r:id="rId15" display="http://www.bjtd.com/tabid/3029/Default.aspx?projectid=831"/>
    <hyperlink ref="B18" r:id="rId16" display="http://www.bjtd.com/tabid/3029/Default.aspx?projectid=864"/>
    <hyperlink ref="B19" r:id="rId17" display="http://www.bjtd.com/tabid/3029/Default.aspx?projectid=866"/>
    <hyperlink ref="B20" r:id="rId18" display="http://www.bjtd.com/tabid/3029/Default.aspx?projectid=886"/>
    <hyperlink ref="B21" r:id="rId19" display="http://www.bjtd.com/tabid/3029/Default.aspx?projectid=888"/>
    <hyperlink ref="B22" r:id="rId20" display="http://www.bjtd.com/tabid/3029/Default.aspx?projectid=891"/>
    <hyperlink ref="B23" r:id="rId21" display="http://www.bjtd.com/tabid/3029/Default.aspx?projectid=895"/>
    <hyperlink ref="B24" r:id="rId22" display="http://www.bjtd.com/tabid/3029/Default.aspx?projectid=1033"/>
    <hyperlink ref="B25" r:id="rId23" display="http://www.bjtd.com/tabid/3029/Default.aspx?projectid=1047"/>
    <hyperlink ref="B26" r:id="rId24" display="http://www.bjtd.com/tabid/3029/Default.aspx?projectid=1048"/>
    <hyperlink ref="B27" r:id="rId25" display="http://www.bjtd.com/tabid/3029/Default.aspx?projectid=1067"/>
    <hyperlink ref="B28" r:id="rId26" display="http://www.bjtd.com/tabid/3029/Default.aspx?projectid=1053"/>
    <hyperlink ref="B29" r:id="rId27" display="http://www.bjtd.com/tabid/3029/Default.aspx?projectid=1064"/>
    <hyperlink ref="B30" r:id="rId28" display="http://www.bjtd.com/tabid/3029/Default.aspx?projectid=1069"/>
    <hyperlink ref="M60" r:id="rId29"/>
    <hyperlink ref="AI60" r:id="rId30"/>
    <hyperlink ref="B36" r:id="rId31" display="http://www.bjtd.com/Center/gp_view.asp?prj_id=509&amp;prj_code=京土整储挂（海）%5b2007%5d086号"/>
    <hyperlink ref="B37" r:id="rId32" display="http://www.bjtd.com/Center/gp_view.asp?prj_id=510&amp;prj_code=京土整储挂（东）%5b2007%5d087号"/>
    <hyperlink ref="B38" r:id="rId33" display="http://www.bjtd.com/Center/gp_view.asp?prj_id=528&amp;prj_code=京土整储挂（海）%5b%5b2007%5d098号"/>
    <hyperlink ref="B39" r:id="rId34" display="http://www.bjtd.com/Center/gp_view.asp?prj_id=527&amp;prj_code=京土整储挂（朝）%5b2007%5d097号"/>
    <hyperlink ref="B40" r:id="rId35" display="http://www.bjtd.com/Center/ot_view.asp?prj_id=534"/>
    <hyperlink ref="B41" r:id="rId36" display="http://www.bjtd.com/Center/ot_view.asp?prj_id=535"/>
    <hyperlink ref="B42" r:id="rId37" display="http://www.bjtd.com/Center/ot_view.asp?prj_id=516"/>
    <hyperlink ref="B43" r:id="rId38" display="http://www.bjtd.com/Center/ot_view.asp?prj_id=486"/>
    <hyperlink ref="B44" r:id="rId39" display="http://www.bjtd.com/Center/gp_view.asp?prj_id=549&amp;prj_code=京土整储挂（朝）%5b2008%5d007号"/>
    <hyperlink ref="B45" r:id="rId40" display="http://www.bjtd.com/Center/gp_view.asp?prj_id=562&amp;prj_code=京土整储挂（海）工业(2008)001号"/>
    <hyperlink ref="B46" r:id="rId41" display="http://www.bjtd.com/Center/gp_view.asp?prj_id=565&amp;prj_code=京土整储挂（朝）%5b2008%5d013号"/>
    <hyperlink ref="B47" r:id="rId42" display="http://www.bjtd.com/Center/gp_view.asp?prj_id=569&amp;prj_code=京土整储挂（朝）%5b2008%5d15号"/>
    <hyperlink ref="B48" r:id="rId43" display="http://www.bjtd.com/Center/gp_view.asp?prj_id=595&amp;prj_code=京土整储挂（海）%5b2008%5d%20019号"/>
    <hyperlink ref="B49" r:id="rId44" display="http://www.bjtd.com/Center/ot_view.asp?prj_id=640"/>
    <hyperlink ref="B50" r:id="rId45" display="http://www.bjtd.com/Center/gp_view.asp?prj_id=646&amp;prj_code=京土整储挂（朝）%5b2008%5d045号"/>
    <hyperlink ref="B51" r:id="rId46" display="http://www.bjtd.com/Center/gp_view.asp?prj_id=654&amp;prj_code=京土整储挂（朝）%5b2008%5d049号"/>
    <hyperlink ref="B52" r:id="rId47" display="http://www.bjtd.com/Center/gp_view.asp?prj_id=566&amp;prj_code=京土整储挂（海）%5b2008%5d016号"/>
    <hyperlink ref="M61" r:id="rId48"/>
    <hyperlink ref="AI61" r:id="rId49"/>
  </hyperlinks>
  <pageMargins left="0.7" right="0.7" top="0.75" bottom="0.75" header="0.3" footer="0.3"/>
  <pageSetup paperSize="9" orientation="portrait" r:id="rId50"/>
  <legacyDrawing r:id="rId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1956</v>
      </c>
      <c r="B1" s="1305"/>
      <c r="C1" s="1305"/>
      <c r="D1" s="1305"/>
      <c r="E1" s="1305"/>
    </row>
    <row r="2" spans="1:5" ht="78.75" customHeight="1">
      <c r="A2" s="32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17"/>
      <c r="C2" s="3217"/>
      <c r="D2" s="3217"/>
      <c r="E2" s="3217"/>
    </row>
    <row r="3" spans="1:5" ht="13.5" customHeight="1">
      <c r="A3" s="1862"/>
      <c r="B3" s="1862"/>
      <c r="C3" s="1862"/>
      <c r="D3" s="1862"/>
      <c r="E3" s="1862"/>
    </row>
    <row r="4" spans="1:5" ht="19.5" thickBot="1">
      <c r="A4" s="3218" t="str">
        <f>IF(项目基本情况!D5="房地产市场价值","估价结果一览表（市场价值不需本页表格)","估价结果一览表")</f>
        <v>估价结果一览表</v>
      </c>
      <c r="B4" s="3218"/>
      <c r="C4" s="3218"/>
      <c r="D4" s="3218"/>
      <c r="E4" s="3218"/>
    </row>
    <row r="5" spans="1:5" ht="14.25" customHeight="1" thickTop="1">
      <c r="A5" s="1305"/>
      <c r="B5" s="1791" t="s">
        <v>1856</v>
      </c>
      <c r="C5" s="3219" t="s">
        <v>1963</v>
      </c>
      <c r="D5" s="3220"/>
      <c r="E5" s="1305"/>
    </row>
    <row r="6" spans="1:5" ht="15.75">
      <c r="A6" s="1305"/>
      <c r="B6" s="2027" t="str">
        <f>项目基本情况!I1</f>
        <v>北京市房地产</v>
      </c>
      <c r="C6" s="3221">
        <f>项目基本情况!C12</f>
        <v>349.11</v>
      </c>
      <c r="D6" s="3221"/>
      <c r="E6" s="1305"/>
    </row>
    <row r="7" spans="1:5" ht="15.75">
      <c r="A7" s="1305"/>
      <c r="B7" s="3215" t="s">
        <v>1981</v>
      </c>
      <c r="C7" s="1769" t="str">
        <f>IF('数据-取费表'!B3="万元","总价（万元）","总价（元）")</f>
        <v>总价（元）</v>
      </c>
      <c r="D7" s="3065">
        <f ca="1">IF('数据-取费表'!E3="否",结果表!I102,'结果表 (1修多)'!I103)</f>
        <v>17718031</v>
      </c>
      <c r="E7" s="1305"/>
    </row>
    <row r="8" spans="1:5" ht="31.5">
      <c r="A8" s="1305"/>
      <c r="B8" s="3215"/>
      <c r="C8" s="2811" t="s">
        <v>2736</v>
      </c>
      <c r="D8" s="3102" t="str">
        <f ca="1">IF('数据-取费表'!B3="万元",NUMBERSTRING(INT(D7*10000),2)&amp;"元整",NUMBERSTRING(INT(D7),2)&amp;"元整")</f>
        <v>壹仟柒佰柒拾壹万捌仟零叁拾壹元整</v>
      </c>
      <c r="E8" s="1305"/>
    </row>
    <row r="9" spans="1:5" ht="15.75">
      <c r="A9" s="1305"/>
      <c r="B9" s="3215"/>
      <c r="C9" s="1770" t="s">
        <v>1964</v>
      </c>
      <c r="D9" s="3065">
        <f ca="1">IF('数据-取费表'!E3="否",结果表!I103,'结果表 (1修多)'!I104)</f>
        <v>50752</v>
      </c>
      <c r="E9" s="1305"/>
    </row>
    <row r="10" spans="1:5" ht="15.75">
      <c r="A10" s="1305"/>
      <c r="B10" s="3222"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222"/>
      <c r="C11" s="2811" t="s">
        <v>2736</v>
      </c>
      <c r="D11" s="3064" t="str">
        <f>IF('数据-取费表'!B3="万元",NUMBERSTRING(INT(D10*10000),2)&amp;"元整",NUMBERSTRING(INT(D10),2)&amp;"元整")</f>
        <v>零元整</v>
      </c>
      <c r="E11" s="1305"/>
    </row>
    <row r="12" spans="1:5" ht="15">
      <c r="A12" s="1305"/>
      <c r="B12" s="3072" t="s">
        <v>1859</v>
      </c>
      <c r="C12" s="1772" t="str">
        <f>C10</f>
        <v>总额（元）</v>
      </c>
      <c r="D12" s="1764">
        <f>IF('数据-取费表'!E3="否",结果表!I106,'结果表 (1修多)'!I107)</f>
        <v>0</v>
      </c>
      <c r="E12" s="1305"/>
    </row>
    <row r="13" spans="1:5" ht="15">
      <c r="A13" s="1305"/>
      <c r="B13" s="3072" t="s">
        <v>1860</v>
      </c>
      <c r="C13" s="1772" t="str">
        <f>C10</f>
        <v>总额（元）</v>
      </c>
      <c r="D13" s="1764">
        <f>IF('数据-取费表'!E3="否",结果表!I107,'结果表 (1修多)'!I108)</f>
        <v>0</v>
      </c>
      <c r="E13" s="1305"/>
    </row>
    <row r="14" spans="1:5" ht="15">
      <c r="A14" s="1305"/>
      <c r="B14" s="3072" t="s">
        <v>1861</v>
      </c>
      <c r="C14" s="1772" t="str">
        <f>C10</f>
        <v>总额（元）</v>
      </c>
      <c r="D14" s="1764">
        <f>IF('数据-取费表'!E3="否",结果表!I108,'结果表 (1修多)'!I109)</f>
        <v>0</v>
      </c>
      <c r="E14" s="1305"/>
    </row>
    <row r="15" spans="1:5" ht="15.75">
      <c r="A15" s="1305"/>
      <c r="B15" s="3222" t="str">
        <f>IF('数据-取费表'!E3="否",结果表!F110,'结果表 (1修多)'!F111)</f>
        <v>3.房地产抵押价值</v>
      </c>
      <c r="C15" s="3073" t="str">
        <f>C7</f>
        <v>总价（元）</v>
      </c>
      <c r="D15" s="3065">
        <f ca="1">IF('数据-取费表'!E3="否",结果表!I110,'结果表 (1修多)'!I111)</f>
        <v>17718031</v>
      </c>
      <c r="E15" s="1305"/>
    </row>
    <row r="16" spans="1:5" ht="31.5">
      <c r="A16" s="1305"/>
      <c r="B16" s="3222"/>
      <c r="C16" s="2811" t="s">
        <v>2736</v>
      </c>
      <c r="D16" s="3071" t="str">
        <f ca="1">IF('数据-取费表'!B3="万元",NUMBERSTRING(INT(D15*10000),2)&amp;"元整",NUMBERSTRING(INT(D15),2)&amp;"元整")</f>
        <v>壹仟柒佰柒拾壹万捌仟零叁拾壹元整</v>
      </c>
      <c r="E16" s="1305"/>
    </row>
    <row r="17" spans="1:5" ht="15.75">
      <c r="A17" s="1305"/>
      <c r="B17" s="3222"/>
      <c r="C17" s="1770" t="s">
        <v>1964</v>
      </c>
      <c r="D17" s="3065">
        <f ca="1">IF('数据-取费表'!E3="否",结果表!I111,'结果表 (1修多)'!I112)</f>
        <v>50752</v>
      </c>
      <c r="E17" s="1305"/>
    </row>
    <row r="18" spans="1:5" ht="15.75">
      <c r="A18" s="1305"/>
      <c r="B18" s="3222" t="str">
        <f>IF('数据-取费表'!E3="否",结果表!F112,'结果表 (1修多)'!F113)</f>
        <v>——</v>
      </c>
      <c r="C18" s="3073" t="str">
        <f>C7</f>
        <v>总价（元）</v>
      </c>
      <c r="D18" s="3065" t="str">
        <f>IF('数据-取费表'!E3="否",结果表!I112,'结果表 (1修多)'!I113)</f>
        <v>——</v>
      </c>
      <c r="E18" s="1305"/>
    </row>
    <row r="19" spans="1:5" ht="14.25">
      <c r="A19" s="1305"/>
      <c r="B19" s="3222"/>
      <c r="C19" s="2811" t="s">
        <v>2736</v>
      </c>
      <c r="D19" s="3066" t="e">
        <f>IF('数据-取费表'!B3="万元",NUMBERSTRING(INT(D18*10000),2)&amp;"元整",NUMBERSTRING(INT(D18),2)&amp;"元整")</f>
        <v>#VALUE!</v>
      </c>
      <c r="E19" s="1305"/>
    </row>
    <row r="20" spans="1:5" ht="15.75">
      <c r="A20" s="1305"/>
      <c r="B20" s="3222"/>
      <c r="C20" s="1770" t="s">
        <v>1964</v>
      </c>
      <c r="D20" s="3065" t="str">
        <f>IF('数据-取费表'!E3="否",结果表!I113,'结果表 (1修多)'!I114)</f>
        <v>——</v>
      </c>
      <c r="E20" s="1305"/>
    </row>
    <row r="21" spans="1:5" ht="15.75">
      <c r="A21" s="1305"/>
      <c r="B21" s="3215" t="str">
        <f>IF('数据-取费表'!E3="否",结果表!F114,'结果表 (1修多)'!F115)</f>
        <v>——</v>
      </c>
      <c r="C21" s="1769" t="str">
        <f>C7</f>
        <v>总价（元）</v>
      </c>
      <c r="D21" s="3065" t="str">
        <f>IF('数据-取费表'!E3="否",结果表!I114,'结果表 (1修多)'!I115)</f>
        <v>——</v>
      </c>
      <c r="E21" s="1305"/>
    </row>
    <row r="22" spans="1:5" ht="14.25">
      <c r="A22" s="1305"/>
      <c r="B22" s="3215"/>
      <c r="C22" s="2811" t="s">
        <v>2736</v>
      </c>
      <c r="D22" s="3064" t="e">
        <f>IF('数据-取费表'!B3="万元",NUMBERSTRING(INT(D21*10000),2)&amp;"元整",NUMBERSTRING(INT(D21),2)&amp;"元整")</f>
        <v>#VALUE!</v>
      </c>
      <c r="E22" s="1305"/>
    </row>
    <row r="23" spans="1:5" ht="15.75" thickBot="1">
      <c r="A23" s="1305"/>
      <c r="B23" s="3216"/>
      <c r="C23" s="1773" t="s">
        <v>1964</v>
      </c>
      <c r="D23" s="3074" t="str">
        <f ca="1">IF('数据-取费表'!E3="否",结果表!I115,'结果表 (1修多)'!I116)</f>
        <v>——</v>
      </c>
      <c r="E23" s="1305"/>
    </row>
    <row r="24" spans="1:5" ht="14.25" thickTop="1">
      <c r="A24" s="1305"/>
      <c r="B24" s="1305"/>
      <c r="C24" s="1305"/>
      <c r="D24" s="1305"/>
      <c r="E24" s="1305"/>
    </row>
    <row r="25" spans="1:5" ht="18.75" customHeight="1" thickBot="1">
      <c r="A25" s="1305"/>
      <c r="B25" s="3230" t="s">
        <v>2713</v>
      </c>
      <c r="C25" s="3230"/>
      <c r="D25" s="3230"/>
      <c r="E25" s="1305"/>
    </row>
    <row r="26" spans="1:5" ht="18.75" customHeight="1" thickTop="1">
      <c r="A26" s="1305"/>
      <c r="B26" s="3233" t="s">
        <v>2735</v>
      </c>
      <c r="C26" s="3234"/>
      <c r="D26" s="3231" t="s">
        <v>2734</v>
      </c>
      <c r="E26" s="1305"/>
    </row>
    <row r="27" spans="1:5" ht="18.75" customHeight="1">
      <c r="A27" s="1305"/>
      <c r="B27" s="3235"/>
      <c r="C27" s="3236"/>
      <c r="D27" s="3232"/>
      <c r="E27" s="1305"/>
    </row>
    <row r="28" spans="1:5" ht="15.75">
      <c r="A28" s="1305"/>
      <c r="B28" s="3223" t="s">
        <v>1981</v>
      </c>
      <c r="C28" s="2829" t="s">
        <v>2737</v>
      </c>
      <c r="D28" s="2830">
        <f ca="1">IF('数据-取费表'!E3="否",结果表!I102,'结果表 (1修多)'!I103)</f>
        <v>17718031</v>
      </c>
      <c r="E28" s="1305"/>
    </row>
    <row r="29" spans="1:5" ht="28.5">
      <c r="A29" s="1305"/>
      <c r="B29" s="3224"/>
      <c r="C29" s="2831" t="s">
        <v>2736</v>
      </c>
      <c r="D29" s="2832" t="str">
        <f ca="1">IF('数据-取费表'!B3="万元",NUMBERSTRING(INT(D28*10000),2)&amp;"元整",NUMBERSTRING(INT(D28),2)&amp;"元整")</f>
        <v>壹仟柒佰柒拾壹万捌仟零叁拾壹元整</v>
      </c>
      <c r="E29" s="1305"/>
    </row>
    <row r="30" spans="1:5" ht="15">
      <c r="A30" s="1305"/>
      <c r="B30" s="3225"/>
      <c r="C30" s="1770" t="s">
        <v>2739</v>
      </c>
      <c r="D30" s="2807">
        <f ca="1">IF('数据-取费表'!E3="否",结果表!I103,'结果表 (1修多)'!I104)</f>
        <v>50752</v>
      </c>
      <c r="E30" s="1305"/>
    </row>
    <row r="31" spans="1:5" ht="15.75">
      <c r="A31" s="1305"/>
      <c r="B31" s="3228" t="str">
        <f>B10</f>
        <v>2.估价师所知悉的法定优先受偿款</v>
      </c>
      <c r="C31" s="2810" t="s">
        <v>2738</v>
      </c>
      <c r="D31" s="2808">
        <f>IF('数据-取费表'!E3="否",结果表!I105,'结果表 (1修多)'!I106)</f>
        <v>0</v>
      </c>
      <c r="E31" s="1305"/>
    </row>
    <row r="32" spans="1:5" ht="14.25">
      <c r="A32" s="1305"/>
      <c r="B32" s="3237"/>
      <c r="C32" s="2831" t="s">
        <v>2736</v>
      </c>
      <c r="D32" s="2833" t="str">
        <f>IF('数据-取费表'!B3="万元",NUMBERSTRING(INT(D31*10000),2)&amp;"元整",NUMBERSTRING(INT(D31),2)&amp;"元整")</f>
        <v>零元整</v>
      </c>
      <c r="E32" s="1305"/>
    </row>
    <row r="33" spans="1:5" ht="15">
      <c r="A33" s="1305"/>
      <c r="B33" s="2811" t="s">
        <v>2710</v>
      </c>
      <c r="C33" s="2811" t="str">
        <f>C31</f>
        <v>总额</v>
      </c>
      <c r="D33" s="2807">
        <f>IF('数据-取费表'!E3="否",结果表!I106,'结果表 (1修多)'!I107)</f>
        <v>0</v>
      </c>
      <c r="E33" s="1305"/>
    </row>
    <row r="34" spans="1:5" ht="15">
      <c r="A34" s="1305"/>
      <c r="B34" s="2811" t="s">
        <v>2711</v>
      </c>
      <c r="C34" s="2811" t="str">
        <f>C31</f>
        <v>总额</v>
      </c>
      <c r="D34" s="2807">
        <f>IF('数据-取费表'!E3="否",结果表!I107,'结果表 (1修多)'!I108)</f>
        <v>0</v>
      </c>
      <c r="E34" s="1305"/>
    </row>
    <row r="35" spans="1:5" ht="15">
      <c r="A35" s="1305"/>
      <c r="B35" s="2811" t="s">
        <v>2712</v>
      </c>
      <c r="C35" s="2811" t="str">
        <f>C31</f>
        <v>总额</v>
      </c>
      <c r="D35" s="2807">
        <f>IF('数据-取费表'!E3="否",结果表!I108,'结果表 (1修多)'!I109)</f>
        <v>0</v>
      </c>
      <c r="E35" s="1305"/>
    </row>
    <row r="36" spans="1:5" ht="15.75">
      <c r="A36" s="1305"/>
      <c r="B36" s="3226" t="str">
        <f>B15</f>
        <v>3.房地产抵押价值</v>
      </c>
      <c r="C36" s="2810" t="str">
        <f>C28</f>
        <v>总价</v>
      </c>
      <c r="D36" s="2808">
        <f ca="1">IF('数据-取费表'!E3="否",结果表!I110,'结果表 (1修多)'!I111)</f>
        <v>17718031</v>
      </c>
      <c r="E36" s="1305"/>
    </row>
    <row r="37" spans="1:5" ht="28.5">
      <c r="A37" s="1305"/>
      <c r="B37" s="3226"/>
      <c r="C37" s="2831" t="s">
        <v>2736</v>
      </c>
      <c r="D37" s="2833" t="str">
        <f ca="1">IF('数据-取费表'!B3="万元",NUMBERSTRING(INT(D36*10000),2)&amp;"元整",NUMBERSTRING(INT(D36),2)&amp;"元整")</f>
        <v>壹仟柒佰柒拾壹万捌仟零叁拾壹元整</v>
      </c>
      <c r="E37" s="1305"/>
    </row>
    <row r="38" spans="1:5" ht="15">
      <c r="A38" s="1305"/>
      <c r="B38" s="3226"/>
      <c r="C38" s="1770" t="s">
        <v>2740</v>
      </c>
      <c r="D38" s="2807">
        <f ca="1">IF('数据-取费表'!E3="否",结果表!D113,'结果表 (1修多)'!D116)</f>
        <v>50752</v>
      </c>
      <c r="E38" s="1305"/>
    </row>
    <row r="39" spans="1:5" ht="15.75">
      <c r="A39" s="1305"/>
      <c r="B39" s="3227" t="str">
        <f>B18</f>
        <v>——</v>
      </c>
      <c r="C39" s="2810" t="str">
        <f>C28</f>
        <v>总价</v>
      </c>
      <c r="D39" s="2808" t="str">
        <f>IF('数据-取费表'!E3="否",结果表!I112,'结果表 (1修多)'!I113)</f>
        <v>——</v>
      </c>
      <c r="E39" s="1305"/>
    </row>
    <row r="40" spans="1:5" ht="14.25">
      <c r="A40" s="1305"/>
      <c r="B40" s="3227"/>
      <c r="C40" s="2831" t="s">
        <v>2736</v>
      </c>
      <c r="D40" s="2833" t="e">
        <f>IF('数据-取费表'!B3="万元",NUMBERSTRING(INT(D39*10000),2)&amp;"元整",NUMBERSTRING(INT(D39),2)&amp;"元整")</f>
        <v>#VALUE!</v>
      </c>
      <c r="E40" s="1305"/>
    </row>
    <row r="41" spans="1:5" ht="15">
      <c r="A41" s="1305"/>
      <c r="B41" s="3227"/>
      <c r="C41" s="1770" t="s">
        <v>2740</v>
      </c>
      <c r="D41" s="2807" t="str">
        <f>IF('数据-取费表'!E3="否",结果表!D115,'结果表 (1修多)'!D118)</f>
        <v>——</v>
      </c>
      <c r="E41" s="1305"/>
    </row>
    <row r="42" spans="1:5" ht="15.75">
      <c r="A42" s="1305"/>
      <c r="B42" s="3226" t="str">
        <f>B21</f>
        <v>——</v>
      </c>
      <c r="C42" s="2810" t="str">
        <f>C28</f>
        <v>总价</v>
      </c>
      <c r="D42" s="2808" t="str">
        <f>IF('数据-取费表'!E3="否",结果表!I114,'结果表 (1修多)'!I115)</f>
        <v>——</v>
      </c>
      <c r="E42" s="1305"/>
    </row>
    <row r="43" spans="1:5" ht="14.25">
      <c r="A43" s="1305"/>
      <c r="B43" s="3228"/>
      <c r="C43" s="2831" t="s">
        <v>2736</v>
      </c>
      <c r="D43" s="2834" t="e">
        <f>IF('数据-取费表'!B3="万元",NUMBERSTRING(INT(D42*10000),2)&amp;"元整",NUMBERSTRING(INT(D42),2)&amp;"元整")</f>
        <v>#VALUE!</v>
      </c>
      <c r="E43" s="1305"/>
    </row>
    <row r="44" spans="1:5" ht="15.75" thickBot="1">
      <c r="A44" s="1305"/>
      <c r="B44" s="3229"/>
      <c r="C44" s="1773" t="s">
        <v>2740</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44" t="str">
        <f>IF(项目基本情况!D5="房地产市场价值","估价结果一览表","结果表-2")</f>
        <v>结果表-2</v>
      </c>
      <c r="B1" s="3244"/>
      <c r="C1" s="3244"/>
      <c r="D1" s="3244"/>
      <c r="E1" s="3244"/>
      <c r="F1" s="3244"/>
      <c r="G1" s="3244"/>
      <c r="H1" s="3244"/>
      <c r="I1" s="3244"/>
    </row>
    <row r="2" spans="1:9" ht="30" customHeight="1" thickTop="1">
      <c r="A2" s="3245" t="s">
        <v>3</v>
      </c>
      <c r="B2" s="3245" t="s">
        <v>1883</v>
      </c>
      <c r="C2" s="3245" t="s">
        <v>2729</v>
      </c>
      <c r="D2" s="3245" t="str">
        <f>IF('数据-取费表'!E3="否",结果表!D119,'结果表 (1修多)'!D122)</f>
        <v>出让国有建设用地使用权价值</v>
      </c>
      <c r="E2" s="3245"/>
      <c r="F2" s="3245" t="s">
        <v>680</v>
      </c>
      <c r="G2" s="3245"/>
      <c r="H2" s="3245" t="s">
        <v>4</v>
      </c>
      <c r="I2" s="3245"/>
    </row>
    <row r="3" spans="1:9" ht="14.25">
      <c r="A3" s="3240"/>
      <c r="B3" s="3240"/>
      <c r="C3" s="3240"/>
      <c r="D3" s="1725" t="s">
        <v>5</v>
      </c>
      <c r="E3" s="1725" t="s">
        <v>699</v>
      </c>
      <c r="F3" s="1725" t="s">
        <v>5</v>
      </c>
      <c r="G3" s="1725" t="s">
        <v>6</v>
      </c>
      <c r="H3" s="1725" t="s">
        <v>5</v>
      </c>
      <c r="I3" s="1725" t="s">
        <v>6</v>
      </c>
    </row>
    <row r="4" spans="1:9" ht="46.5" customHeight="1">
      <c r="A4" s="1725" t="str">
        <f>项目基本情况!I1</f>
        <v>北京市房地产</v>
      </c>
      <c r="B4" s="1764">
        <f>结果表!B121</f>
        <v>349.11</v>
      </c>
      <c r="C4" s="1764">
        <f>结果表!C121</f>
        <v>0</v>
      </c>
      <c r="D4" s="1764">
        <f ca="1">IF('数据-取费表'!E3="否",结果表!D121,'结果表 (1修多)'!D124)</f>
        <v>17718031</v>
      </c>
      <c r="E4" s="1764">
        <f ca="1">IF('数据-取费表'!E3="否",结果表!E121,'结果表 (1修多)'!E124)</f>
        <v>50752</v>
      </c>
      <c r="F4" s="1764">
        <f ca="1">IF('数据-取费表'!E3="否",结果表!F121,'结果表 (1修多)'!F124)</f>
        <v>0</v>
      </c>
      <c r="G4" s="1764">
        <f ca="1">IF('数据-取费表'!E3="否",结果表!G121,'结果表 (1修多)'!G124)</f>
        <v>0</v>
      </c>
      <c r="H4" s="1764">
        <f ca="1">IF('数据-取费表'!E3="否",结果表!H121,'结果表 (1修多)'!H124)</f>
        <v>17718031</v>
      </c>
      <c r="I4" s="1764">
        <f ca="1">IF('数据-取费表'!E3="否",结果表!I121,'结果表 (1修多)'!I124)</f>
        <v>50752</v>
      </c>
    </row>
    <row r="5" spans="1:9" ht="14.25">
      <c r="A5" s="3240" t="s">
        <v>7</v>
      </c>
      <c r="B5" s="3240"/>
      <c r="C5" s="3240"/>
      <c r="D5" s="3238" t="str">
        <f ca="1">IF('数据-取费表'!E3="否",结果表!D122,'结果表 (1修多)'!D125)</f>
        <v>壹仟柒佰柒拾壹万捌仟零叁拾壹元整</v>
      </c>
      <c r="E5" s="3238"/>
      <c r="F5" s="3238" t="str">
        <f ca="1">IF('数据-取费表'!E3="否",结果表!F122,'结果表 (1修多)'!F125)</f>
        <v>零元整</v>
      </c>
      <c r="G5" s="3238"/>
      <c r="H5" s="3238" t="str">
        <f ca="1">IF('数据-取费表'!E3="否",结果表!H122,'结果表 (1修多)'!H125)</f>
        <v>壹仟柒佰柒拾壹万捌仟零叁拾壹元整</v>
      </c>
      <c r="I5" s="3238"/>
    </row>
    <row r="6" spans="1:9" ht="15.75">
      <c r="A6" s="3239" t="str">
        <f>IF('数据-取费表'!E3="否",结果表!A123,'结果表 (1修多)'!A126)</f>
        <v>估价师所知悉的法定优先受偿款</v>
      </c>
      <c r="B6" s="3239"/>
      <c r="C6" s="3239"/>
      <c r="D6" s="3221">
        <f>IF('数据-取费表'!E3="否",结果表!D123,'结果表 (1修多)'!D126)</f>
        <v>0</v>
      </c>
      <c r="E6" s="3221"/>
      <c r="F6" s="3221"/>
      <c r="G6" s="3221"/>
      <c r="H6" s="3221"/>
      <c r="I6" s="3221"/>
    </row>
    <row r="7" spans="1:9" ht="14.25">
      <c r="A7" s="3240" t="s">
        <v>7</v>
      </c>
      <c r="B7" s="3240"/>
      <c r="C7" s="3240"/>
      <c r="D7" s="3241">
        <f>IF('数据-取费表'!E3="否",结果表!D124,'结果表 (1修多)'!D127)</f>
        <v>0</v>
      </c>
      <c r="E7" s="3242"/>
      <c r="F7" s="3242"/>
      <c r="G7" s="3242"/>
      <c r="H7" s="3242"/>
      <c r="I7" s="3243"/>
    </row>
    <row r="8" spans="1:9" ht="15.75">
      <c r="A8" s="3239" t="str">
        <f>IF('数据-取费表'!E3="否",结果表!A125,'结果表 (1修多)'!A128)</f>
        <v>房地产抵押价值</v>
      </c>
      <c r="B8" s="3239"/>
      <c r="C8" s="3239"/>
      <c r="D8" s="3221">
        <f ca="1">IF('数据-取费表'!E3="否",结果表!D125,'结果表 (1修多)'!D128)</f>
        <v>17718031</v>
      </c>
      <c r="E8" s="3221"/>
      <c r="F8" s="3221"/>
      <c r="G8" s="3221"/>
      <c r="H8" s="3221"/>
      <c r="I8" s="3221"/>
    </row>
    <row r="9" spans="1:9" ht="14.25">
      <c r="A9" s="3240" t="s">
        <v>7</v>
      </c>
      <c r="B9" s="3240"/>
      <c r="C9" s="3240"/>
      <c r="D9" s="3238">
        <f ca="1">IF('数据-取费表'!E3="否",结果表!D126,'结果表 (1修多)'!D129)</f>
        <v>50752</v>
      </c>
      <c r="E9" s="3238"/>
      <c r="F9" s="3238"/>
      <c r="G9" s="3238"/>
      <c r="H9" s="3238"/>
      <c r="I9" s="3238"/>
    </row>
    <row r="10" spans="1:9" ht="15.75">
      <c r="A10" s="3239" t="str">
        <f>IF('数据-取费表'!E3="否",结果表!A127,'结果表 (1修多)'!A130)</f>
        <v/>
      </c>
      <c r="B10" s="3239"/>
      <c r="C10" s="3239"/>
      <c r="D10" s="3221" t="str">
        <f>IF('数据-取费表'!E3="否",结果表!D127,'结果表 (1修多)'!D129)</f>
        <v>——</v>
      </c>
      <c r="E10" s="3221"/>
      <c r="F10" s="3221"/>
      <c r="G10" s="3221"/>
      <c r="H10" s="3221"/>
      <c r="I10" s="3221"/>
    </row>
    <row r="11" spans="1:9" ht="14.25">
      <c r="A11" s="3240" t="s">
        <v>7</v>
      </c>
      <c r="B11" s="3240"/>
      <c r="C11" s="3240"/>
      <c r="D11" s="3238" t="str">
        <f>IF('数据-取费表'!E3="否",结果表!D128,'结果表 (1修多)'!D131)</f>
        <v>——</v>
      </c>
      <c r="E11" s="3238"/>
      <c r="F11" s="3238"/>
      <c r="G11" s="3238"/>
      <c r="H11" s="3238"/>
      <c r="I11" s="3238"/>
    </row>
    <row r="12" spans="1:9" ht="15.75">
      <c r="A12" s="3239" t="str">
        <f>IF('数据-取费表'!E3="否",结果表!A129,'结果表 (1修多)'!A132)</f>
        <v/>
      </c>
      <c r="B12" s="3239"/>
      <c r="C12" s="3239"/>
      <c r="D12" s="3221" t="str">
        <f>IF('数据-取费表'!E3="否",结果表!D129,'结果表 (1修多)'!D132)</f>
        <v>——</v>
      </c>
      <c r="E12" s="3221"/>
      <c r="F12" s="3221"/>
      <c r="G12" s="3221"/>
      <c r="H12" s="3221"/>
      <c r="I12" s="3221"/>
    </row>
    <row r="13" spans="1:9" ht="15" thickBot="1">
      <c r="A13" s="3246" t="s">
        <v>7</v>
      </c>
      <c r="B13" s="3246"/>
      <c r="C13" s="3246"/>
      <c r="D13" s="3247">
        <f>IF('数据-取费表'!E3="否",结果表!D130,'结果表 (1修多)'!D133)</f>
        <v>0</v>
      </c>
      <c r="E13" s="3247"/>
      <c r="F13" s="3247"/>
      <c r="G13" s="3247"/>
      <c r="H13" s="3247"/>
      <c r="I13" s="3247"/>
    </row>
    <row r="14" spans="1:9" ht="14.25" thickTop="1">
      <c r="A14" s="3248" t="str">
        <f>IF('数据-取费表'!E3="否",结果表!A131,'结果表 (1修多)'!A134)</f>
        <v>单位：平方米、元、元/平方米（币种：人民币）</v>
      </c>
      <c r="B14" s="3248"/>
      <c r="C14" s="3248"/>
      <c r="D14" s="3248"/>
      <c r="E14" s="3248"/>
      <c r="F14" s="3248"/>
      <c r="G14" s="3248"/>
      <c r="H14" s="3248"/>
      <c r="I14" s="3248"/>
    </row>
    <row r="15" spans="1:9">
      <c r="A15" s="1305"/>
      <c r="B15" s="1305"/>
      <c r="C15" s="1305"/>
      <c r="D15" s="1305"/>
      <c r="E15" s="1305"/>
      <c r="F15" s="1305"/>
      <c r="G15" s="1305"/>
      <c r="H15" s="1305"/>
      <c r="I15" s="1305"/>
    </row>
    <row r="16" spans="1:9" ht="18.75">
      <c r="A16" s="1003" t="s">
        <v>1980</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54" t="s">
        <v>2741</v>
      </c>
      <c r="B1" s="3254"/>
      <c r="C1" s="3254"/>
      <c r="D1" s="3254"/>
    </row>
    <row r="2" spans="1:4" ht="18.75">
      <c r="A2" s="3253" t="s">
        <v>1982</v>
      </c>
      <c r="B2" s="3253"/>
      <c r="C2" s="3253"/>
      <c r="D2" s="3253"/>
    </row>
    <row r="3" spans="1:4" ht="18.75">
      <c r="A3" s="2424" t="s">
        <v>1983</v>
      </c>
      <c r="B3" s="2424" t="s">
        <v>1984</v>
      </c>
      <c r="C3" s="2424" t="s">
        <v>1985</v>
      </c>
      <c r="D3" s="2424" t="s">
        <v>1986</v>
      </c>
    </row>
    <row r="4" spans="1:4" ht="56.25" customHeight="1">
      <c r="A4" s="2425" t="str">
        <f>项目基本情况!B3</f>
        <v>刘梅</v>
      </c>
      <c r="B4" s="2426">
        <f ca="1">项目基本情况!C3</f>
        <v>1120140022</v>
      </c>
      <c r="C4" s="2429"/>
      <c r="D4" s="2427" t="s">
        <v>1990</v>
      </c>
    </row>
    <row r="5" spans="1:4" ht="56.25" customHeight="1">
      <c r="A5" s="2425" t="str">
        <f>项目基本情况!D3</f>
        <v>吴薇</v>
      </c>
      <c r="B5" s="2426">
        <f ca="1">项目基本情况!E3</f>
        <v>1419970001</v>
      </c>
      <c r="C5" s="2430"/>
      <c r="D5" s="2427" t="s">
        <v>1990</v>
      </c>
    </row>
    <row r="6" spans="1:4" ht="12" customHeight="1">
      <c r="A6" s="2425"/>
      <c r="B6" s="2426"/>
      <c r="C6" s="2656"/>
      <c r="D6" s="2427"/>
    </row>
    <row r="7" spans="1:4" ht="18.75">
      <c r="A7" s="3253" t="s">
        <v>2512</v>
      </c>
      <c r="B7" s="3253"/>
      <c r="C7" s="3253"/>
      <c r="D7" s="3253"/>
    </row>
    <row r="8" spans="1:4" ht="18.75">
      <c r="A8" s="2424" t="s">
        <v>1983</v>
      </c>
      <c r="B8" s="2426" t="s">
        <v>1988</v>
      </c>
      <c r="C8" s="2424" t="s">
        <v>1985</v>
      </c>
      <c r="D8" s="2424" t="s">
        <v>1986</v>
      </c>
    </row>
    <row r="9" spans="1:4" ht="56.25" customHeight="1">
      <c r="A9" s="2428" t="s">
        <v>1987</v>
      </c>
      <c r="B9" s="2428" t="s">
        <v>1989</v>
      </c>
      <c r="C9" s="2429"/>
      <c r="D9" s="2427" t="s">
        <v>1990</v>
      </c>
    </row>
    <row r="11" spans="1:4" ht="18.75">
      <c r="A11" s="1796" t="s">
        <v>1975</v>
      </c>
    </row>
    <row r="12" spans="1:4" ht="30" customHeight="1">
      <c r="A12" s="3255" t="s">
        <v>2572</v>
      </c>
      <c r="B12" s="3256"/>
      <c r="C12" s="3256"/>
      <c r="D12" s="3256"/>
    </row>
    <row r="13" spans="1:4" ht="14.25">
      <c r="A13" s="32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1"/>
      <c r="C13" s="3251"/>
      <c r="D13" s="3251"/>
    </row>
    <row r="14" spans="1:4" ht="30" customHeight="1">
      <c r="A14" s="3249" t="str">
        <f>IF(项目基本情况!D4="抵押","3.抵押双方在办理抵押登记手续时，应使用本公司出具的正式《房地产评估报告》，特提醒报告使用者注意。","——")</f>
        <v>——</v>
      </c>
      <c r="B14" s="3251"/>
      <c r="C14" s="3251"/>
      <c r="D14" s="3251"/>
    </row>
    <row r="15" spans="1:4" ht="15.75" customHeight="1">
      <c r="A15" s="3249" t="str">
        <f>IF(项目基本情况!D4="抵押","4.本次评估估价师所知悉的法定优先受偿款情况说明如下：","——")</f>
        <v>——</v>
      </c>
      <c r="B15" s="3251"/>
      <c r="C15" s="3251"/>
      <c r="D15" s="3251"/>
    </row>
    <row r="16" spans="1:4" ht="75" customHeight="1">
      <c r="A16" s="3249" t="str">
        <f>IF(项目基本情况!D4="抵押",CONCATENATE(项目基本情况!J13,项目基本情况!J14,项目基本情况!J15),"——")</f>
        <v>——</v>
      </c>
      <c r="B16" s="3249"/>
      <c r="C16" s="3249"/>
      <c r="D16" s="3249"/>
    </row>
    <row r="17" spans="1:4" ht="63.75" customHeight="1">
      <c r="A17" s="3252" t="s">
        <v>2001</v>
      </c>
      <c r="B17" s="3252"/>
      <c r="C17" s="3252"/>
      <c r="D17" s="3252"/>
    </row>
    <row r="18" spans="1:4" ht="15.75" customHeight="1">
      <c r="A18" s="3249" t="str">
        <f>IF(项目基本情况!D4="抵押",结果表!K106,"——")</f>
        <v>——</v>
      </c>
      <c r="B18" s="3249"/>
      <c r="C18" s="3249"/>
      <c r="D18" s="3249"/>
    </row>
    <row r="19" spans="1:4" ht="46.5" customHeight="1">
      <c r="A19" s="32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15">
      <c r="A20" s="3250" t="s">
        <v>2715</v>
      </c>
      <c r="B20" s="3250"/>
      <c r="C20" s="3250"/>
      <c r="D20" s="3250"/>
    </row>
    <row r="21" spans="1:4">
      <c r="A21" s="1863"/>
      <c r="B21" s="1864"/>
      <c r="C21" s="1864"/>
      <c r="D21" s="1864"/>
    </row>
    <row r="22" spans="1:4">
      <c r="A22" s="1863"/>
      <c r="B22" s="1864"/>
      <c r="C22" s="1864"/>
      <c r="D22" s="1864"/>
    </row>
    <row r="23" spans="1:4" ht="18.75">
      <c r="A23" s="1750" t="s">
        <v>2714</v>
      </c>
    </row>
    <row r="24" spans="1:4" ht="18.75">
      <c r="A24" s="1750"/>
    </row>
    <row r="25" spans="1:4" ht="18.75">
      <c r="A25" s="1750" t="s">
        <v>1976</v>
      </c>
    </row>
    <row r="28" spans="1:4" ht="21" customHeight="1">
      <c r="D28" s="1790" t="s">
        <v>1977</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62" t="s">
        <v>558</v>
      </c>
      <c r="B15" s="3257" t="s">
        <v>1047</v>
      </c>
      <c r="C15" s="3258"/>
    </row>
    <row r="16" spans="1:7" ht="13.5">
      <c r="A16" s="3263"/>
      <c r="B16" s="3257" t="s">
        <v>544</v>
      </c>
      <c r="C16" s="3258"/>
    </row>
    <row r="17" spans="1:3" ht="13.5">
      <c r="A17" s="3263"/>
      <c r="B17" s="3257" t="s">
        <v>1900</v>
      </c>
      <c r="C17" s="3258"/>
    </row>
    <row r="18" spans="1:3" ht="13.5">
      <c r="A18" s="3264"/>
      <c r="B18" s="3259" t="s">
        <v>559</v>
      </c>
      <c r="C18" s="3258"/>
    </row>
    <row r="19" spans="1:3" ht="13.5">
      <c r="A19" s="1015" t="s">
        <v>560</v>
      </c>
      <c r="B19" s="1016"/>
      <c r="C19" s="1017"/>
    </row>
    <row r="20" spans="1:3" ht="13.5">
      <c r="A20" s="3260" t="s">
        <v>561</v>
      </c>
      <c r="B20" s="3259" t="s">
        <v>562</v>
      </c>
      <c r="C20" s="3258"/>
    </row>
    <row r="21" spans="1:3" ht="13.5">
      <c r="A21" s="3260"/>
      <c r="B21" s="3259" t="s">
        <v>563</v>
      </c>
      <c r="C21" s="3258"/>
    </row>
    <row r="22" spans="1:3" ht="13.5">
      <c r="A22" s="3260"/>
      <c r="B22" s="3259" t="s">
        <v>564</v>
      </c>
      <c r="C22" s="3258"/>
    </row>
    <row r="23" spans="1:3" ht="13.5">
      <c r="A23" s="3260"/>
      <c r="B23" s="3261" t="s">
        <v>565</v>
      </c>
      <c r="C23" s="1014" t="s">
        <v>566</v>
      </c>
    </row>
    <row r="24" spans="1:3" ht="13.5">
      <c r="A24" s="3260"/>
      <c r="B24" s="3261"/>
      <c r="C24" s="1014" t="s">
        <v>567</v>
      </c>
    </row>
    <row r="25" spans="1:3" ht="13.5">
      <c r="A25" s="3260"/>
      <c r="B25" s="3261"/>
      <c r="C25" s="1014" t="s">
        <v>568</v>
      </c>
    </row>
    <row r="26" spans="1:3" ht="13.5">
      <c r="A26" s="3260"/>
      <c r="B26" s="3261"/>
      <c r="C26" s="1014" t="s">
        <v>569</v>
      </c>
    </row>
    <row r="27" spans="1:3" ht="13.5">
      <c r="A27" s="3260"/>
      <c r="B27" s="3261"/>
      <c r="C27" s="1014" t="s">
        <v>570</v>
      </c>
    </row>
    <row r="28" spans="1:3" ht="13.5">
      <c r="A28" s="3260"/>
      <c r="B28" s="3261"/>
      <c r="C28" s="1014" t="s">
        <v>571</v>
      </c>
    </row>
    <row r="29" spans="1:3" ht="13.5">
      <c r="A29" s="3260"/>
      <c r="B29" s="3261"/>
      <c r="C29" s="1014" t="s">
        <v>572</v>
      </c>
    </row>
    <row r="30" spans="1:3" ht="13.5">
      <c r="A30" s="3260"/>
      <c r="B30" s="3261"/>
      <c r="C30" s="1014" t="s">
        <v>573</v>
      </c>
    </row>
    <row r="31" spans="1:3" ht="13.5">
      <c r="A31" s="3260"/>
      <c r="B31" s="3261"/>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1907</v>
      </c>
      <c r="B2" s="1727">
        <f ca="1">TODAY()</f>
        <v>43033</v>
      </c>
      <c r="C2" s="1728" t="s">
        <v>1908</v>
      </c>
      <c r="D2" s="1728"/>
      <c r="E2" s="1728"/>
    </row>
    <row r="3" spans="1:8" ht="24" customHeight="1">
      <c r="A3" s="1730" t="s">
        <v>1909</v>
      </c>
      <c r="B3" s="1731" t="s">
        <v>1910</v>
      </c>
      <c r="C3" s="1731" t="s">
        <v>1911</v>
      </c>
      <c r="D3" s="1759" t="s">
        <v>1942</v>
      </c>
      <c r="E3" s="1732" t="s">
        <v>1912</v>
      </c>
      <c r="F3" s="1733" t="s">
        <v>1913</v>
      </c>
      <c r="G3" s="1731" t="s">
        <v>1911</v>
      </c>
      <c r="H3" s="1759" t="s">
        <v>1943</v>
      </c>
    </row>
    <row r="4" spans="1:8" ht="24" customHeight="1">
      <c r="A4" s="2991" t="s">
        <v>1914</v>
      </c>
      <c r="B4" s="1733">
        <f ca="1">IF(C4&lt;B2,"已过期",1119970066)</f>
        <v>1119970066</v>
      </c>
      <c r="C4" s="2992">
        <v>43849</v>
      </c>
      <c r="D4" s="2993" t="str">
        <f ca="1">A4&amp;"（注册号："&amp;B4&amp;"）"</f>
        <v>梁津（注册号：1119970066）</v>
      </c>
      <c r="E4" s="2991" t="s">
        <v>1914</v>
      </c>
      <c r="F4" s="1733">
        <f ca="1">IF(G4&lt;B2,"已过期",96010014)</f>
        <v>96010014</v>
      </c>
      <c r="G4" s="1741">
        <v>47118</v>
      </c>
      <c r="H4" s="2994" t="str">
        <f ca="1">E4&amp;"（注册号："&amp;F4&amp;"）"</f>
        <v>梁津（注册号：96010014）</v>
      </c>
    </row>
    <row r="5" spans="1:8" ht="24" customHeight="1">
      <c r="A5" s="2991" t="s">
        <v>1915</v>
      </c>
      <c r="B5" s="1733">
        <f ca="1">IF(C5&lt;B2,"已过期",1119970074)</f>
        <v>1119970074</v>
      </c>
      <c r="C5" s="2992">
        <v>43849</v>
      </c>
      <c r="D5" s="2993" t="str">
        <f t="shared" ref="D5:D23" ca="1" si="0">A5&amp;"（注册号："&amp;B5&amp;"）"</f>
        <v>李立（注册号：1119970074）</v>
      </c>
      <c r="E5" s="2991" t="s">
        <v>1915</v>
      </c>
      <c r="F5" s="1733">
        <f ca="1">IF(G5&lt;B2,"已过期",2002110027)</f>
        <v>2002110027</v>
      </c>
      <c r="G5" s="1741">
        <v>46752</v>
      </c>
      <c r="H5" s="2994" t="str">
        <f t="shared" ref="H5:H24" ca="1" si="1">E5&amp;"（注册号："&amp;F5&amp;"）"</f>
        <v>李立（注册号：2002110027）</v>
      </c>
    </row>
    <row r="6" spans="1:8" ht="24" customHeight="1">
      <c r="A6" s="2991" t="s">
        <v>1916</v>
      </c>
      <c r="B6" s="1733">
        <f ca="1">IF(C6&lt;B2,"已过期",1119970111)</f>
        <v>1119970111</v>
      </c>
      <c r="C6" s="2992">
        <v>43849</v>
      </c>
      <c r="D6" s="2993" t="str">
        <f t="shared" ca="1" si="0"/>
        <v>叶凌（注册号：1119970111）</v>
      </c>
      <c r="E6" s="2991" t="s">
        <v>1916</v>
      </c>
      <c r="F6" s="1733">
        <f ca="1">IF(G6&lt;B2,"已过期",94010078)</f>
        <v>94010078</v>
      </c>
      <c r="G6" s="1741">
        <v>46387</v>
      </c>
      <c r="H6" s="2994" t="str">
        <f t="shared" ca="1" si="1"/>
        <v>叶凌（注册号：94010078）</v>
      </c>
    </row>
    <row r="7" spans="1:8" ht="24" customHeight="1">
      <c r="A7" s="2991" t="s">
        <v>1917</v>
      </c>
      <c r="B7" s="1733">
        <f ca="1">IF(C7&lt;B2,"已过期",1120050019)</f>
        <v>1120050019</v>
      </c>
      <c r="C7" s="2992">
        <v>43359</v>
      </c>
      <c r="D7" s="2993" t="str">
        <f t="shared" ca="1" si="0"/>
        <v>王鹏（注册号：1120050019）</v>
      </c>
      <c r="E7" s="2991" t="s">
        <v>1917</v>
      </c>
      <c r="F7" s="1733">
        <f ca="1">IF(G7&lt;B2,"已过期",2002110030)</f>
        <v>2002110030</v>
      </c>
      <c r="G7" s="1741">
        <v>46387</v>
      </c>
      <c r="H7" s="2994" t="str">
        <f t="shared" ca="1" si="1"/>
        <v>王鹏（注册号：2002110030）</v>
      </c>
    </row>
    <row r="8" spans="1:8" ht="24" customHeight="1">
      <c r="A8" s="2991" t="s">
        <v>1918</v>
      </c>
      <c r="B8" s="1733">
        <f ca="1">IF(C8&lt;B2,"已过期",1120000080)</f>
        <v>1120000080</v>
      </c>
      <c r="C8" s="2992">
        <v>43849</v>
      </c>
      <c r="D8" s="2993" t="str">
        <f t="shared" ca="1" si="0"/>
        <v>欧红伟（注册号：1120000080）</v>
      </c>
      <c r="E8" s="2991" t="s">
        <v>1918</v>
      </c>
      <c r="F8" s="1733">
        <f ca="1">IF(G8&lt;B2,"已过期",2000110082)</f>
        <v>2000110082</v>
      </c>
      <c r="G8" s="1741">
        <v>46387</v>
      </c>
      <c r="H8" s="2994" t="str">
        <f t="shared" ca="1" si="1"/>
        <v>欧红伟（注册号：2000110082）</v>
      </c>
    </row>
    <row r="9" spans="1:8" ht="24" customHeight="1">
      <c r="A9" s="2991" t="s">
        <v>1919</v>
      </c>
      <c r="B9" s="1733">
        <f ca="1">IF(C9&lt;B2,"已过期",1419970001)</f>
        <v>1419970001</v>
      </c>
      <c r="C9" s="2992">
        <v>43867</v>
      </c>
      <c r="D9" s="2993" t="str">
        <f t="shared" ca="1" si="0"/>
        <v>吴薇（注册号：1419970001）</v>
      </c>
      <c r="E9" s="2991" t="s">
        <v>1919</v>
      </c>
      <c r="F9" s="1733">
        <f ca="1">IF(G9&lt;B2,"已过期",2002110125)</f>
        <v>2002110125</v>
      </c>
      <c r="G9" s="1741">
        <v>47118</v>
      </c>
      <c r="H9" s="2994" t="str">
        <f t="shared" ca="1" si="1"/>
        <v>吴薇（注册号：2002110125）</v>
      </c>
    </row>
    <row r="10" spans="1:8" ht="24" customHeight="1">
      <c r="A10" s="2991" t="s">
        <v>1920</v>
      </c>
      <c r="B10" s="1733">
        <f ca="1">IF(C10&lt;B2,"已过期",1120060040)</f>
        <v>1120060040</v>
      </c>
      <c r="C10" s="2992">
        <v>43483</v>
      </c>
      <c r="D10" s="2993" t="str">
        <f t="shared" ca="1" si="0"/>
        <v>陈颖（注册号：1120060040）</v>
      </c>
      <c r="E10" s="2991" t="s">
        <v>1920</v>
      </c>
      <c r="F10" s="1733">
        <f ca="1">IF(G10&lt;B2,"已过期",2004110096)</f>
        <v>2004110096</v>
      </c>
      <c r="G10" s="1741">
        <v>47118</v>
      </c>
      <c r="H10" s="2994" t="str">
        <f t="shared" ca="1" si="1"/>
        <v>陈颖（注册号：2004110096）</v>
      </c>
    </row>
    <row r="11" spans="1:8" ht="24" customHeight="1">
      <c r="A11" s="2991" t="s">
        <v>1921</v>
      </c>
      <c r="B11" s="1733">
        <f ca="1">IF(C11&lt;B2,"已过期",1120100036)</f>
        <v>1120100036</v>
      </c>
      <c r="C11" s="2992">
        <v>43622</v>
      </c>
      <c r="D11" s="2993" t="str">
        <f t="shared" ca="1" si="0"/>
        <v>崔锴（注册号：1120100036）</v>
      </c>
      <c r="E11" s="2991" t="s">
        <v>1921</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1922</v>
      </c>
      <c r="G12" s="1733" t="s">
        <v>1922</v>
      </c>
      <c r="H12" s="2994" t="str">
        <f t="shared" si="1"/>
        <v>（注册号：——）</v>
      </c>
    </row>
    <row r="13" spans="1:8" ht="24" customHeight="1">
      <c r="A13" s="2991" t="s">
        <v>1923</v>
      </c>
      <c r="B13" s="1733">
        <f ca="1">IF(C13&lt;B2,"已过期",1120070131)</f>
        <v>1120070131</v>
      </c>
      <c r="C13" s="2992">
        <v>43814</v>
      </c>
      <c r="D13" s="2993" t="str">
        <f t="shared" ca="1" si="0"/>
        <v>郑燚（注册号：1120070131）</v>
      </c>
      <c r="E13" s="2991" t="s">
        <v>1923</v>
      </c>
      <c r="F13" s="1733">
        <v>2014110011</v>
      </c>
      <c r="G13" s="1741">
        <v>49302</v>
      </c>
      <c r="H13" s="2994" t="str">
        <f t="shared" si="1"/>
        <v>郑燚（注册号：2014110011）</v>
      </c>
    </row>
    <row r="14" spans="1:8" ht="24" customHeight="1">
      <c r="A14" s="2991" t="s">
        <v>1925</v>
      </c>
      <c r="B14" s="1733">
        <f ca="1">IF(C14&lt;B2,"已过期",1120130020)</f>
        <v>1120130020</v>
      </c>
      <c r="C14" s="2992">
        <v>43622</v>
      </c>
      <c r="D14" s="2993" t="str">
        <f t="shared" ca="1" si="0"/>
        <v>马琳琳（注册号：1120130020）</v>
      </c>
      <c r="E14" s="2991"/>
      <c r="F14" s="1733" t="s">
        <v>1924</v>
      </c>
      <c r="G14" s="1733" t="s">
        <v>1924</v>
      </c>
      <c r="H14" s="2994" t="str">
        <f t="shared" si="1"/>
        <v>（注册号：——）</v>
      </c>
    </row>
    <row r="15" spans="1:8" ht="24" customHeight="1">
      <c r="A15" s="2995" t="s">
        <v>2570</v>
      </c>
      <c r="B15" s="1733">
        <v>1120070085</v>
      </c>
      <c r="C15" s="2992">
        <v>43814</v>
      </c>
      <c r="D15" s="2993" t="str">
        <f t="shared" si="0"/>
        <v>杨红英（注册号：1120070085）</v>
      </c>
      <c r="E15" s="2995" t="s">
        <v>2571</v>
      </c>
      <c r="F15" s="1733">
        <v>2004110128</v>
      </c>
      <c r="G15" s="1734">
        <v>47118</v>
      </c>
      <c r="H15" s="2994" t="str">
        <f t="shared" si="1"/>
        <v>杨红英（注册号：2004110128）</v>
      </c>
    </row>
    <row r="16" spans="1:8" ht="24" customHeight="1">
      <c r="A16" s="2991" t="s">
        <v>1926</v>
      </c>
      <c r="B16" s="1733">
        <f ca="1">IF(C16&lt;B2,"已过期",1120140022)</f>
        <v>1120140022</v>
      </c>
      <c r="C16" s="2992">
        <v>44029</v>
      </c>
      <c r="D16" s="2993" t="str">
        <f t="shared" ca="1" si="0"/>
        <v>刘梅（注册号：1120140022）</v>
      </c>
      <c r="E16" s="2991" t="s">
        <v>1926</v>
      </c>
      <c r="F16" s="1733">
        <f ca="1">IF(G16&lt;B2,"已过期",2008110059)</f>
        <v>2008110059</v>
      </c>
      <c r="G16" s="1741">
        <v>47177</v>
      </c>
      <c r="H16" s="2994" t="str">
        <f t="shared" ca="1" si="1"/>
        <v>刘梅（注册号：2008110059）</v>
      </c>
    </row>
    <row r="17" spans="1:8" ht="24" customHeight="1">
      <c r="A17" s="2991"/>
      <c r="B17" s="1733"/>
      <c r="C17" s="2992"/>
      <c r="D17" s="2993"/>
      <c r="E17" s="2991"/>
      <c r="F17" s="1733"/>
      <c r="G17" s="1741"/>
      <c r="H17" s="2994"/>
    </row>
    <row r="18" spans="1:8" ht="24" customHeight="1">
      <c r="A18" s="2991"/>
      <c r="B18" s="1733"/>
      <c r="C18" s="2992"/>
      <c r="D18" s="2993"/>
      <c r="E18" s="2991"/>
      <c r="F18" s="1733"/>
      <c r="G18" s="1741"/>
      <c r="H18" s="2994"/>
    </row>
    <row r="19" spans="1:8" ht="24" customHeight="1">
      <c r="A19" s="2991"/>
      <c r="B19" s="1733"/>
      <c r="C19" s="2992"/>
      <c r="D19" s="2993"/>
      <c r="E19" s="2991"/>
      <c r="F19" s="1733"/>
      <c r="G19" s="1733"/>
      <c r="H19" s="2994"/>
    </row>
    <row r="20" spans="1:8" ht="24" customHeight="1">
      <c r="A20" s="2991"/>
      <c r="B20" s="1733"/>
      <c r="C20" s="2992"/>
      <c r="D20" s="2993"/>
      <c r="E20" s="2991"/>
      <c r="F20" s="1733"/>
      <c r="G20" s="1733"/>
      <c r="H20" s="2994"/>
    </row>
    <row r="21" spans="1:8" ht="24" customHeight="1">
      <c r="A21" s="2991"/>
      <c r="B21" s="1733"/>
      <c r="C21" s="2992"/>
      <c r="D21" s="2993" t="str">
        <f t="shared" si="0"/>
        <v>（注册号：）</v>
      </c>
      <c r="E21" s="2991" t="s">
        <v>1927</v>
      </c>
      <c r="F21" s="1733">
        <f ca="1">IF(G21&lt;B2,"已过期",2011110090)</f>
        <v>2011110090</v>
      </c>
      <c r="G21" s="1741">
        <v>48302</v>
      </c>
      <c r="H21" s="2994" t="str">
        <f t="shared" ca="1" si="1"/>
        <v>赵雯（注册号：2011110090）</v>
      </c>
    </row>
    <row r="22" spans="1:8" ht="24" customHeight="1">
      <c r="A22" s="2991" t="s">
        <v>1928</v>
      </c>
      <c r="B22" s="1733">
        <f ca="1">IF(C22&lt;B2,"已过期",1120020033)</f>
        <v>1120020033</v>
      </c>
      <c r="C22" s="2992">
        <v>43304</v>
      </c>
      <c r="D22" s="2993" t="str">
        <f t="shared" ca="1" si="0"/>
        <v>刘敬东（注册号：1120020033）</v>
      </c>
      <c r="E22" s="2991" t="s">
        <v>1928</v>
      </c>
      <c r="F22" s="1733">
        <f ca="1">IF(G22&lt;B2,"已过期",2000110137)</f>
        <v>2000110137</v>
      </c>
      <c r="G22" s="1741">
        <v>46387</v>
      </c>
      <c r="H22" s="2994" t="str">
        <f t="shared" ca="1" si="1"/>
        <v>刘敬东（注册号：2000110137）</v>
      </c>
    </row>
    <row r="23" spans="1:8" ht="24" customHeight="1">
      <c r="A23" s="2991" t="s">
        <v>1929</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1924</v>
      </c>
      <c r="B24" s="1733" t="s">
        <v>1924</v>
      </c>
      <c r="C24" s="1733" t="s">
        <v>1924</v>
      </c>
      <c r="D24" s="2993" t="str">
        <f>A24&amp;"（注册号："&amp;B24&amp;"）"</f>
        <v>——（注册号：——）</v>
      </c>
      <c r="E24" s="1733" t="s">
        <v>1924</v>
      </c>
      <c r="F24" s="1733" t="s">
        <v>1924</v>
      </c>
      <c r="G24" s="1733" t="s">
        <v>1924</v>
      </c>
      <c r="H24" s="2994" t="str">
        <f t="shared" si="1"/>
        <v>——（注册号：——）</v>
      </c>
    </row>
    <row r="25" spans="1:8" ht="24" customHeight="1">
      <c r="A25" s="3265" t="s">
        <v>1930</v>
      </c>
      <c r="B25" s="3265"/>
      <c r="C25" s="3265"/>
      <c r="D25" s="3265"/>
      <c r="E25" s="3265"/>
      <c r="F25" s="3265"/>
      <c r="G25" s="3265"/>
      <c r="H25" s="3265"/>
    </row>
    <row r="26" spans="1:8" s="1736" customFormat="1" ht="24" customHeight="1">
      <c r="A26" s="3266" t="s">
        <v>1931</v>
      </c>
      <c r="B26" s="3266"/>
      <c r="C26" s="3266"/>
      <c r="D26" s="1810"/>
      <c r="E26" s="1810"/>
      <c r="F26" s="3266" t="s">
        <v>1932</v>
      </c>
      <c r="G26" s="3266"/>
      <c r="H26" s="3266"/>
    </row>
    <row r="27" spans="1:8" s="1738" customFormat="1" ht="24" customHeight="1">
      <c r="A27" s="1737" t="s">
        <v>1933</v>
      </c>
      <c r="B27" s="1731" t="s">
        <v>1934</v>
      </c>
      <c r="C27" s="1731" t="s">
        <v>1935</v>
      </c>
      <c r="D27" s="1731"/>
      <c r="E27" s="1731"/>
      <c r="F27" s="1733" t="s">
        <v>1933</v>
      </c>
      <c r="G27" s="1731" t="s">
        <v>1934</v>
      </c>
      <c r="H27" s="1731" t="s">
        <v>1935</v>
      </c>
    </row>
    <row r="28" spans="1:8" s="1738" customFormat="1" ht="24" customHeight="1">
      <c r="A28" s="1739" t="s">
        <v>1936</v>
      </c>
      <c r="B28" s="1740" t="s">
        <v>1937</v>
      </c>
      <c r="C28" s="1741">
        <v>43725</v>
      </c>
      <c r="D28" s="1741"/>
      <c r="E28" s="1741"/>
      <c r="F28" s="1739" t="s">
        <v>1938</v>
      </c>
      <c r="G28" s="1739" t="s">
        <v>1939</v>
      </c>
      <c r="H28" s="1905">
        <v>44377</v>
      </c>
    </row>
    <row r="29" spans="1:8" s="1738" customFormat="1" ht="24" customHeight="1">
      <c r="A29" s="1739"/>
      <c r="B29" s="1739"/>
      <c r="C29" s="1742"/>
      <c r="D29" s="1742"/>
      <c r="E29" s="1742"/>
      <c r="F29" s="1739" t="s">
        <v>1940</v>
      </c>
      <c r="G29" s="1743" t="s">
        <v>2902</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2528</v>
      </c>
      <c r="R1" s="3" t="s">
        <v>2529</v>
      </c>
      <c r="S1" s="187" t="s">
        <v>281</v>
      </c>
      <c r="T1" s="188" t="s">
        <v>282</v>
      </c>
      <c r="U1" s="187" t="s">
        <v>283</v>
      </c>
      <c r="V1" s="187" t="s">
        <v>284</v>
      </c>
      <c r="W1" s="1292" t="s">
        <v>1768</v>
      </c>
      <c r="X1" s="1292" t="s">
        <v>2295</v>
      </c>
      <c r="Y1" s="1292" t="s">
        <v>2301</v>
      </c>
    </row>
    <row r="2" spans="1:25">
      <c r="A2" s="2595" t="s">
        <v>116</v>
      </c>
      <c r="B2" s="2595" t="s">
        <v>2553</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2523</v>
      </c>
      <c r="S2" s="189" t="s">
        <v>243</v>
      </c>
      <c r="T2" s="189" t="s">
        <v>244</v>
      </c>
      <c r="U2" s="189" t="s">
        <v>243</v>
      </c>
      <c r="V2" s="189" t="s">
        <v>245</v>
      </c>
      <c r="W2" s="189" t="s">
        <v>243</v>
      </c>
      <c r="X2" s="2350" t="s">
        <v>2302</v>
      </c>
      <c r="Y2" s="2350" t="s">
        <v>2297</v>
      </c>
    </row>
    <row r="3" spans="1:25">
      <c r="A3" s="2595" t="s">
        <v>576</v>
      </c>
      <c r="B3" s="2596" t="s">
        <v>2554</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2524</v>
      </c>
      <c r="S3" s="189" t="s">
        <v>251</v>
      </c>
      <c r="T3" s="189" t="s">
        <v>252</v>
      </c>
      <c r="U3" s="189" t="s">
        <v>251</v>
      </c>
      <c r="V3" s="189" t="s">
        <v>253</v>
      </c>
      <c r="W3" s="189" t="s">
        <v>251</v>
      </c>
      <c r="X3" s="2350" t="s">
        <v>2303</v>
      </c>
      <c r="Y3" s="2350" t="s">
        <v>2299</v>
      </c>
    </row>
    <row r="4" spans="1:25">
      <c r="A4" s="2595" t="s">
        <v>577</v>
      </c>
      <c r="B4" s="2596" t="s">
        <v>2555</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2525</v>
      </c>
      <c r="S4" s="189" t="s">
        <v>254</v>
      </c>
      <c r="T4" s="189" t="s">
        <v>255</v>
      </c>
      <c r="U4" s="189" t="s">
        <v>254</v>
      </c>
      <c r="W4" s="189" t="s">
        <v>254</v>
      </c>
      <c r="X4" s="2350" t="s">
        <v>2304</v>
      </c>
      <c r="Y4" s="2350" t="s">
        <v>2305</v>
      </c>
    </row>
    <row r="5" spans="1:25">
      <c r="A5" s="2595" t="s">
        <v>578</v>
      </c>
      <c r="B5" s="2595" t="s">
        <v>2556</v>
      </c>
      <c r="C5" s="1602" t="s">
        <v>1799</v>
      </c>
      <c r="F5" s="189" t="s">
        <v>256</v>
      </c>
      <c r="H5" s="189" t="s">
        <v>257</v>
      </c>
      <c r="I5" s="189" t="s">
        <v>258</v>
      </c>
      <c r="K5" s="189" t="s">
        <v>259</v>
      </c>
      <c r="L5" s="189" t="s">
        <v>259</v>
      </c>
      <c r="M5" s="189" t="s">
        <v>259</v>
      </c>
      <c r="N5" s="189" t="s">
        <v>259</v>
      </c>
      <c r="O5" s="189" t="s">
        <v>259</v>
      </c>
      <c r="P5" s="189" t="s">
        <v>259</v>
      </c>
      <c r="Q5" s="189" t="s">
        <v>259</v>
      </c>
      <c r="R5" s="2350" t="s">
        <v>2526</v>
      </c>
      <c r="S5" s="189" t="s">
        <v>259</v>
      </c>
      <c r="T5" s="189" t="s">
        <v>260</v>
      </c>
      <c r="U5" s="189" t="s">
        <v>259</v>
      </c>
      <c r="W5" s="189" t="s">
        <v>259</v>
      </c>
      <c r="X5" s="1761"/>
      <c r="Y5" s="1024"/>
    </row>
    <row r="6" spans="1:25">
      <c r="A6" s="2595" t="s">
        <v>579</v>
      </c>
      <c r="B6" s="2595" t="s">
        <v>2557</v>
      </c>
      <c r="C6" s="1604" t="s">
        <v>165</v>
      </c>
      <c r="F6" s="189" t="s">
        <v>261</v>
      </c>
      <c r="H6" s="189" t="s">
        <v>262</v>
      </c>
      <c r="I6" s="189" t="s">
        <v>263</v>
      </c>
      <c r="K6" s="189" t="s">
        <v>264</v>
      </c>
      <c r="L6" s="189" t="s">
        <v>264</v>
      </c>
      <c r="M6" s="189" t="s">
        <v>264</v>
      </c>
      <c r="N6" s="189" t="s">
        <v>264</v>
      </c>
      <c r="O6" s="189" t="s">
        <v>264</v>
      </c>
      <c r="P6" s="189" t="s">
        <v>264</v>
      </c>
      <c r="Q6" s="189" t="s">
        <v>264</v>
      </c>
      <c r="R6" s="2350" t="s">
        <v>2527</v>
      </c>
      <c r="S6" s="189" t="s">
        <v>264</v>
      </c>
      <c r="T6" s="189"/>
      <c r="U6" s="189" t="s">
        <v>264</v>
      </c>
      <c r="W6" s="189" t="s">
        <v>264</v>
      </c>
      <c r="X6" s="1761"/>
      <c r="Y6" s="1024"/>
    </row>
    <row r="7" spans="1:25">
      <c r="A7" s="2595" t="s">
        <v>580</v>
      </c>
      <c r="B7" s="2596" t="s">
        <v>2558</v>
      </c>
      <c r="C7" s="1602" t="s">
        <v>166</v>
      </c>
      <c r="F7" s="189" t="s">
        <v>265</v>
      </c>
      <c r="H7" s="189" t="s">
        <v>266</v>
      </c>
      <c r="I7" s="189" t="s">
        <v>267</v>
      </c>
      <c r="R7" s="2350"/>
      <c r="X7" s="2349"/>
    </row>
    <row r="8" spans="1:25">
      <c r="A8" s="2595" t="s">
        <v>581</v>
      </c>
      <c r="B8" s="2596" t="s">
        <v>2559</v>
      </c>
      <c r="C8" s="1602" t="s">
        <v>1800</v>
      </c>
      <c r="F8" s="189" t="s">
        <v>294</v>
      </c>
      <c r="H8" s="189" t="s">
        <v>295</v>
      </c>
      <c r="I8" s="189" t="s">
        <v>296</v>
      </c>
      <c r="X8" s="2349"/>
    </row>
    <row r="9" spans="1:25">
      <c r="A9" s="2595" t="s">
        <v>582</v>
      </c>
      <c r="B9" s="2595" t="s">
        <v>2560</v>
      </c>
      <c r="C9" s="1602" t="s">
        <v>1801</v>
      </c>
      <c r="F9" s="189" t="s">
        <v>297</v>
      </c>
      <c r="H9" s="189" t="s">
        <v>298</v>
      </c>
    </row>
    <row r="10" spans="1:25">
      <c r="A10" s="2595" t="s">
        <v>583</v>
      </c>
      <c r="B10" s="2595" t="s">
        <v>2561</v>
      </c>
      <c r="C10" s="1602" t="s">
        <v>1802</v>
      </c>
      <c r="F10" s="189" t="s">
        <v>36</v>
      </c>
    </row>
    <row r="11" spans="1:25">
      <c r="A11" s="2595" t="s">
        <v>584</v>
      </c>
      <c r="B11" s="2595" t="s">
        <v>2562</v>
      </c>
      <c r="C11" s="1602" t="s">
        <v>1803</v>
      </c>
    </row>
    <row r="12" spans="1:25">
      <c r="A12" s="2595" t="s">
        <v>585</v>
      </c>
      <c r="B12" s="2595" t="s">
        <v>2563</v>
      </c>
      <c r="C12" s="1602" t="s">
        <v>1804</v>
      </c>
    </row>
    <row r="13" spans="1:25">
      <c r="A13" s="2595" t="s">
        <v>586</v>
      </c>
      <c r="B13" s="2595" t="s">
        <v>2564</v>
      </c>
      <c r="C13" s="1602" t="s">
        <v>1805</v>
      </c>
    </row>
    <row r="14" spans="1:25">
      <c r="A14" s="2595" t="s">
        <v>587</v>
      </c>
      <c r="B14" s="2595" t="s">
        <v>2565</v>
      </c>
      <c r="C14" s="1605"/>
    </row>
    <row r="15" spans="1:25">
      <c r="A15" s="2595" t="s">
        <v>588</v>
      </c>
      <c r="B15" s="2595" t="s">
        <v>2566</v>
      </c>
      <c r="C15" s="1605"/>
    </row>
    <row r="16" spans="1:25">
      <c r="A16" s="2595" t="s">
        <v>589</v>
      </c>
      <c r="B16" s="2595" t="s">
        <v>2567</v>
      </c>
      <c r="C16" s="1605"/>
    </row>
    <row r="17" spans="1:3">
      <c r="A17" s="2595" t="s">
        <v>590</v>
      </c>
      <c r="B17" s="2595" t="s">
        <v>2568</v>
      </c>
      <c r="C17" s="1605"/>
    </row>
    <row r="18" spans="1:3">
      <c r="A18" s="2595" t="s">
        <v>591</v>
      </c>
      <c r="B18" s="2595" t="s">
        <v>2753</v>
      </c>
      <c r="C18" s="1605"/>
    </row>
    <row r="19" spans="1:3">
      <c r="A19" s="2595" t="s">
        <v>592</v>
      </c>
      <c r="B19" s="2595" t="s">
        <v>2754</v>
      </c>
      <c r="C19" s="1605"/>
    </row>
    <row r="20" spans="1:3">
      <c r="A20" s="2595" t="s">
        <v>593</v>
      </c>
      <c r="B20" s="2595" t="s">
        <v>1790</v>
      </c>
      <c r="C20" s="1605"/>
    </row>
    <row r="21" spans="1:3">
      <c r="A21" s="2595" t="s">
        <v>594</v>
      </c>
      <c r="B21" s="2595" t="s">
        <v>1790</v>
      </c>
      <c r="C21" s="1605"/>
    </row>
    <row r="22" spans="1:3">
      <c r="A22" s="2595" t="s">
        <v>595</v>
      </c>
      <c r="B22" s="2595" t="s">
        <v>1790</v>
      </c>
      <c r="C22" s="1605"/>
    </row>
    <row r="23" spans="1:3">
      <c r="A23" s="2595" t="s">
        <v>596</v>
      </c>
      <c r="B23" s="2595" t="s">
        <v>1790</v>
      </c>
      <c r="C23" s="1605"/>
    </row>
    <row r="24" spans="1:3">
      <c r="A24" s="2595" t="s">
        <v>597</v>
      </c>
      <c r="B24" s="2595" t="s">
        <v>1790</v>
      </c>
      <c r="C24" s="1605"/>
    </row>
    <row r="25" spans="1:3">
      <c r="A25" s="2595" t="s">
        <v>598</v>
      </c>
      <c r="B25" s="2595" t="s">
        <v>1790</v>
      </c>
      <c r="C25" s="1605"/>
    </row>
    <row r="26" spans="1:3">
      <c r="A26" s="2595" t="s">
        <v>599</v>
      </c>
      <c r="B26" s="2595" t="s">
        <v>1790</v>
      </c>
      <c r="C26" s="1605"/>
    </row>
    <row r="27" spans="1:3">
      <c r="A27" s="2595" t="s">
        <v>1790</v>
      </c>
      <c r="B27" s="2595" t="s">
        <v>1790</v>
      </c>
      <c r="C27" s="1605"/>
    </row>
    <row r="28" spans="1:3">
      <c r="A28" s="2595" t="s">
        <v>1790</v>
      </c>
      <c r="B28" s="2595" t="s">
        <v>1790</v>
      </c>
      <c r="C28" s="1605"/>
    </row>
    <row r="29" spans="1:3">
      <c r="A29" s="2595" t="s">
        <v>1790</v>
      </c>
      <c r="B29" s="2595" t="s">
        <v>1790</v>
      </c>
      <c r="C29" s="1605"/>
    </row>
    <row r="30" spans="1:3">
      <c r="A30" s="2595" t="s">
        <v>1790</v>
      </c>
      <c r="B30" s="2595" t="s">
        <v>1790</v>
      </c>
      <c r="C30" s="1605"/>
    </row>
    <row r="31" spans="1:3">
      <c r="A31" s="2595" t="s">
        <v>1790</v>
      </c>
      <c r="B31" s="2595" t="s">
        <v>1790</v>
      </c>
      <c r="C31" s="1605"/>
    </row>
    <row r="32" spans="1:3">
      <c r="A32" s="2595" t="s">
        <v>1790</v>
      </c>
      <c r="B32" s="2595" t="s">
        <v>1790</v>
      </c>
      <c r="C32" s="1605"/>
    </row>
    <row r="33" spans="1:3">
      <c r="A33" s="2595" t="s">
        <v>1790</v>
      </c>
      <c r="B33" s="2595" t="s">
        <v>1790</v>
      </c>
      <c r="C33" s="1605"/>
    </row>
    <row r="34" spans="1:3">
      <c r="A34" s="2595" t="s">
        <v>1790</v>
      </c>
      <c r="B34" s="2595" t="s">
        <v>1790</v>
      </c>
      <c r="C34" s="1605"/>
    </row>
    <row r="35" spans="1:3">
      <c r="A35" s="2595" t="s">
        <v>1790</v>
      </c>
      <c r="B35" s="2595" t="s">
        <v>1790</v>
      </c>
      <c r="C35" s="1605"/>
    </row>
    <row r="36" spans="1:3">
      <c r="A36" s="2595" t="s">
        <v>1790</v>
      </c>
      <c r="B36" s="2595" t="s">
        <v>1790</v>
      </c>
      <c r="C36" s="1605"/>
    </row>
    <row r="37" spans="1:3">
      <c r="A37" s="2595" t="s">
        <v>1790</v>
      </c>
      <c r="B37" s="2595" t="s">
        <v>1790</v>
      </c>
      <c r="C37" s="1605"/>
    </row>
    <row r="38" spans="1:3">
      <c r="A38" s="2595" t="s">
        <v>1790</v>
      </c>
      <c r="B38" s="2595" t="s">
        <v>1790</v>
      </c>
      <c r="C38" s="1605"/>
    </row>
    <row r="39" spans="1:3">
      <c r="A39" s="2595" t="s">
        <v>1790</v>
      </c>
      <c r="B39" s="2595" t="s">
        <v>1790</v>
      </c>
      <c r="C39" s="1605"/>
    </row>
    <row r="40" spans="1:3">
      <c r="A40" s="2595" t="s">
        <v>1790</v>
      </c>
      <c r="B40" s="2595" t="s">
        <v>1790</v>
      </c>
      <c r="C40" s="1605"/>
    </row>
    <row r="41" spans="1:3">
      <c r="A41" s="2595" t="s">
        <v>1790</v>
      </c>
      <c r="B41" s="2595" t="s">
        <v>1790</v>
      </c>
      <c r="C41" s="1605"/>
    </row>
    <row r="42" spans="1:3">
      <c r="A42" s="2595" t="s">
        <v>1790</v>
      </c>
      <c r="B42" s="2595" t="s">
        <v>1790</v>
      </c>
      <c r="C42" s="1605"/>
    </row>
    <row r="43" spans="1:3">
      <c r="A43" s="2595" t="s">
        <v>1790</v>
      </c>
      <c r="B43" s="2595" t="s">
        <v>1790</v>
      </c>
      <c r="C43" s="1605"/>
    </row>
    <row r="44" spans="1:3">
      <c r="A44" s="2595" t="s">
        <v>1790</v>
      </c>
      <c r="B44" s="2595" t="s">
        <v>1790</v>
      </c>
      <c r="C44" s="1605"/>
    </row>
    <row r="45" spans="1:3">
      <c r="A45" s="2595" t="s">
        <v>1790</v>
      </c>
      <c r="B45" s="2595" t="s">
        <v>1790</v>
      </c>
      <c r="C45" s="1605"/>
    </row>
    <row r="46" spans="1:3">
      <c r="A46" s="2595" t="s">
        <v>1790</v>
      </c>
      <c r="B46" s="2595" t="s">
        <v>1790</v>
      </c>
      <c r="C46" s="1605"/>
    </row>
    <row r="47" spans="1:3">
      <c r="A47" s="2595" t="s">
        <v>1790</v>
      </c>
      <c r="B47" s="2595" t="s">
        <v>1790</v>
      </c>
      <c r="C47" s="1605"/>
    </row>
    <row r="48" spans="1:3">
      <c r="A48" s="2595" t="s">
        <v>1790</v>
      </c>
      <c r="B48" s="2595" t="s">
        <v>1790</v>
      </c>
      <c r="C48" s="1605"/>
    </row>
    <row r="49" spans="1:4">
      <c r="A49" s="2595" t="s">
        <v>1790</v>
      </c>
      <c r="B49" s="2595" t="s">
        <v>1790</v>
      </c>
      <c r="C49" s="1605"/>
    </row>
    <row r="50" spans="1:4">
      <c r="A50" s="2595" t="s">
        <v>1790</v>
      </c>
      <c r="B50" s="2595" t="s">
        <v>1790</v>
      </c>
      <c r="C50" s="1605"/>
    </row>
    <row r="51" spans="1:4">
      <c r="A51" s="1760" t="s">
        <v>1945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2720</v>
      </c>
    </row>
    <row r="52" spans="1:4">
      <c r="A52" s="1760" t="s">
        <v>1961</v>
      </c>
      <c r="B52" s="1760" t="s">
        <v>1960</v>
      </c>
      <c r="C52" s="1024" t="s">
        <v>1959</v>
      </c>
      <c r="D52" s="1024" t="s">
        <v>2007</v>
      </c>
    </row>
    <row r="53" spans="1:4" ht="14.25" customHeight="1">
      <c r="A53" s="3267" t="s">
        <v>1951</v>
      </c>
      <c r="B53" s="1024" t="s">
        <v>1950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row>
    <row r="54" spans="1:4">
      <c r="A54" s="3267"/>
      <c r="B54" s="1024" t="s">
        <v>1957</v>
      </c>
      <c r="C54" s="1024" t="s">
        <v>2717</v>
      </c>
    </row>
    <row r="55" spans="1:4">
      <c r="A55" s="3267"/>
      <c r="B55" s="1024" t="s">
        <v>1952</v>
      </c>
      <c r="C55" s="1024" t="s">
        <v>2718</v>
      </c>
    </row>
    <row r="56" spans="1:4">
      <c r="A56" s="3267"/>
      <c r="B56" s="1024" t="s">
        <v>1953</v>
      </c>
      <c r="C56" s="1024" t="s">
        <v>2742</v>
      </c>
    </row>
    <row r="57" spans="1:4">
      <c r="A57" s="3267"/>
      <c r="B57" s="1024" t="s">
        <v>1954</v>
      </c>
      <c r="C57" s="1024" t="s">
        <v>2719</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土地案例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2017-10-25T06:49:41Z</dcterms:modified>
</cp:coreProperties>
</file>