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G94" i="43"/>
  <c r="G95" i="43"/>
  <c r="G96" i="43"/>
  <c r="G97" i="43"/>
  <c r="G98" i="43"/>
  <c r="G99" i="43"/>
  <c r="G100" i="43"/>
  <c r="G101" i="43"/>
  <c r="G93" i="43"/>
  <c r="Y7" i="1" l="1"/>
  <c r="Y6" i="1"/>
  <c r="C14" i="74" l="1"/>
  <c r="B14" i="74"/>
  <c r="V22" i="1" l="1"/>
  <c r="C75" i="9"/>
  <c r="C66" i="9"/>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42" i="43"/>
  <c r="D40" i="43"/>
  <c r="D33" i="43"/>
  <c r="B29" i="1"/>
  <c r="U22" i="1"/>
  <c r="U21" i="1"/>
  <c r="N14" i="1"/>
  <c r="N7" i="1"/>
  <c r="L14" i="1"/>
  <c r="L7" i="1"/>
  <c r="G20" i="6"/>
  <c r="G19" i="6"/>
  <c r="F19" i="6"/>
  <c r="AL13" i="3"/>
  <c r="M13" i="3"/>
  <c r="K13" i="3"/>
  <c r="I13" i="3"/>
  <c r="B10" i="80"/>
  <c r="B9" i="80"/>
  <c r="B12" i="80" s="1"/>
  <c r="F13" i="4"/>
  <c r="D3" i="4"/>
  <c r="F6" i="81"/>
  <c r="D24" i="81" l="1"/>
  <c r="P61" i="81"/>
  <c r="D22" i="81"/>
  <c r="U23" i="1"/>
  <c r="V23" i="1" s="1"/>
  <c r="E8" i="1"/>
  <c r="E9" i="1"/>
  <c r="E10" i="1"/>
  <c r="E11" i="1"/>
  <c r="E12" i="1"/>
  <c r="E13" i="1"/>
  <c r="F37" i="81"/>
  <c r="F36" i="81"/>
  <c r="M27" i="81"/>
  <c r="M29" i="81"/>
  <c r="F7" i="81"/>
  <c r="M9" i="81"/>
  <c r="F16" i="81"/>
  <c r="M8" i="81"/>
  <c r="M6" i="81"/>
  <c r="F26" i="81"/>
  <c r="M26" i="81"/>
  <c r="F13" i="81"/>
  <c r="M23" i="81"/>
  <c r="F40" i="81"/>
  <c r="M28" i="81"/>
  <c r="M24" i="81"/>
  <c r="C76" i="81"/>
  <c r="L48" i="81"/>
  <c r="L47" i="81"/>
  <c r="F43" i="81"/>
  <c r="F38" i="81"/>
  <c r="M22" i="81"/>
  <c r="F8" i="81"/>
  <c r="F9" i="81"/>
  <c r="J15" i="81"/>
  <c r="F42" i="81"/>
  <c r="V24" i="1" l="1"/>
  <c r="C27" i="81"/>
  <c r="F65" i="81"/>
  <c r="F50" i="81"/>
  <c r="M7" i="81"/>
  <c r="J6" i="81" s="1"/>
  <c r="N59" i="81"/>
  <c r="L59" i="81"/>
  <c r="L58" i="81"/>
  <c r="Q71" i="81"/>
  <c r="F64" i="81"/>
  <c r="F66" i="81"/>
  <c r="F51" i="81"/>
  <c r="C6" i="81"/>
  <c r="F68" i="81"/>
  <c r="F71" i="81"/>
  <c r="L57" i="81"/>
  <c r="L56" i="81"/>
  <c r="J57" i="81"/>
  <c r="J55" i="81" s="1"/>
  <c r="J58" i="81" s="1"/>
  <c r="Q50" i="81" s="1"/>
  <c r="I54" i="81"/>
  <c r="L60" i="81"/>
  <c r="J53"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7" i="81"/>
  <c r="C49" i="81" l="1"/>
  <c r="C61" i="81" s="1"/>
  <c r="J19" i="81"/>
  <c r="J18" i="81"/>
  <c r="F1" i="81"/>
  <c r="Q52" i="81"/>
  <c r="C33" i="81"/>
  <c r="C32" i="81"/>
  <c r="Q60" i="81"/>
  <c r="Q73" i="81"/>
  <c r="Q66" i="81"/>
  <c r="Q57" i="81"/>
  <c r="Q61" i="81"/>
  <c r="Q74" i="81"/>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D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E12" i="76"/>
  <c r="F7" i="67"/>
  <c r="C16" i="81"/>
  <c r="F7" i="73"/>
  <c r="F6" i="67"/>
  <c r="E7" i="76"/>
  <c r="F36" i="15"/>
  <c r="L47" i="67"/>
  <c r="F13" i="15"/>
  <c r="E11" i="76"/>
  <c r="B7" i="76"/>
  <c r="F43" i="67"/>
  <c r="E10" i="76"/>
  <c r="M26" i="67"/>
  <c r="M23" i="67"/>
  <c r="M8" i="67"/>
  <c r="F9" i="15"/>
  <c r="F3" i="73"/>
  <c r="E8" i="76"/>
  <c r="F43" i="15"/>
  <c r="F6" i="73"/>
  <c r="C76" i="15"/>
  <c r="E9" i="76"/>
  <c r="M8" i="15"/>
  <c r="L48" i="15"/>
  <c r="F13" i="67"/>
  <c r="F42" i="15"/>
  <c r="F42" i="67"/>
  <c r="F37" i="15"/>
  <c r="M29" i="67"/>
  <c r="F5" i="73"/>
  <c r="M22" i="15"/>
  <c r="M6" i="15"/>
  <c r="B13" i="76"/>
  <c r="E2" i="69"/>
  <c r="E2" i="68"/>
  <c r="F7" i="15"/>
  <c r="B11" i="76"/>
  <c r="F8" i="15"/>
  <c r="F40" i="67"/>
  <c r="M9" i="67"/>
  <c r="F40" i="15"/>
  <c r="F38" i="15"/>
  <c r="M28" i="15"/>
  <c r="AO13" i="1"/>
  <c r="F16" i="15"/>
  <c r="M26" i="15"/>
  <c r="B9" i="76"/>
  <c r="B12" i="76"/>
  <c r="J15" i="15"/>
  <c r="E13" i="76"/>
  <c r="F36" i="67"/>
  <c r="M24" i="67"/>
  <c r="M24" i="15"/>
  <c r="M29" i="15"/>
  <c r="M6" i="67"/>
  <c r="F8" i="67"/>
  <c r="F38" i="67"/>
  <c r="F26" i="15"/>
  <c r="B10" i="76"/>
  <c r="F20" i="31"/>
  <c r="L47" i="15"/>
  <c r="M9" i="15"/>
  <c r="J15" i="67"/>
  <c r="F9" i="67"/>
  <c r="M22" i="67"/>
  <c r="F16" i="67"/>
  <c r="F26" i="67"/>
  <c r="C76" i="67"/>
  <c r="F6" i="15"/>
  <c r="B8" i="76"/>
  <c r="F4" i="73"/>
  <c r="M23" i="15"/>
  <c r="F37" i="67"/>
  <c r="L48" i="67"/>
  <c r="F34" i="68" l="1"/>
  <c r="M59" i="81"/>
  <c r="O7" i="1"/>
  <c r="P7" i="1" s="1"/>
  <c r="F7" i="1"/>
  <c r="G7" i="1" s="1"/>
  <c r="G6" i="1"/>
  <c r="I24" i="43"/>
  <c r="G44" i="43" s="1"/>
  <c r="C28" i="67"/>
  <c r="C21" i="68"/>
  <c r="C40" i="69"/>
  <c r="H5" i="3"/>
  <c r="G13" i="3"/>
  <c r="G28" i="6"/>
  <c r="E28" i="6" s="1"/>
  <c r="K14" i="1" s="1"/>
  <c r="F29" i="6"/>
  <c r="J1" i="7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4" i="73"/>
  <c r="D6" i="73"/>
  <c r="D3" i="73"/>
  <c r="D7" i="73"/>
  <c r="C16" i="67"/>
  <c r="C16" i="15"/>
  <c r="F11" i="81" l="1"/>
  <c r="M11" i="81"/>
  <c r="J10" i="81" s="1"/>
  <c r="J5" i="81" s="1"/>
  <c r="C44" i="43"/>
  <c r="G5" i="3"/>
  <c r="B3" i="3" s="1"/>
  <c r="E13" i="3" s="1"/>
  <c r="K16" i="1"/>
  <c r="D18" i="53"/>
  <c r="B35" i="72" s="1"/>
  <c r="C7" i="74"/>
  <c r="K1" i="73"/>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G1" i="73"/>
  <c r="F41" i="67"/>
  <c r="AE7" i="1"/>
  <c r="C53" i="81" l="1"/>
  <c r="C48" i="81" s="1"/>
  <c r="C10" i="81"/>
  <c r="C5" i="81" s="1"/>
  <c r="J26" i="81"/>
  <c r="J24" i="81"/>
  <c r="AY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223" i="3"/>
  <c r="E105" i="3"/>
  <c r="E493" i="3"/>
  <c r="E543" i="3"/>
  <c r="E486" i="3"/>
  <c r="E422" i="3"/>
  <c r="E490" i="3"/>
  <c r="AH6" i="3"/>
  <c r="E498" i="3"/>
  <c r="E401" i="3"/>
  <c r="E40" i="3"/>
  <c r="E108" i="3"/>
  <c r="E119" i="3"/>
  <c r="E226" i="3"/>
  <c r="E346" i="3"/>
  <c r="E372" i="3"/>
  <c r="E43" i="3"/>
  <c r="E473" i="3"/>
  <c r="E446" i="3"/>
  <c r="E467" i="3"/>
  <c r="E64" i="3"/>
  <c r="E46" i="3"/>
  <c r="E103" i="3"/>
  <c r="E195" i="3"/>
  <c r="E163" i="3"/>
  <c r="E248" i="3"/>
  <c r="E209" i="3"/>
  <c r="E266" i="3"/>
  <c r="E307" i="3"/>
  <c r="E386" i="3"/>
  <c r="E492" i="3"/>
  <c r="E23" i="3"/>
  <c r="E84" i="3"/>
  <c r="E67" i="3"/>
  <c r="E33" i="3"/>
  <c r="E144" i="3"/>
  <c r="E184" i="3"/>
  <c r="E233" i="3"/>
  <c r="E355" i="3"/>
  <c r="Y6" i="3"/>
  <c r="E68" i="3"/>
  <c r="E63" i="3"/>
  <c r="E81" i="3"/>
  <c r="E179" i="3"/>
  <c r="E222" i="3"/>
  <c r="E283" i="3"/>
  <c r="E309" i="3"/>
  <c r="E82"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 i="3"/>
  <c r="E188" i="3"/>
  <c r="E116" i="3"/>
  <c r="E393" i="3"/>
  <c r="E564" i="3"/>
  <c r="E427" i="3"/>
  <c r="E507" i="3"/>
  <c r="E440" i="3"/>
  <c r="E376" i="3"/>
  <c r="J6" i="3"/>
  <c r="E419" i="3"/>
  <c r="E483" i="3"/>
  <c r="E463" i="3"/>
  <c r="E25" i="3"/>
  <c r="E178" i="3"/>
  <c r="E202" i="3"/>
  <c r="E242" i="3"/>
  <c r="E276" i="3"/>
  <c r="E333" i="3"/>
  <c r="L6" i="3"/>
  <c r="E60" i="3"/>
  <c r="E540" i="3"/>
  <c r="E15" i="3"/>
  <c r="E47" i="3"/>
  <c r="E98" i="3"/>
  <c r="E65" i="3"/>
  <c r="E138" i="3"/>
  <c r="E160" i="3"/>
  <c r="E142" i="3"/>
  <c r="E200" i="3"/>
  <c r="E267" i="3"/>
  <c r="E249" i="3"/>
  <c r="E300" i="3"/>
  <c r="E371" i="3"/>
  <c r="E310" i="3"/>
  <c r="E354" i="3"/>
  <c r="E584" i="3"/>
  <c r="E66" i="3"/>
  <c r="E24" i="3"/>
  <c r="E48" i="3"/>
  <c r="E87" i="3"/>
  <c r="E127" i="3"/>
  <c r="E250" i="3"/>
  <c r="E284" i="3"/>
  <c r="E341" i="3"/>
  <c r="E381" i="3"/>
  <c r="E51" i="3"/>
  <c r="E19" i="3"/>
  <c r="E154" i="3"/>
  <c r="E118" i="3"/>
  <c r="E264" i="3"/>
  <c r="E323" i="3"/>
  <c r="E373"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572" i="3"/>
  <c r="E109" i="3"/>
  <c r="E53" i="3"/>
  <c r="E319" i="3"/>
  <c r="E501"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B40" i="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2" i="11"/>
  <c r="F41" i="15"/>
  <c r="M27" i="15"/>
  <c r="F41" i="81"/>
  <c r="M27" i="67"/>
  <c r="F69" i="81" l="1"/>
  <c r="J29" i="81"/>
  <c r="L36" i="43"/>
  <c r="L37" i="43" s="1"/>
  <c r="P37" i="43" s="1"/>
  <c r="F24" i="81"/>
  <c r="C66" i="81"/>
  <c r="C60" i="81"/>
  <c r="C38" i="81"/>
  <c r="F24" i="15"/>
  <c r="C24" i="15" s="1"/>
  <c r="F22" i="69"/>
  <c r="F41" i="69" s="1"/>
  <c r="F22" i="68"/>
  <c r="F24" i="67"/>
  <c r="C24" i="67" s="1"/>
  <c r="F25" i="12"/>
  <c r="C26" i="12" s="1"/>
  <c r="D25" i="12" s="1"/>
  <c r="H6" i="3"/>
  <c r="AC6" i="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44" i="11"/>
  <c r="D41" i="11" s="1"/>
  <c r="C23" i="11"/>
  <c r="C24" i="11"/>
  <c r="C26" i="11"/>
  <c r="D22" i="11" s="1"/>
  <c r="C66" i="67"/>
  <c r="C60" i="67"/>
  <c r="D10" i="69"/>
  <c r="C34" i="69"/>
  <c r="D10" i="68"/>
  <c r="C17" i="15"/>
  <c r="C17" i="67"/>
  <c r="C14" i="67"/>
  <c r="Q36" i="43" l="1"/>
  <c r="O37" i="43"/>
  <c r="N36" i="43"/>
  <c r="M37" i="43"/>
  <c r="P36" i="43"/>
  <c r="N37" i="43"/>
  <c r="Q37" i="43"/>
  <c r="O36" i="43"/>
  <c r="M36" i="43"/>
  <c r="C24" i="81"/>
  <c r="F41" i="68"/>
  <c r="C44" i="69"/>
  <c r="D41" i="69" s="1"/>
  <c r="C44" i="68"/>
  <c r="D41" i="68" s="1"/>
  <c r="C25" i="11"/>
  <c r="C22" i="11" s="1"/>
  <c r="C31" i="11" s="1"/>
  <c r="C26" i="69"/>
  <c r="D22" i="69" s="1"/>
  <c r="C26" i="68"/>
  <c r="D22" i="68" s="1"/>
  <c r="E6" i="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18" i="81" l="1"/>
  <c r="C15"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19" i="81" l="1"/>
  <c r="C20" i="81" s="1"/>
  <c r="C26" i="81" s="1"/>
  <c r="H26" i="43"/>
  <c r="F26" i="43"/>
  <c r="N370" i="46"/>
  <c r="G26" i="43"/>
  <c r="N94" i="46"/>
  <c r="E26" i="43"/>
  <c r="D26" i="43" s="1"/>
  <c r="C25" i="43" s="1"/>
  <c r="B116" i="43"/>
  <c r="J26" i="43"/>
  <c r="Z7" i="43"/>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33"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81"/>
  <c r="F35" i="67"/>
  <c r="M21" i="81"/>
  <c r="M21" i="15"/>
  <c r="C57" i="81" l="1"/>
  <c r="C64" i="81" s="1"/>
  <c r="J59" i="81"/>
  <c r="J60" i="81" s="1"/>
  <c r="C13" i="81"/>
  <c r="C75" i="81" s="1"/>
  <c r="C36" i="81"/>
  <c r="Q70" i="81"/>
  <c r="Q49" i="81"/>
  <c r="J14" i="81"/>
  <c r="F63" i="81"/>
  <c r="C62" i="81" s="1"/>
  <c r="C59" i="81" s="1"/>
  <c r="C34" i="81"/>
  <c r="C31" i="81" s="1"/>
  <c r="J20" i="81"/>
  <c r="J17" i="81" s="1"/>
  <c r="C118" i="43"/>
  <c r="D116" i="43" s="1"/>
  <c r="C34" i="43"/>
  <c r="E34" i="43" s="1"/>
  <c r="C31" i="43" s="1"/>
  <c r="E33" i="43"/>
  <c r="C30"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Q48" i="81" l="1"/>
  <c r="L46" i="81"/>
  <c r="C56" i="81"/>
  <c r="C65" i="81" s="1"/>
  <c r="C58" i="81" s="1"/>
  <c r="C67" i="81" s="1"/>
  <c r="C68" i="81" s="1"/>
  <c r="C71" i="81" s="1"/>
  <c r="C37" i="81"/>
  <c r="C30" i="81" s="1"/>
  <c r="C39" i="81" s="1"/>
  <c r="Q69" i="81" s="1"/>
  <c r="Q68" i="81" s="1"/>
  <c r="J13" i="81"/>
  <c r="J23" i="81" s="1"/>
  <c r="J22" i="81"/>
  <c r="E2" i="76"/>
  <c r="B2"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J16" i="81" l="1"/>
  <c r="J25" i="81" s="1"/>
  <c r="C40" i="81"/>
  <c r="C46" i="81" s="1"/>
  <c r="C80" i="81"/>
  <c r="C79" i="81" s="1"/>
  <c r="C23" i="68"/>
  <c r="C20" i="68"/>
  <c r="B2" i="76"/>
  <c r="B3" i="76" s="1"/>
  <c r="B3"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D2" i="33"/>
  <c r="L51" i="67"/>
  <c r="L57" i="67" l="1"/>
  <c r="L60" i="67" s="1"/>
  <c r="L46" i="67" s="1"/>
  <c r="D2" i="67" s="1"/>
  <c r="B2" i="67" s="1"/>
  <c r="Q67" i="67"/>
  <c r="Q67" i="81"/>
  <c r="Q56" i="81"/>
  <c r="Q62" i="81" s="1"/>
  <c r="C83" i="81"/>
  <c r="C82" i="81" s="1"/>
  <c r="B2" i="81"/>
  <c r="B3" i="81" s="1"/>
  <c r="C43" i="81"/>
  <c r="Q65" i="81"/>
  <c r="Q75" i="81" s="1"/>
  <c r="Q47" i="81"/>
  <c r="Q53" i="81" s="1"/>
  <c r="C28" i="68"/>
  <c r="C27" i="68" s="1"/>
  <c r="C25" i="68"/>
  <c r="C22" i="68" s="1"/>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Q66" i="67" l="1"/>
  <c r="Q75" i="67" s="1"/>
  <c r="Q57" i="67"/>
  <c r="Q62" i="67" s="1"/>
  <c r="C31" i="68"/>
  <c r="C52" i="68"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7" i="1"/>
  <c r="AO9" i="1"/>
  <c r="AO12" i="1"/>
  <c r="L46" i="15" l="1"/>
  <c r="B2" i="15" s="1"/>
  <c r="B2" i="68"/>
  <c r="C57" i="68"/>
  <c r="C56" i="68"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102" i="9" l="1"/>
  <c r="C21" i="9"/>
  <c r="B3" i="6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20" i="9"/>
  <c r="D35" i="9"/>
  <c r="D19" i="9"/>
  <c r="D102" i="9" l="1"/>
  <c r="D21" i="9"/>
  <c r="G19" i="9"/>
  <c r="G21" i="9" s="1"/>
  <c r="D22" i="9"/>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4" i="52" l="1"/>
  <c r="D14" i="74"/>
  <c r="G118" i="9"/>
  <c r="G4" i="52" s="1"/>
  <c r="B52" i="72" s="1"/>
  <c r="H101" i="9"/>
  <c r="H107" i="9" s="1"/>
  <c r="I118" i="9"/>
  <c r="C105" i="9" s="1"/>
  <c r="F4" i="52"/>
  <c r="B51" i="72" s="1"/>
  <c r="C104" i="9"/>
  <c r="M48" i="9"/>
  <c r="D4" i="52"/>
  <c r="B47" i="72" s="1"/>
  <c r="H119" i="9"/>
  <c r="H5" i="52" s="1"/>
  <c r="F14" i="74" l="1"/>
  <c r="E14" i="74"/>
  <c r="B5" i="74"/>
  <c r="D5" i="74" s="1"/>
  <c r="D45" i="9"/>
  <c r="D52" i="9" s="1"/>
  <c r="D5" i="53"/>
  <c r="B20" i="72" s="1"/>
  <c r="H102" i="9"/>
  <c r="I4" i="52"/>
  <c r="E118" i="9"/>
  <c r="E4" i="52" s="1"/>
  <c r="B48" i="72" s="1"/>
  <c r="D13" i="53"/>
  <c r="H108" i="9"/>
  <c r="D122" i="9"/>
  <c r="M49" i="9"/>
  <c r="C85" i="9" l="1"/>
  <c r="D53" i="9"/>
  <c r="D55" i="9"/>
  <c r="M53" i="9" s="1"/>
  <c r="C93" i="9"/>
  <c r="C86" i="9" s="1"/>
  <c r="C72" i="9"/>
  <c r="C78" i="9"/>
  <c r="C73" i="9" s="1"/>
  <c r="C64" i="9"/>
  <c r="C63" i="9" s="1"/>
  <c r="C67" i="9" s="1"/>
  <c r="C68" i="9" s="1"/>
  <c r="D54" i="9" s="1"/>
  <c r="D48" i="9" s="1"/>
  <c r="M52" i="9" s="1"/>
  <c r="D6" i="53"/>
  <c r="B22" i="72" s="1"/>
  <c r="C5" i="74"/>
  <c r="D7" i="53"/>
  <c r="B21" i="72" s="1"/>
  <c r="L67" i="9"/>
  <c r="M67" i="9" s="1"/>
  <c r="L64" i="9"/>
  <c r="M64" i="9" s="1"/>
  <c r="L68" i="9"/>
  <c r="M68" i="9" s="1"/>
  <c r="L63" i="9"/>
  <c r="M63" i="9" s="1"/>
  <c r="L65" i="9"/>
  <c r="M65" i="9" s="1"/>
  <c r="L66" i="9"/>
  <c r="M66" i="9" s="1"/>
  <c r="D15" i="53"/>
  <c r="B31" i="72" s="1"/>
  <c r="D59" i="9"/>
  <c r="M55" i="9" s="1"/>
  <c r="D123" i="9"/>
  <c r="D9" i="52" s="1"/>
  <c r="D8" i="52"/>
  <c r="B30" i="72"/>
  <c r="D14" i="53"/>
  <c r="B32" i="72" s="1"/>
  <c r="C95" i="9" l="1"/>
  <c r="C96" i="9" s="1"/>
  <c r="E96" i="9" s="1"/>
  <c r="E97" i="9" s="1"/>
  <c r="C79" i="9"/>
  <c r="C80" i="9" s="1"/>
  <c r="E80" i="9" s="1"/>
  <c r="E81" i="9" s="1"/>
  <c r="M69" i="9"/>
  <c r="N69" i="9" s="1"/>
  <c r="C97" i="9" l="1"/>
  <c r="C81" i="9"/>
  <c r="D58" i="9" s="1"/>
  <c r="D56" i="9" s="1"/>
  <c r="M54" i="9" s="1"/>
  <c r="N57" i="9" s="1"/>
  <c r="P57" i="9" s="1"/>
  <c r="N59" i="9" l="1"/>
  <c r="H111" i="9" s="1"/>
  <c r="N58" i="9"/>
  <c r="N61" i="9" l="1"/>
  <c r="H112" i="9" s="1"/>
  <c r="D21" i="53" s="1"/>
  <c r="B39" i="72" s="1"/>
  <c r="N60" i="9"/>
  <c r="D126" i="9"/>
  <c r="G14" i="74" s="1"/>
  <c r="B6" i="74" s="1"/>
  <c r="D19" i="53"/>
  <c r="C8" i="74" l="1"/>
  <c r="D6" i="74"/>
  <c r="C6"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<sst xmlns="http://schemas.openxmlformats.org/spreadsheetml/2006/main" count="8259" uniqueCount="3438">
  <si>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</si>
  <si>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</si>
  <si>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</si>
  <si>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</si>
  <si>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</si>
  <si>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</si>
  <si>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</si>
  <si>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</si>
  <si>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</si>
  <si>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</si>
  <si>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</si>
  <si>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</si>
  <si>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</si>
  <si>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</si>
  <si>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</si>
  <si>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</si>
  <si>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</si>
  <si>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</si>
  <si>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</si>
  <si>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</si>
  <si>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</si>
  <si>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</si>
  <si>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</si>
  <si>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</si>
  <si>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</si>
  <si>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</si>
  <si>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</si>
  <si>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</si>
  <si>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</si>
  <si>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</si>
  <si>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</si>
  <si>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</si>
  <si>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</si>
  <si>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</si>
  <si>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</si>
  <si>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</si>
  <si>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</si>
  <si>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</si>
  <si>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</si>
  <si>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</si>
  <si>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</si>
  <si>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</si>
  <si>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</si>
  <si>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</si>
  <si>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</si>
  <si>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</si>
  <si>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</si>
  <si>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</si>
  <si>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</si>
  <si>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</si>
  <si>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</si>
  <si>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</si>
  <si>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</si>
  <si>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</si>
  <si>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</si>
  <si>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</si>
  <si>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</si>
  <si>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</si>
  <si>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</si>
  <si>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</si>
  <si>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</si>
  <si>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</si>
  <si>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</si>
  <si>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</si>
  <si>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</si>
  <si>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</si>
  <si>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</si>
  <si>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</si>
  <si>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</si>
  <si>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</si>
  <si>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</si>
  <si>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</si>
  <si>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</si>
  <si>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</si>
  <si>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</si>
  <si>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</si>
  <si>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</si>
  <si>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</si>
  <si>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</si>
  <si>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</si>
  <si>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</si>
  <si>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</si>
  <si>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</si>
  <si>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</si>
  <si>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</si>
  <si>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</si>
  <si>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</si>
  <si>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</si>
  <si>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</si>
  <si>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</si>
  <si>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</si>
  <si>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</si>
  <si>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</si>
  <si>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</si>
  <si>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</si>
  <si>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</si>
  <si>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</si>
  <si>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</si>
  <si>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</si>
  <si>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</si>
  <si>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</si>
  <si>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</si>
  <si>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</si>
  <si>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</si>
  <si>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</si>
  <si>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</si>
  <si>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</si>
  <si>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</si>
  <si>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</si>
  <si>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</si>
  <si>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</si>
  <si>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</si>
  <si>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</si>
  <si>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</si>
  <si>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</si>
  <si>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</si>
  <si>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</si>
  <si>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</si>
  <si>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</si>
  <si>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</si>
  <si>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</si>
  <si>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</si>
  <si>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</si>
  <si>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</si>
  <si>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</si>
  <si>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</si>
  <si>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</si>
  <si>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</si>
  <si>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</si>
  <si>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</si>
  <si>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</si>
  <si>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</si>
  <si>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</si>
  <si>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</si>
  <si>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</si>
  <si>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</si>
  <si>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</si>
  <si>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</si>
  <si>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</si>
  <si>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</si>
  <si>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</si>
  <si>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</si>
  <si>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</si>
  <si>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</si>
  <si>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</si>
  <si>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</si>
  <si>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</si>
  <si>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</si>
  <si>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</si>
  <si>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</si>
  <si>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</si>
  <si>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</si>
  <si>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</si>
  <si>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</si>
  <si>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</si>
  <si>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</si>
  <si>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</si>
  <si>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</si>
  <si>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</si>
  <si>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</si>
  <si>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</si>
  <si>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</si>
  <si>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</si>
  <si>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</si>
  <si>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</si>
  <si>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</si>
  <si>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</si>
  <si>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</si>
  <si>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</si>
  <si>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</si>
  <si>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</si>
  <si>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</si>
  <si>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</si>
  <si>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</si>
  <si>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</si>
  <si>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</si>
  <si>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</si>
  <si>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</si>
  <si>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</si>
  <si>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</si>
  <si>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</si>
  <si>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</si>
  <si>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</si>
  <si>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</si>
  <si>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</si>
  <si>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</si>
  <si>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</si>
  <si>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</si>
  <si>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</si>
  <si>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</si>
  <si>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</si>
  <si>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</si>
  <si>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</si>
  <si>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</si>
  <si>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</si>
  <si>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</si>
  <si>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</si>
  <si>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</si>
  <si>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</si>
  <si>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</si>
  <si>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</si>
  <si>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</si>
  <si>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</si>
  <si>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</si>
  <si>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</si>
  <si>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</si>
  <si>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</si>
  <si>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</si>
  <si>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</si>
  <si>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</si>
  <si>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</si>
  <si>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</si>
  <si>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</si>
  <si>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</si>
  <si>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</si>
  <si>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</si>
  <si>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</si>
  <si>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</si>
  <si>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</si>
  <si>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</si>
  <si>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</si>
  <si>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</si>
  <si>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</si>
  <si>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</si>
  <si>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</si>
  <si>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</si>
  <si>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</si>
  <si>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</si>
  <si>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</si>
  <si>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</si>
  <si>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</si>
  <si>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</si>
  <si>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</si>
  <si>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</si>
  <si>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</si>
  <si>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</si>
  <si>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</si>
  <si>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</si>
  <si>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</si>
  <si>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</si>
  <si>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</si>
  <si>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</si>
  <si>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</si>
  <si>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</si>
  <si>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</si>
  <si>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</si>
  <si>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</si>
  <si>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</si>
  <si>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</si>
  <si>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</si>
  <si>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</si>
  <si>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</si>
  <si>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</si>
  <si>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</si>
  <si>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</si>
  <si>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</si>
  <si>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</si>
  <si>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</si>
  <si>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</si>
  <si>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</si>
  <si>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</si>
  <si>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</si>
  <si>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</si>
  <si>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</si>
  <si>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</si>
  <si>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</si>
  <si>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</si>
  <si>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</si>
  <si>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</si>
  <si>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</si>
  <si>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</si>
  <si>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</si>
  <si>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</si>
  <si>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</si>
  <si>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</si>
  <si>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</si>
  <si>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</si>
  <si>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</si>
  <si>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</si>
  <si>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</si>
  <si>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</si>
  <si>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</si>
  <si>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</si>
  <si>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</si>
  <si>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</si>
  <si>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</si>
  <si>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</si>
  <si>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</si>
  <si>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</si>
  <si>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</si>
  <si>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</si>
  <si>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</si>
  <si>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</si>
  <si>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</si>
  <si>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</si>
  <si>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</si>
  <si>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</si>
  <si>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</si>
  <si>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</si>
  <si>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</si>
  <si>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</si>
  <si>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</si>
  <si>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</si>
  <si>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</si>
  <si>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</si>
  <si>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</si>
  <si>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</si>
  <si>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</si>
  <si>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</si>
  <si>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</si>
  <si>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</si>
  <si>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</si>
  <si>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</si>
  <si>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</si>
  <si>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</si>
  <si>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</si>
  <si>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</si>
  <si>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</si>
  <si>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</si>
  <si>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</si>
  <si>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</si>
  <si>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</si>
  <si>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</si>
  <si>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</si>
  <si>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</si>
  <si>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</si>
  <si>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</si>
  <si>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</si>
  <si>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</si>
  <si>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</si>
  <si>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</si>
  <si>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</si>
  <si>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</si>
  <si>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</si>
  <si>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</si>
  <si>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</si>
  <si>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</si>
  <si>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</si>
  <si>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</si>
  <si>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</si>
  <si>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</si>
  <si>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</si>
  <si>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</si>
  <si>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</si>
  <si>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</si>
  <si>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</si>
  <si>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</si>
  <si>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</si>
  <si>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</si>
  <si>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</si>
  <si>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</si>
  <si>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</si>
  <si>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</si>
  <si>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</si>
  <si>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</si>
  <si>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</si>
  <si>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</si>
  <si>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</si>
  <si>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</si>
  <si>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</si>
  <si>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</si>
  <si>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</si>
  <si>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</si>
  <si>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</si>
  <si>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</si>
  <si>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</si>
  <si>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</si>
  <si>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</si>
  <si>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</si>
  <si>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</si>
  <si>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</si>
  <si>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</si>
  <si>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</si>
  <si>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</si>
  <si>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</si>
  <si>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</si>
  <si>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</si>
  <si>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</si>
  <si>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</si>
  <si>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</si>
  <si>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</si>
  <si>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</si>
  <si>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</si>
  <si>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</si>
  <si>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</si>
  <si>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</si>
  <si>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</si>
  <si>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</si>
  <si>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</si>
  <si>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</si>
  <si>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</si>
  <si>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</si>
  <si>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</si>
  <si>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</si>
  <si>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</si>
  <si>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</si>
  <si>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</si>
  <si>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</si>
  <si>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</si>
  <si>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</si>
  <si>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</si>
  <si>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</si>
  <si>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</si>
  <si>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</si>
  <si>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</si>
  <si>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</si>
  <si>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</si>
  <si>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</si>
  <si>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</si>
  <si>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</si>
  <si>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</si>
  <si>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</si>
  <si>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</si>
  <si>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</si>
  <si>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</si>
  <si>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</si>
  <si>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</si>
  <si>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</si>
  <si>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</si>
  <si>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</si>
  <si>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</si>
  <si>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</si>
  <si>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</si>
  <si>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</si>
  <si>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</si>
  <si>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</si>
  <si>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</si>
  <si>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</si>
  <si>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</si>
  <si>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</si>
  <si>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</si>
  <si>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</si>
  <si>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</si>
  <si>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</si>
  <si>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</si>
  <si>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</si>
  <si>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</si>
  <si>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</si>
  <si>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</si>
  <si>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</si>
  <si>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</si>
  <si>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</si>
  <si>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</si>
  <si>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</si>
  <si>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</si>
  <si>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</si>
  <si>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</si>
  <si>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</si>
  <si>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</si>
  <si>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</si>
  <si>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</si>
  <si>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</si>
  <si>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</si>
  <si>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</si>
  <si>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</si>
  <si>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</si>
  <si>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</si>
  <si>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</si>
  <si>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</si>
  <si>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</si>
  <si>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</si>
  <si>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</si>
  <si>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</si>
  <si>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</si>
  <si>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</si>
  <si>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</si>
  <si>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</si>
  <si>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</si>
  <si>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</si>
  <si>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</si>
  <si>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</si>
  <si>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</si>
  <si>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</si>
  <si>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</si>
  <si>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</si>
  <si>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</si>
  <si>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</si>
  <si>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</si>
  <si>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</si>
  <si>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</si>
  <si>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</si>
  <si>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</si>
  <si>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</si>
  <si>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</si>
  <si>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</si>
  <si>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</si>
  <si>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</si>
  <si>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</si>
  <si>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</si>
  <si>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</si>
  <si>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</si>
  <si>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</si>
  <si>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</si>
  <si>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</si>
  <si>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</si>
  <si>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</si>
  <si>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</si>
  <si>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</si>
  <si>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</si>
  <si>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</si>
  <si>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</si>
  <si>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</si>
  <si>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</si>
  <si>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</si>
  <si>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</si>
  <si>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</si>
  <si>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</si>
  <si>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</si>
  <si>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</si>
  <si>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</si>
  <si>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</si>
  <si>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</si>
  <si>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</si>
  <si>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</si>
  <si>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</si>
  <si>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</si>
  <si>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</si>
  <si>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</si>
  <si>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</si>
  <si>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</si>
  <si>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</si>
  <si>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</si>
  <si>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</si>
  <si>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</si>
  <si>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</si>
  <si>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</si>
  <si>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</si>
  <si>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</si>
  <si>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</si>
  <si>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</si>
  <si>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</si>
  <si>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</si>
  <si>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</si>
  <si>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</si>
  <si>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</si>
  <si>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</si>
  <si>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</si>
  <si>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</si>
  <si>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</si>
  <si>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</si>
  <si>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</si>
  <si>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</si>
  <si>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</si>
  <si>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</si>
  <si>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</si>
  <si>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</si>
  <si>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</si>
  <si>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</si>
  <si>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</si>
  <si>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</si>
  <si>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</si>
  <si>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</si>
  <si>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</si>
  <si>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</si>
  <si>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</si>
  <si>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</si>
  <si>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</si>
  <si>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</si>
  <si>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</si>
  <si>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</si>
  <si>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</si>
  <si>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</si>
  <si>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</si>
  <si>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</si>
  <si>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</si>
  <si>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</si>
  <si>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</si>
  <si>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</si>
  <si>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</si>
  <si>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</si>
  <si>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</si>
  <si>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</si>
  <si>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</si>
  <si>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</si>
  <si>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</si>
  <si>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</si>
  <si>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</si>
  <si>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</si>
  <si>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</si>
  <si>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</si>
  <si>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</si>
  <si>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</si>
  <si>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</si>
  <si>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</si>
  <si>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</si>
  <si>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</si>
  <si>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</si>
  <si>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</si>
  <si>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</si>
  <si>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</si>
  <si>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</si>
  <si>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</si>
  <si>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</si>
  <si>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</si>
  <si>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</si>
  <si>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</si>
  <si>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</si>
  <si>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</si>
  <si>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</si>
  <si>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</si>
  <si>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</si>
  <si>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</si>
  <si>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</si>
  <si>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</si>
  <si>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</si>
  <si>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</si>
  <si>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</si>
  <si>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</si>
  <si>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</si>
  <si>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</si>
  <si>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</si>
  <si>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</si>
  <si>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</si>
  <si>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</si>
  <si>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</si>
  <si>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</si>
  <si>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</si>
  <si>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</si>
  <si>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</si>
  <si>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</si>
  <si>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</si>
  <si>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</si>
  <si>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</si>
  <si>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</si>
  <si>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</si>
  <si>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</si>
  <si>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</si>
  <si>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</si>
  <si>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</si>
  <si>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</si>
  <si>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</si>
  <si>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</si>
  <si>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</si>
  <si>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</si>
  <si>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</si>
  <si>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</si>
  <si>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</si>
  <si>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</si>
  <si>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</si>
  <si>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</si>
  <si>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</si>
  <si>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</si>
  <si>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</si>
  <si>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</si>
  <si>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</si>
  <si>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</si>
  <si>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</si>
  <si>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</si>
  <si>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</si>
  <si>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</si>
  <si>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</si>
  <si>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</si>
  <si>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</si>
  <si>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</si>
  <si>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</si>
  <si>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</si>
  <si>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</si>
  <si>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</si>
  <si>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</si>
  <si>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</si>
  <si>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</si>
  <si>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</si>
  <si>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</si>
  <si>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</si>
  <si>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</si>
  <si>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</si>
  <si>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</si>
  <si>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</si>
  <si>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</si>
  <si>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</si>
  <si>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</si>
  <si>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</si>
  <si>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</si>
  <si>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</si>
  <si>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</si>
  <si>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</si>
  <si>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</si>
  <si>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</si>
  <si>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</si>
  <si>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</si>
  <si>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</si>
  <si>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</si>
  <si>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</si>
  <si>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</si>
  <si>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</si>
  <si>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</si>
  <si>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</si>
  <si>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</si>
  <si>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</si>
  <si>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</si>
  <si>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</si>
  <si>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</si>
  <si>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</si>
  <si>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</si>
  <si>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</si>
  <si>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</si>
  <si>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</si>
  <si>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</si>
  <si>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</si>
  <si>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</si>
  <si>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</si>
  <si>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</si>
  <si>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</si>
  <si>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</si>
  <si>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</si>
  <si>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</si>
  <si>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</si>
  <si>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</si>
  <si>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</si>
  <si>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</si>
  <si>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</si>
  <si>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</si>
  <si>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</si>
  <si>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</si>
  <si>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</si>
  <si>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</si>
  <si>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</si>
  <si>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</si>
  <si>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</si>
  <si>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</si>
  <si>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</si>
  <si>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</si>
  <si>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</si>
  <si>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</si>
  <si>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</si>
  <si>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</si>
  <si>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</si>
  <si>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</si>
  <si>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</si>
  <si>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</si>
  <si>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</si>
  <si>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</si>
  <si>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</si>
  <si>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</si>
  <si>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</si>
  <si>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</si>
  <si>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</si>
  <si>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</si>
  <si>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</si>
  <si>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</si>
  <si>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</si>
  <si>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</si>
  <si>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</si>
  <si>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</si>
  <si>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</si>
  <si>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</si>
  <si>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</si>
  <si>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</si>
  <si>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</si>
  <si>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</si>
  <si>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</si>
  <si>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</si>
  <si>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</si>
  <si>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</si>
  <si>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</si>
  <si>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</si>
  <si>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</si>
  <si>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</si>
  <si>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</si>
  <si>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</si>
  <si>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</si>
  <si>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</si>
  <si>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</si>
  <si>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</si>
  <si>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</si>
  <si>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</si>
  <si>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</si>
  <si>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</si>
  <si>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</si>
  <si>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</si>
  <si>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</si>
  <si>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</si>
  <si>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</si>
  <si>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</si>
  <si>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</si>
  <si>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</si>
  <si>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</si>
  <si>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</si>
  <si>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</si>
  <si>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</si>
  <si>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</si>
  <si>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</si>
  <si>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</si>
  <si>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</si>
  <si>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</si>
  <si>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</si>
  <si>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</si>
  <si>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</si>
  <si>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</si>
  <si>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</si>
  <si>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</si>
  <si>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</si>
  <si>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</si>
  <si>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</si>
  <si>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</si>
  <si>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</si>
  <si>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</si>
  <si>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</si>
  <si>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</si>
  <si>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</si>
  <si>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</si>
  <si>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</si>
  <si>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</si>
  <si>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</si>
  <si>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</si>
  <si>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</si>
  <si>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</si>
  <si>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</si>
  <si>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</si>
  <si>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</si>
  <si>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</si>
  <si>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</si>
  <si>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</si>
  <si>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</si>
  <si>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</si>
  <si>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</si>
  <si>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</si>
  <si>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</si>
  <si>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</si>
  <si>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</si>
  <si>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</si>
  <si>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</si>
  <si>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</si>
  <si>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</si>
  <si>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</si>
  <si>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</si>
  <si>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</si>
  <si>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</si>
  <si>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</si>
  <si>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</si>
  <si>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</si>
  <si>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</si>
  <si>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</si>
  <si>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</si>
  <si>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</si>
  <si>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</si>
  <si>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</si>
  <si>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</si>
  <si>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</si>
  <si>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</si>
  <si>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</si>
  <si>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</si>
  <si>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</si>
  <si>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</si>
  <si>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</si>
  <si>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</si>
  <si>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</si>
  <si>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</si>
  <si>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</si>
  <si>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</si>
  <si>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</si>
  <si>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</si>
  <si>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</si>
  <si>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</si>
  <si>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</si>
  <si>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</si>
  <si>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</si>
  <si>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</si>
  <si>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</si>
  <si>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</si>
  <si>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</si>
  <si>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</si>
  <si>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</si>
  <si>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</si>
  <si>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</si>
  <si>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</si>
  <si>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</si>
  <si>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</si>
  <si>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</si>
  <si>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</si>
  <si>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</si>
  <si>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</si>
  <si>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</si>
  <si>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</si>
  <si>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</si>
  <si>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</si>
  <si>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</si>
  <si>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</si>
  <si>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</si>
  <si>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</si>
  <si>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</si>
  <si>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</si>
  <si>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</si>
  <si>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</si>
  <si>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</si>
  <si>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</si>
  <si>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</si>
  <si>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</si>
  <si>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</si>
  <si>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</si>
  <si>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</si>
  <si>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</si>
  <si>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</si>
  <si>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</si>
  <si>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</si>
  <si>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</si>
  <si>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</si>
  <si>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</si>
  <si>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</si>
  <si>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</si>
  <si>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</si>
  <si>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</si>
  <si>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</si>
  <si>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</si>
  <si>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</si>
  <si>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</si>
  <si>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</si>
  <si>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</si>
  <si>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</si>
  <si>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</si>
  <si>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</si>
  <si>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</si>
  <si>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</si>
  <si>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</si>
  <si>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</si>
  <si>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</si>
  <si>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</si>
  <si>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</si>
  <si>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</si>
  <si>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</si>
  <si>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</si>
  <si>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</si>
  <si>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</si>
  <si>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</si>
  <si>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</si>
  <si>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</si>
  <si>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</si>
  <si>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</si>
  <si>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</si>
  <si>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</si>
  <si>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</si>
  <si>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</si>
  <si>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</si>
  <si>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</si>
  <si>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</si>
  <si>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</si>
  <si>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</si>
  <si>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</si>
  <si>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</si>
  <si>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</si>
  <si>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</si>
  <si>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</si>
  <si>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</si>
  <si>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</si>
  <si>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</si>
  <si>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</si>
  <si>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</si>
  <si>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</si>
  <si>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</si>
  <si>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</si>
  <si>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</si>
  <si>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</si>
  <si>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</si>
  <si>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</si>
  <si>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</si>
  <si>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</si>
  <si>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</si>
  <si>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</si>
  <si>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</si>
  <si>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</si>
  <si>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</si>
  <si>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</si>
  <si>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</si>
  <si>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</si>
  <si>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</si>
  <si>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</si>
  <si>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</si>
  <si>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</si>
  <si>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</si>
  <si>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</si>
  <si>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</si>
  <si>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</si>
  <si>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</si>
  <si>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</si>
  <si>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</si>
  <si>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</si>
  <si>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</si>
  <si>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</si>
  <si>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</si>
  <si>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</si>
  <si>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</si>
  <si>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</si>
  <si>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</si>
  <si>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</si>
  <si>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</si>
  <si>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</si>
  <si>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</si>
  <si>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</si>
  <si>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</si>
  <si>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</si>
  <si>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</si>
  <si>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</si>
  <si>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</si>
  <si>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</si>
  <si>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</si>
  <si>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</si>
  <si>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</si>
  <si>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</si>
  <si>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</si>
  <si>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</si>
  <si>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</si>
  <si>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</si>
  <si>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</si>
  <si>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</si>
  <si>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</si>
  <si>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</si>
  <si>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</si>
  <si>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</si>
  <si>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</si>
  <si>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</si>
  <si>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</si>
  <si>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</si>
  <si>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</si>
  <si>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</si>
  <si>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</si>
  <si>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</si>
  <si>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</si>
  <si>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</si>
  <si>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</si>
  <si>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</si>
  <si>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</si>
  <si>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</si>
  <si>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</si>
  <si>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</si>
  <si>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</si>
  <si>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</si>
  <si>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</si>
  <si>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</si>
  <si>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</si>
  <si>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</si>
  <si>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</si>
  <si>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</si>
  <si>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</si>
  <si>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</si>
  <si>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</si>
  <si>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</si>
  <si>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</si>
  <si>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</si>
  <si>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</si>
  <si>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</si>
  <si>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</si>
  <si>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</si>
  <si>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</si>
  <si>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</si>
  <si>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</si>
  <si>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</si>
  <si>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</si>
  <si>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</si>
  <si>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</si>
  <si>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</si>
  <si>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</si>
  <si>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</si>
  <si>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</si>
  <si>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</si>
  <si>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</si>
  <si>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</si>
  <si>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</si>
  <si>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</si>
  <si>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</si>
  <si>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</si>
  <si>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</si>
  <si>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</si>
  <si>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</si>
  <si>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</si>
  <si>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</si>
  <si>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</si>
  <si>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</si>
  <si>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</si>
  <si>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</si>
  <si>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</si>
  <si>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</si>
  <si>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</si>
  <si>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</si>
  <si>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</si>
  <si>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</si>
  <si>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</si>
  <si>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</si>
  <si>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</si>
  <si>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</si>
  <si>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</si>
  <si>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</si>
  <si>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</si>
  <si>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</si>
  <si>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</si>
  <si>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</si>
  <si>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</si>
  <si>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</si>
  <si>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</si>
  <si>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</si>
  <si>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</si>
  <si>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</si>
  <si>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</si>
  <si>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</si>
  <si>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</si>
  <si>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</si>
  <si>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</si>
  <si>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</si>
  <si>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</si>
  <si>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</si>
  <si>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</si>
  <si>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</si>
  <si>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</si>
  <si>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</si>
  <si>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</si>
  <si>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</si>
  <si>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</si>
  <si>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</si>
  <si>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</si>
  <si>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</si>
  <si>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</si>
  <si>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</si>
  <si>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</si>
  <si>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</si>
  <si>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</si>
  <si>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</si>
  <si>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</si>
  <si>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</si>
  <si>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</si>
  <si>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</si>
  <si>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</si>
  <si>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</si>
  <si>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</si>
  <si>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</si>
  <si>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</si>
  <si>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</si>
  <si>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</si>
  <si>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</si>
  <si>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</si>
  <si>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</si>
  <si>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</si>
  <si>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</si>
  <si>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</si>
  <si>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</si>
  <si>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</si>
  <si>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</si>
  <si>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</si>
  <si>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</si>
  <si>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</si>
  <si>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</si>
  <si>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</si>
  <si>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</si>
  <si>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</si>
  <si>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</si>
  <si>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</si>
  <si>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</si>
  <si>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</si>
  <si>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</si>
  <si>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</si>
  <si>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</si>
  <si>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</si>
  <si>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</si>
  <si>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</si>
  <si>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</si>
  <si>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</si>
  <si>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</si>
  <si>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</si>
  <si>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</si>
  <si>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</si>
  <si>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</si>
  <si>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</si>
  <si>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</si>
  <si>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</si>
  <si>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</si>
  <si>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</si>
  <si>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</si>
  <si>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</si>
  <si>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</si>
  <si>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</si>
  <si>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</si>
  <si>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</si>
  <si>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</si>
  <si>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</si>
  <si>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</si>
  <si>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</si>
  <si>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</si>
  <si>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</si>
  <si>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</si>
  <si>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</si>
  <si>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</si>
  <si>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</si>
  <si>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</si>
  <si>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</si>
  <si>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</si>
  <si>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</si>
  <si>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</si>
  <si>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</si>
  <si>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</si>
  <si>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</si>
  <si>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</si>
  <si>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</si>
  <si>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</si>
  <si>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</si>
  <si>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</si>
  <si>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</si>
  <si>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</si>
  <si>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</si>
  <si>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</si>
  <si>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</si>
  <si>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</si>
  <si>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</si>
  <si>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</si>
  <si>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</si>
  <si>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</si>
  <si>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</si>
  <si>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</si>
  <si>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</si>
  <si>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</si>
  <si>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</si>
  <si>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</si>
  <si>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</si>
  <si>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</si>
  <si>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</si>
  <si>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</si>
  <si>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</si>
  <si>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</si>
  <si>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</si>
  <si>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</si>
  <si>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</si>
  <si>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</si>
  <si>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</si>
  <si>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</si>
  <si>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</si>
  <si>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</si>
  <si>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</si>
  <si>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</si>
  <si>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</si>
  <si>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</si>
  <si>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</si>
  <si>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</si>
  <si>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</si>
  <si>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</si>
  <si>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</si>
  <si>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</si>
  <si>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</si>
  <si>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</si>
  <si>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</si>
  <si>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</si>
  <si>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</si>
  <si>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</si>
  <si>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</si>
  <si>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</si>
  <si>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</si>
  <si>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</si>
  <si>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</si>
  <si>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</si>
  <si>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</si>
  <si>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</si>
  <si>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</si>
  <si>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</si>
  <si>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</si>
  <si>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</si>
  <si>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</si>
  <si>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</si>
  <si>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</si>
  <si>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</si>
  <si>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</si>
  <si>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</si>
  <si>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</si>
  <si>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</si>
  <si>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</si>
  <si>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</si>
  <si>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</si>
  <si>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</si>
  <si>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</si>
  <si>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</si>
  <si>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</si>
  <si>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</si>
  <si>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</si>
  <si>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</si>
  <si>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</si>
  <si>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</si>
  <si>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</si>
  <si>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</si>
  <si>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</si>
  <si>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</si>
  <si>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</si>
  <si>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</si>
  <si>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</si>
  <si>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</si>
  <si>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</si>
  <si>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</si>
  <si>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</si>
  <si>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</si>
  <si>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</si>
  <si>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</si>
  <si>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</si>
  <si>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</si>
  <si>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</si>
  <si>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</si>
  <si>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</si>
  <si>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</si>
  <si>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</si>
  <si>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</si>
  <si>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</si>
  <si>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</si>
  <si>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</si>
  <si>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</si>
  <si>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</si>
  <si>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</si>
  <si>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</si>
  <si>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</si>
  <si>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</si>
  <si>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</si>
  <si>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</si>
  <si>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</si>
  <si>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</si>
  <si>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</si>
  <si>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</si>
  <si>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</si>
  <si>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</si>
  <si>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</si>
  <si>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</si>
  <si>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</si>
  <si>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</si>
  <si>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</si>
  <si>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</si>
  <si>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</si>
  <si>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</si>
  <si>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</si>
  <si>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</si>
  <si>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</si>
  <si>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</si>
  <si>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</si>
  <si>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</si>
  <si>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</si>
  <si>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</si>
  <si>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</si>
  <si>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</si>
  <si>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</si>
  <si>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</si>
  <si>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</si>
  <si>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</si>
  <si>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</si>
  <si>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</si>
  <si>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</si>
  <si>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</si>
  <si>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</si>
  <si>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</si>
  <si>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</si>
  <si>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</si>
  <si>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</si>
  <si>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</si>
  <si>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</si>
  <si>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</si>
  <si>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</si>
  <si>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</si>
  <si>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</si>
  <si>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</si>
  <si>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</si>
  <si>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</si>
  <si>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</si>
  <si>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</si>
  <si>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</si>
  <si>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</si>
  <si>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</si>
  <si>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</si>
  <si>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</si>
  <si>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</si>
  <si>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</si>
  <si>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</si>
  <si>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</si>
  <si>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</si>
  <si>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</si>
  <si>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</si>
  <si>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</si>
  <si>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</si>
  <si>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</si>
  <si>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</si>
  <si>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</si>
  <si>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</si>
  <si>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</si>
  <si>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</si>
  <si>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</si>
  <si>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</si>
  <si>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</si>
  <si>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</si>
  <si>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</si>
  <si>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</si>
  <si>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</si>
  <si>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</si>
  <si>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</si>
  <si>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</si>
  <si>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</si>
  <si>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</si>
  <si>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</si>
  <si>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</si>
  <si>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</si>
  <si>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</si>
  <si>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</si>
  <si>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</si>
  <si>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</si>
  <si>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</si>
  <si>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</si>
  <si>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</si>
  <si>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</si>
  <si>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</si>
  <si>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</si>
  <si>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</si>
  <si>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</si>
  <si>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</si>
  <si>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</si>
  <si>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</si>
  <si>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</si>
  <si>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</si>
  <si>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</si>
  <si>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</si>
  <si>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</si>
  <si>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</si>
  <si>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</si>
  <si>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</si>
  <si>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</si>
  <si>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</si>
  <si>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</si>
  <si>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</si>
  <si>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</si>
  <si>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</si>
  <si>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</si>
  <si>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</si>
  <si>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</si>
  <si>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</si>
  <si>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</si>
  <si>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</si>
  <si>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</si>
  <si>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</si>
  <si>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</si>
  <si>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</si>
  <si>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</si>
  <si>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</si>
  <si>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</si>
  <si>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</si>
  <si>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</si>
  <si>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</si>
  <si>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</si>
  <si>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</si>
  <si>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</si>
  <si>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</si>
  <si>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</si>
  <si>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</si>
  <si>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</si>
  <si>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</si>
  <si>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</si>
  <si>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</si>
  <si>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</si>
  <si>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</si>
  <si>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</si>
  <si>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</si>
  <si>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</si>
  <si>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</si>
  <si>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</si>
  <si>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</si>
  <si>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</si>
  <si>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</si>
  <si>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</si>
  <si>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</si>
  <si>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</si>
  <si>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</si>
  <si>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</si>
  <si>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</si>
  <si>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</si>
  <si>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</si>
  <si>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</si>
  <si>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</si>
  <si>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</si>
  <si>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</si>
  <si>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</si>
  <si>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</si>
  <si>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</si>
  <si>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</si>
  <si>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</si>
  <si>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</si>
  <si>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</si>
  <si>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</si>
  <si>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</si>
  <si>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</si>
  <si>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</si>
  <si>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</si>
  <si>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</si>
  <si>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</si>
  <si>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</si>
  <si>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</si>
  <si>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</si>
  <si>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</si>
  <si>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</si>
  <si>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</si>
  <si>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</si>
  <si>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</si>
  <si>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</si>
  <si>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</si>
  <si>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</si>
  <si>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</si>
  <si>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</si>
  <si>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</si>
  <si>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</si>
  <si>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</si>
  <si>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</si>
  <si>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</si>
  <si>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</si>
  <si>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</si>
  <si>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</si>
  <si>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</si>
  <si>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</si>
  <si>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</si>
  <si>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</si>
  <si>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</si>
  <si>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</si>
  <si>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</si>
  <si>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</si>
  <si>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</si>
  <si>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</si>
  <si>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</si>
  <si>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</si>
  <si>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</si>
  <si>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</si>
  <si>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</si>
  <si>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</si>
  <si>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</si>
  <si>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</si>
  <si>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</si>
  <si>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</si>
  <si>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</si>
  <si>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</si>
  <si>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</si>
  <si>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</si>
  <si>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</si>
  <si>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</si>
  <si>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</si>
  <si>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</si>
  <si>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</si>
  <si>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</si>
  <si>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</si>
  <si>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</si>
  <si>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</si>
  <si>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</si>
  <si>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</si>
  <si>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</si>
  <si>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</si>
  <si>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</si>
  <si>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</si>
  <si>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</si>
  <si>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</si>
  <si>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</si>
  <si>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</si>
  <si>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</si>
  <si>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</si>
  <si>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</si>
  <si>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</si>
  <si>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</si>
  <si>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</si>
  <si>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</si>
  <si>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</si>
  <si>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</si>
  <si>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</si>
  <si>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</si>
  <si>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</si>
  <si>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</si>
  <si>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</si>
  <si>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</si>
  <si>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</si>
  <si>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</si>
  <si>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</si>
  <si>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</si>
  <si>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</si>
  <si>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</si>
  <si>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</si>
  <si>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</si>
  <si>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</si>
  <si>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</si>
  <si>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</si>
  <si>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</si>
  <si>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</si>
  <si>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</si>
  <si>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</si>
  <si>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</si>
  <si>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</si>
  <si>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</si>
  <si>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</si>
  <si>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</si>
  <si>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</si>
  <si>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</si>
  <si>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</si>
  <si>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</si>
  <si>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</si>
  <si>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</si>
  <si>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</si>
  <si>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</si>
  <si>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</si>
  <si>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</si>
  <si>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</si>
  <si>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</si>
  <si>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</si>
  <si>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</si>
  <si>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</si>
  <si>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</si>
  <si>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</si>
  <si>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</si>
  <si>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</si>
  <si>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</si>
  <si>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</si>
  <si>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</si>
  <si>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</si>
  <si>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</si>
  <si>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</si>
  <si>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</si>
  <si>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</si>
  <si>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</si>
  <si>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</si>
  <si>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</si>
  <si>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</si>
  <si>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</si>
  <si>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</si>
  <si>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</si>
  <si>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</si>
  <si>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</si>
  <si>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</si>
  <si>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</si>
  <si>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</si>
  <si>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</si>
  <si>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</si>
  <si>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</si>
  <si>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</si>
  <si>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</si>
  <si>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</si>
  <si>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</si>
  <si>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</si>
  <si>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</si>
  <si>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</si>
  <si>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</si>
  <si>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</si>
  <si>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</si>
  <si>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</si>
  <si>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</si>
  <si>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</si>
  <si>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</si>
  <si>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</si>
  <si>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</si>
  <si>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</si>
  <si>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</si>
  <si>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</si>
  <si>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</si>
  <si>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</si>
  <si>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</si>
  <si>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</si>
  <si>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</si>
  <si>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</si>
  <si>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</si>
  <si>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</si>
  <si>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</si>
  <si>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</si>
  <si>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</si>
  <si>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</si>
  <si>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</si>
  <si>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</si>
  <si>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</si>
  <si>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</si>
  <si>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</si>
  <si>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</si>
  <si>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</si>
  <si>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</si>
  <si>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</si>
  <si>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</si>
  <si>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</si>
  <si>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</si>
  <si>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</si>
  <si>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</si>
  <si>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</si>
  <si>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</si>
  <si>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</si>
  <si>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</si>
  <si>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</si>
  <si>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</si>
  <si>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</si>
  <si>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</si>
  <si>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</si>
  <si>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</si>
  <si>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</si>
  <si>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</si>
  <si>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</si>
  <si>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</si>
  <si>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</si>
  <si>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</si>
  <si>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</si>
  <si>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</si>
  <si>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</si>
  <si>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</si>
  <si>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</si>
  <si>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</si>
  <si>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</si>
  <si>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</si>
  <si>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</si>
  <si>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</si>
  <si>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</si>
  <si>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</si>
  <si>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</si>
  <si>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</si>
  <si>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</si>
  <si>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</si>
  <si>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</si>
  <si>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</si>
  <si>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</si>
  <si>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</si>
  <si>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</si>
  <si>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</si>
  <si>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</si>
  <si>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</si>
  <si>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</si>
  <si>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</si>
  <si>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</si>
  <si>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</si>
  <si>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</si>
  <si>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</si>
  <si>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</si>
  <si>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</si>
  <si>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</si>
  <si>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</si>
  <si>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</si>
  <si>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</si>
  <si>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</si>
  <si>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</si>
  <si>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</si>
  <si>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</si>
  <si>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</si>
  <si>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</si>
  <si>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</si>
  <si>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</si>
  <si>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</si>
  <si>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</si>
  <si>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</si>
  <si>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</si>
  <si>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</si>
  <si>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</si>
  <si>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</si>
  <si>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</si>
  <si>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</si>
  <si>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</si>
  <si>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</si>
  <si>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</si>
  <si>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</si>
  <si>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</si>
  <si>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</si>
  <si>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</si>
  <si>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</si>
  <si>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</si>
  <si>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</si>
  <si>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</si>
  <si>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</si>
  <si>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</si>
  <si>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</si>
  <si>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</si>
  <si>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</si>
  <si>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</si>
  <si>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</si>
  <si>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</si>
  <si>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</si>
  <si>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</si>
  <si>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</si>
  <si>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</si>
  <si>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</si>
  <si>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</si>
  <si>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</si>
  <si>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</si>
  <si>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</si>
  <si>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</si>
  <si>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</si>
  <si>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</si>
  <si>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</si>
  <si>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</si>
  <si>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</si>
  <si>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</si>
  <si>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</si>
  <si>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</si>
  <si>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</si>
  <si>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</si>
  <si>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</si>
  <si>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</si>
  <si>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</si>
  <si>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</si>
  <si>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</si>
  <si>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</si>
  <si>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</si>
  <si>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</si>
  <si>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</si>
  <si>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</si>
  <si>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</si>
  <si>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</si>
  <si>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</si>
  <si>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</si>
  <si>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</si>
  <si>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</si>
  <si>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</si>
  <si>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</si>
  <si>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</si>
  <si>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</si>
  <si>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</si>
  <si>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</si>
  <si>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</si>
  <si>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</si>
  <si>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</si>
  <si>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</si>
  <si>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</si>
  <si>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</si>
  <si>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</si>
  <si>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</si>
  <si>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</si>
  <si>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</si>
  <si>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</si>
  <si>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</si>
  <si>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</si>
  <si>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</si>
  <si>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</si>
  <si>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</si>
  <si>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</si>
  <si>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</si>
  <si>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</si>
  <si>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</si>
  <si>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</si>
  <si>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</si>
  <si>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</si>
  <si>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</si>
  <si>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</si>
  <si>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</si>
  <si>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</si>
  <si>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</si>
  <si>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</si>
  <si>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</si>
  <si>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</si>
  <si>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</si>
  <si>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</si>
  <si>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</si>
  <si>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</si>
  <si>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</si>
  <si>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</si>
  <si>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</si>
  <si>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</si>
  <si>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</si>
  <si>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</si>
  <si>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</si>
  <si>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</si>
  <si>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</si>
  <si>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</si>
  <si>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</si>
  <si>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</si>
  <si>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</si>
  <si>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</si>
  <si>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</si>
  <si>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</si>
  <si>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</si>
  <si>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</si>
  <si>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</si>
  <si>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</si>
  <si>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</si>
  <si>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</si>
  <si>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</si>
  <si>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</si>
  <si>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</si>
  <si>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</si>
  <si>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</si>
  <si>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</si>
  <si>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</si>
  <si>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</si>
  <si>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</si>
  <si>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</si>
  <si>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</si>
  <si>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</si>
  <si>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</si>
  <si>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</si>
  <si>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</si>
  <si>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</si>
  <si>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</si>
  <si>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</si>
  <si>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</si>
  <si>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</si>
  <si>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</si>
  <si>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</si>
  <si>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</si>
  <si>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</si>
  <si>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</si>
  <si>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</si>
  <si>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</si>
  <si>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</si>
  <si>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</si>
  <si>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</si>
  <si>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</si>
  <si>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</si>
  <si>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</si>
  <si>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</si>
  <si>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</si>
  <si>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</si>
  <si>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</si>
  <si>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</si>
  <si>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</si>
  <si>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</si>
  <si>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</si>
  <si>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</si>
  <si>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</si>
  <si>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</si>
  <si>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</si>
  <si>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</si>
  <si>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</si>
  <si>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</si>
  <si>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</si>
  <si>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</si>
  <si>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</si>
  <si>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</si>
  <si>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</si>
  <si>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</si>
  <si>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</si>
  <si>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</si>
  <si>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</si>
  <si>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</si>
  <si>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</si>
  <si>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</si>
  <si>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</si>
  <si>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</si>
  <si>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</si>
  <si>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</si>
  <si>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</si>
  <si>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</si>
  <si>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</si>
  <si>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</si>
  <si>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</si>
  <si>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</si>
  <si>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</si>
  <si>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</si>
  <si>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</si>
  <si>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</si>
  <si>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</si>
  <si>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</si>
  <si>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</si>
  <si>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</si>
  <si>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</si>
  <si>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</si>
  <si>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</si>
  <si>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</si>
  <si>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</si>
  <si>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</si>
  <si>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</si>
  <si>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</si>
  <si>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</si>
  <si>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</si>
  <si>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</si>
  <si>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</si>
  <si>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</si>
  <si>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</si>
  <si>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</si>
  <si>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</si>
  <si>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</si>
  <si>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</si>
  <si>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</si>
  <si>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</si>
  <si>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</si>
  <si>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</si>
  <si>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</si>
  <si>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</si>
  <si>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</si>
  <si>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</si>
  <si>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</si>
  <si>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</si>
  <si>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</si>
  <si>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</si>
  <si>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</si>
  <si>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</si>
  <si>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</si>
  <si>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</si>
  <si>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</si>
  <si>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</si>
  <si>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</si>
  <si>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</si>
  <si>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</si>
  <si>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</si>
  <si>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</si>
  <si>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</si>
  <si>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</si>
  <si>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</si>
  <si>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</si>
  <si>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</si>
  <si>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</si>
  <si>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</si>
  <si>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</si>
  <si>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</si>
  <si>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</si>
  <si>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</si>
  <si>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</si>
  <si>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</si>
  <si>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</si>
  <si>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</si>
  <si>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</si>
  <si>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</si>
  <si>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</si>
  <si>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</si>
  <si>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</si>
  <si>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</si>
  <si>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</si>
  <si>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</si>
  <si>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</si>
  <si>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</si>
  <si>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</si>
  <si>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</si>
  <si>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</si>
  <si>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</si>
  <si>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</si>
  <si>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</si>
  <si>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</si>
  <si>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</si>
  <si>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</si>
  <si>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</si>
  <si>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</si>
  <si>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</si>
  <si>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</si>
  <si>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</si>
  <si>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</si>
  <si>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</si>
  <si>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</si>
  <si>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</si>
  <si>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</si>
  <si>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</si>
  <si>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</si>
  <si>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</si>
  <si>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</si>
  <si>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</si>
  <si>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</si>
  <si>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</si>
  <si>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</si>
  <si>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</si>
  <si>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</si>
  <si>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</si>
  <si>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</si>
  <si>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</si>
  <si>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</si>
  <si>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</si>
  <si>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</si>
  <si>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</si>
  <si>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</si>
  <si>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</si>
  <si>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</si>
  <si>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</si>
  <si>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</si>
  <si>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</si>
  <si>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</si>
  <si>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</si>
  <si>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</si>
  <si>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</si>
  <si>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</si>
  <si>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</si>
  <si>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</si>
  <si>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</si>
  <si>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</si>
  <si>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</si>
  <si>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</si>
  <si>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</si>
  <si>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</si>
  <si>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</si>
  <si>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</si>
  <si>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</si>
  <si>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</si>
  <si>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</si>
  <si>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</si>
  <si>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</si>
  <si>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</si>
  <si>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</si>
  <si>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</si>
  <si>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</si>
  <si>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</si>
  <si>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</si>
  <si>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</si>
  <si>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</si>
  <si>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</si>
  <si>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</si>
  <si>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</si>
  <si>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</si>
  <si>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</si>
  <si>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</si>
  <si>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</si>
  <si>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</si>
  <si>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</si>
  <si>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</si>
  <si>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</si>
  <si>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</si>
  <si>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</si>
  <si>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</si>
  <si>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</si>
  <si>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</si>
  <si>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</si>
  <si>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</si>
  <si>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</si>
  <si>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</si>
  <si>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</si>
  <si>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</si>
  <si>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</si>
  <si>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</si>
  <si>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</si>
  <si>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</si>
  <si>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</si>
  <si>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</si>
  <si>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</si>
  <si>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</si>
  <si>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</si>
  <si>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</si>
  <si>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</si>
  <si>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</si>
  <si>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</si>
  <si>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</si>
  <si>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</si>
  <si>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</si>
  <si>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</si>
  <si>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</si>
  <si>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</si>
  <si>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</si>
  <si>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</si>
  <si>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</si>
  <si>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</si>
  <si>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</si>
  <si>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</si>
  <si>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</si>
  <si>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</si>
  <si>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</si>
  <si>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</si>
  <si>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</si>
  <si>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</si>
  <si>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</si>
  <si>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</si>
  <si>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</si>
  <si>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</si>
  <si>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</si>
  <si>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</si>
  <si>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</si>
  <si>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</si>
  <si>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</si>
  <si>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</si>
  <si>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</si>
  <si>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</si>
  <si>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</si>
  <si>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</si>
  <si>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</si>
  <si>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</si>
  <si>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</si>
  <si>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</si>
  <si>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</si>
  <si>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</si>
  <si>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</si>
  <si>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</si>
  <si>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</si>
  <si>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</si>
  <si>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</si>
  <si>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</si>
  <si>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</si>
  <si>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</si>
  <si>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</si>
  <si>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</si>
  <si>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</si>
  <si>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</si>
  <si>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</si>
  <si>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</si>
  <si>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</si>
  <si>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</si>
  <si>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</si>
  <si>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</si>
  <si>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</si>
  <si>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</si>
  <si>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</si>
  <si>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</si>
  <si>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</si>
  <si>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</si>
  <si>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</si>
  <si>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</si>
  <si>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</si>
  <si>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</si>
  <si>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</si>
  <si>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</si>
  <si>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</si>
  <si>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</si>
  <si>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</si>
  <si>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</si>
  <si>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</si>
  <si>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</si>
  <si>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</si>
  <si>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</si>
  <si>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</si>
  <si>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</si>
  <si>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</si>
  <si>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</si>
  <si>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</si>
  <si>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</si>
  <si>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</si>
  <si>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</si>
  <si>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</si>
  <si>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</si>
  <si>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</si>
  <si>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</si>
  <si>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</si>
  <si>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</si>
  <si>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</si>
  <si>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</si>
  <si>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</si>
  <si>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</si>
  <si>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</si>
  <si>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</si>
  <si>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</si>
  <si>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</si>
  <si>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</si>
  <si>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</si>
  <si>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</si>
  <si>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</si>
  <si>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</si>
  <si>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</si>
  <si>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</si>
  <si>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</si>
  <si>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</si>
  <si>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</si>
  <si>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</si>
  <si>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</si>
  <si>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</si>
  <si>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</si>
  <si>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</si>
  <si>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</si>
  <si>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</si>
  <si>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</si>
  <si>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</si>
  <si>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</si>
  <si>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</si>
  <si>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</si>
  <si>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</si>
  <si>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</si>
  <si>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</si>
  <si>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</si>
  <si>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</si>
  <si>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</si>
  <si>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</si>
  <si>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</si>
  <si>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</si>
  <si>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</si>
  <si>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</si>
  <si>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</si>
  <si>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</si>
  <si>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</si>
  <si>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</si>
  <si>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</si>
  <si>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</si>
  <si>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</si>
  <si>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</si>
  <si>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</si>
  <si>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</si>
  <si>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</si>
  <si>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</si>
  <si>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</si>
  <si>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</si>
  <si>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</si>
  <si>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</si>
  <si>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</si>
  <si>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</si>
  <si>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</si>
  <si>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</si>
  <si>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</si>
  <si>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</si>
  <si>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</si>
  <si>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</si>
  <si>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</si>
  <si>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</si>
  <si>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</si>
  <si>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</si>
  <si>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</si>
  <si>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</si>
  <si>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</si>
  <si>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</si>
  <si>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</si>
  <si>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</si>
  <si>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</si>
  <si>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</si>
  <si>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</si>
  <si>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</si>
  <si>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</si>
  <si>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</si>
  <si>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</si>
  <si>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</si>
  <si>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</si>
  <si>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</si>
  <si>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</si>
  <si>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</si>
  <si>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</si>
  <si>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</si>
  <si>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</si>
  <si>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</si>
  <si>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</si>
  <si>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</si>
  <si>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</si>
  <si>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</si>
  <si>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</si>
  <si>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</si>
  <si>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</si>
  <si>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</si>
  <si>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</si>
  <si>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</si>
  <si>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</si>
  <si>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</si>
  <si>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</si>
  <si>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</si>
  <si>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</si>
  <si>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</si>
  <si>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</si>
  <si>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</si>
  <si>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</si>
  <si>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</si>
  <si>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</si>
  <si>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</si>
  <si>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</si>
  <si>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</si>
  <si>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</si>
  <si>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</si>
  <si>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</si>
  <si>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</si>
  <si>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</si>
  <si>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</si>
  <si>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</si>
  <si>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</si>
  <si>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</si>
  <si>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</si>
  <si>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</si>
  <si>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</si>
  <si>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</si>
  <si>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</si>
  <si>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</si>
  <si>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</si>
  <si>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</si>
  <si>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</si>
  <si>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</si>
  <si>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</si>
  <si>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</si>
  <si>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</si>
  <si>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</si>
  <si>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</si>
  <si>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</si>
  <si>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</si>
  <si>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</si>
  <si>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</si>
  <si>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</si>
  <si>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</si>
  <si>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</si>
  <si>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</si>
  <si>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</si>
  <si>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</si>
  <si>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</si>
  <si>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</si>
  <si>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</si>
  <si>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</si>
  <si>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</si>
  <si>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</si>
  <si>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</si>
  <si>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</si>
  <si>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</si>
  <si>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</si>
  <si>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</si>
  <si>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</si>
  <si>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</si>
  <si>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</si>
  <si>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</si>
  <si>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</si>
  <si>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</si>
  <si>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</si>
  <si>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</si>
  <si>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</si>
  <si>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</si>
  <si>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</si>
  <si>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</si>
  <si>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</si>
  <si>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</si>
  <si>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</si>
  <si>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</si>
  <si>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</si>
  <si>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</si>
  <si>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</si>
  <si>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</si>
  <si>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</si>
  <si>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</si>
  <si>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</si>
  <si>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</si>
  <si>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</si>
  <si>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</si>
  <si>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</si>
  <si>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</si>
  <si>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</si>
  <si>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</si>
  <si>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</si>
  <si>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</si>
  <si>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</si>
  <si>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</si>
  <si>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</si>
  <si>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</si>
  <si>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</si>
  <si>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</si>
  <si>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</si>
  <si>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</si>
  <si>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</si>
  <si>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</si>
  <si>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</si>
  <si>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</si>
  <si>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</si>
  <si>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</si>
  <si>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</si>
  <si>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</si>
  <si>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</si>
  <si>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</si>
  <si>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</si>
  <si>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</si>
  <si>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</si>
  <si>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</si>
  <si>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</si>
  <si>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</si>
  <si>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</si>
  <si>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</si>
  <si>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</si>
  <si>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</si>
  <si>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</si>
  <si>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</si>
  <si>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</si>
  <si>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</si>
  <si>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</si>
  <si>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</si>
  <si>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</si>
  <si>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</si>
  <si>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</si>
  <si>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</si>
  <si>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</si>
  <si>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</si>
  <si>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</si>
  <si>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</si>
  <si>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</si>
  <si>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</si>
  <si>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</si>
  <si>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</si>
  <si>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</si>
  <si>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</si>
  <si>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</si>
  <si>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</si>
  <si>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</si>
  <si>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</si>
  <si>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</si>
  <si>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</si>
  <si>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</si>
  <si>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</si>
  <si>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</si>
  <si>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</si>
  <si>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</si>
  <si>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</si>
  <si>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</si>
  <si>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</si>
  <si>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</si>
  <si>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</si>
  <si>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</si>
  <si>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</si>
  <si>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</si>
  <si>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</si>
  <si>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</si>
  <si>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</si>
  <si>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</si>
  <si>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</si>
  <si>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</si>
  <si>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</si>
  <si>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</si>
  <si>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</si>
  <si>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</si>
  <si>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</si>
  <si>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</si>
  <si>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</si>
  <si>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</si>
  <si>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</si>
  <si>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</si>
  <si>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</si>
  <si>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</si>
  <si>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</si>
  <si>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</si>
  <si>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</si>
  <si>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</si>
  <si>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</si>
  <si>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</si>
  <si>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</si>
  <si>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</si>
  <si>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</si>
  <si>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</si>
  <si>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</si>
  <si>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</si>
  <si>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</si>
  <si>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</si>
  <si>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</si>
  <si>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</si>
  <si>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</si>
  <si>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</si>
  <si>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</si>
  <si>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</si>
  <si>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</si>
  <si>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</si>
  <si>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</si>
  <si>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</si>
  <si>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</si>
  <si>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</si>
  <si>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</si>
  <si>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</si>
  <si>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</si>
  <si>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</si>
  <si>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</si>
  <si>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</si>
  <si>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</si>
  <si>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</si>
  <si>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</si>
  <si>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</si>
  <si>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</si>
  <si>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</si>
  <si>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</si>
  <si>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</si>
  <si>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</si>
  <si>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</si>
  <si>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</si>
  <si>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</si>
  <si>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</si>
  <si>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</si>
  <si>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</si>
  <si>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</si>
  <si>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</si>
  <si>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</si>
  <si>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</si>
  <si>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</si>
  <si>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</si>
  <si>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</si>
  <si>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</si>
  <si>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</si>
  <si>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</si>
  <si>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</si>
  <si>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</si>
  <si>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</si>
  <si>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</si>
  <si>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</si>
  <si>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</si>
  <si>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</si>
  <si>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</si>
  <si>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</si>
  <si>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</si>
  <si>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</si>
  <si>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</si>
  <si>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</si>
  <si>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</si>
  <si>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</si>
  <si>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</si>
  <si>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</si>
  <si>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</si>
  <si>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</si>
  <si>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</si>
  <si>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</si>
  <si>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</si>
  <si>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</si>
  <si>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</si>
  <si>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</si>
  <si>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</si>
  <si>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</si>
  <si>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</si>
  <si>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</si>
  <si>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</si>
  <si>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</si>
  <si>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</si>
  <si>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</si>
  <si>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</si>
  <si>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</si>
  <si>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</si>
  <si>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</si>
  <si>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</si>
  <si>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</si>
  <si>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</si>
  <si>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</si>
  <si>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</si>
  <si>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</si>
  <si>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</si>
  <si>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</si>
  <si>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</si>
  <si>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</si>
  <si>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</si>
  <si>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</si>
  <si>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</si>
  <si>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</si>
  <si>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</si>
  <si>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</si>
  <si>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</si>
  <si>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</si>
  <si>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</si>
  <si>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</si>
  <si>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</si>
  <si>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</si>
  <si>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</si>
  <si>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</si>
  <si>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</si>
  <si>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</si>
  <si>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</si>
  <si>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</si>
  <si>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</si>
  <si>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</si>
  <si>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</si>
  <si>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</si>
  <si>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</si>
  <si>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</si>
  <si>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</si>
  <si>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</si>
  <si>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</si>
  <si>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</si>
  <si>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</si>
  <si>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</si>
  <si>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</si>
  <si>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</si>
  <si>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</si>
  <si>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</si>
  <si>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</si>
  <si>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</si>
  <si>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</si>
  <si>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</si>
  <si>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</si>
  <si>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</si>
  <si>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</si>
  <si>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</si>
  <si>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</si>
  <si>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</si>
  <si>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</si>
  <si>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</si>
  <si>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</si>
  <si>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</si>
  <si>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</si>
  <si>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</si>
  <si>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</si>
  <si>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</si>
  <si>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</si>
  <si>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</si>
  <si>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</si>
  <si>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</si>
  <si>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</si>
  <si>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</si>
  <si>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</si>
  <si>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</si>
  <si>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</si>
  <si>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</si>
  <si>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</si>
  <si>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</si>
  <si>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</si>
  <si>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</si>
  <si>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</si>
  <si>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</si>
  <si>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</si>
  <si>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</si>
  <si>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</si>
  <si>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</si>
  <si>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</si>
  <si>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</si>
  <si>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</si>
  <si>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</si>
  <si>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</si>
  <si>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</si>
  <si>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</si>
  <si>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</si>
  <si>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</si>
  <si>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</si>
  <si>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</si>
  <si>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</si>
  <si>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</si>
  <si>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</si>
  <si>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</si>
  <si>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</si>
  <si>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</si>
  <si>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</si>
  <si>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</si>
  <si>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</si>
  <si>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</si>
  <si>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</si>
  <si>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</si>
  <si>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</si>
  <si>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</si>
  <si>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</si>
  <si>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</si>
  <si>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</si>
  <si>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</si>
  <si>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</si>
  <si>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</si>
  <si>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</si>
  <si>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</si>
  <si>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</si>
  <si>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</si>
  <si>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</si>
  <si>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</si>
  <si>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</si>
  <si>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</si>
  <si>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</si>
  <si>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</si>
  <si>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</si>
  <si>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</si>
  <si>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</si>
  <si>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</si>
  <si>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</si>
  <si>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</si>
  <si>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</si>
  <si>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</si>
  <si>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</si>
  <si>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</si>
  <si>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</si>
  <si>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</si>
  <si>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</si>
  <si>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</si>
  <si>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</si>
  <si>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</si>
  <si>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</si>
  <si>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</si>
  <si>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</si>
  <si>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</si>
  <si>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</si>
  <si>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</si>
  <si>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</si>
  <si>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</si>
  <si>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</si>
  <si>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</si>
  <si>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</si>
  <si>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</si>
  <si>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</si>
  <si>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</si>
  <si>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</si>
  <si>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</si>
  <si>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</si>
  <si>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</si>
  <si>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</si>
  <si>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</si>
  <si>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</si>
  <si>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</si>
  <si>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</si>
  <si>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</si>
  <si>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</si>
  <si>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</si>
  <si>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</si>
  <si>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</si>
  <si>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</si>
  <si>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</si>
  <si>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</si>
  <si>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</si>
  <si>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</si>
  <si>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</si>
  <si>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</si>
  <si>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</si>
  <si>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</si>
  <si>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</si>
  <si>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</si>
  <si>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</si>
  <si>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</si>
  <si>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</si>
  <si>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</si>
  <si>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</si>
  <si>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</si>
  <si>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</si>
  <si>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</si>
  <si>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</si>
  <si>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</si>
  <si>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</si>
  <si>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</si>
  <si>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</si>
  <si>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</si>
  <si>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</si>
  <si>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</si>
  <si>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</si>
  <si>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</si>
  <si>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</si>
  <si>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</si>
  <si>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</si>
  <si>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</si>
  <si>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</si>
  <si>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</si>
  <si>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</si>
  <si>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</si>
  <si>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</si>
  <si>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</si>
  <si>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</si>
  <si>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</si>
  <si>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</si>
  <si>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</si>
  <si>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</si>
  <si>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</si>
  <si>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</si>
  <si>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</si>
  <si>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</si>
  <si>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</si>
  <si>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</si>
  <si>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</si>
  <si>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</si>
  <si>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</si>
  <si>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</si>
  <si>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</si>
  <si>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</si>
  <si>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</si>
  <si>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</si>
  <si>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</si>
  <si>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</si>
  <si>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</si>
  <si>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</si>
  <si>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</si>
  <si>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</si>
  <si>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</si>
  <si>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</si>
  <si>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</si>
  <si>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</si>
  <si>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</si>
  <si>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</si>
  <si>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</si>
  <si>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</si>
  <si>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</si>
  <si>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</si>
  <si>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</si>
  <si>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</si>
  <si>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</si>
  <si>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</si>
  <si>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</si>
  <si>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</si>
  <si>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</si>
  <si>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</si>
  <si>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</si>
  <si>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</si>
  <si>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</si>
  <si>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</si>
  <si>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</si>
  <si>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</si>
  <si>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</si>
  <si>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</si>
  <si>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</si>
  <si>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</si>
  <si>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</si>
  <si>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</si>
  <si>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</si>
  <si>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</si>
  <si>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</si>
  <si>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</si>
  <si>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</si>
  <si>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</si>
  <si>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</si>
  <si>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</si>
  <si>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</si>
  <si>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</si>
  <si>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</si>
  <si>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</si>
  <si>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</si>
  <si>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</si>
  <si>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</si>
  <si>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</si>
  <si>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</si>
  <si>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</si>
  <si>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</si>
  <si>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</si>
  <si>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</si>
  <si>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</si>
  <si>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</si>
  <si>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</si>
  <si>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</si>
  <si>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</si>
  <si>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</si>
  <si>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</si>
  <si>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</si>
  <si>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</si>
  <si>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</si>
  <si>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</si>
  <si>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</si>
  <si>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</si>
  <si>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</si>
  <si>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</si>
  <si>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</si>
  <si>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</si>
  <si>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</si>
  <si>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</si>
  <si>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</si>
  <si>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</si>
  <si>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</si>
  <si>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</si>
  <si>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</si>
  <si>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</si>
  <si>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</si>
  <si>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</si>
  <si>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</si>
  <si>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</si>
  <si>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</si>
  <si>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</si>
  <si>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</si>
  <si>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</si>
  <si>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</si>
  <si>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</si>
  <si>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</si>
  <si>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</si>
  <si>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</si>
  <si>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</si>
  <si>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</si>
  <si>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</si>
  <si>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</si>
  <si>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</si>
  <si>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</si>
  <si>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</si>
  <si>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</si>
  <si>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</si>
  <si>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</si>
  <si>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</si>
  <si>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</si>
  <si>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</si>
  <si>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</si>
  <si>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</si>
  <si>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</si>
  <si>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</si>
  <si>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</si>
  <si>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</si>
  <si>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</si>
  <si>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</si>
  <si>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</si>
  <si>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</si>
  <si>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</si>
  <si>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</si>
  <si>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</si>
  <si>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</si>
  <si>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</si>
  <si>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</si>
  <si>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</si>
  <si>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</si>
  <si>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</si>
  <si>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</si>
  <si>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</si>
  <si>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</si>
  <si>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</si>
  <si>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</si>
  <si>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</si>
  <si>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</si>
  <si>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</si>
  <si>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</si>
  <si>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</si>
  <si>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</si>
  <si>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</si>
  <si>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</si>
  <si>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</si>
  <si>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</si>
  <si>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</si>
  <si>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</si>
  <si>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</si>
  <si>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</si>
  <si>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</si>
  <si>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</si>
  <si>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</si>
  <si>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</si>
  <si>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</si>
  <si>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</si>
  <si>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</si>
  <si>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</si>
  <si>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</si>
  <si>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</si>
  <si>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</si>
  <si>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</si>
  <si>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</si>
  <si>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</si>
  <si>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</si>
  <si>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</si>
  <si>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</si>
  <si>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</si>
  <si>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</si>
  <si>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</si>
  <si>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</si>
  <si>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</si>
  <si>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</si>
  <si>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</si>
  <si>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</si>
  <si>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</si>
  <si>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</si>
  <si>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</si>
  <si>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</si>
  <si>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</si>
  <si>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</si>
  <si>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</si>
  <si>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</si>
  <si>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</si>
  <si>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</si>
  <si>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</si>
  <si>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</si>
  <si>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</si>
  <si>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</si>
  <si>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</si>
  <si>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</si>
  <si>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</si>
  <si>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</si>
  <si>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</si>
  <si>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</si>
  <si>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</si>
  <si>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</si>
  <si>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</si>
  <si>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</si>
  <si>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</si>
  <si>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</si>
  <si>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</si>
  <si>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</si>
  <si>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</si>
  <si>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</si>
  <si>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</si>
  <si>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</si>
  <si>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</si>
  <si>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</si>
  <si>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</si>
  <si>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</si>
  <si>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</si>
  <si>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</si>
  <si>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</si>
  <si>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</si>
  <si>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</si>
  <si>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</si>
  <si>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</si>
  <si>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</si>
  <si>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</si>
  <si>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</si>
  <si>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</si>
  <si>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</si>
  <si>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</si>
  <si>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</si>
  <si>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</si>
  <si>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</si>
  <si>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</si>
  <si>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</si>
  <si>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</si>
  <si>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</si>
  <si>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</si>
  <si>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</si>
  <si>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</si>
  <si>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</si>
  <si>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</si>
  <si>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</si>
  <si>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</si>
  <si>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</si>
  <si>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</si>
  <si>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</si>
  <si>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</si>
  <si>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</si>
  <si>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</si>
  <si>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</si>
  <si>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</si>
  <si>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</si>
  <si>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</si>
  <si>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</si>
  <si>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</si>
  <si>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</si>
  <si>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</si>
  <si>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</si>
  <si>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</si>
  <si>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</si>
  <si>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</si>
  <si>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</si>
  <si>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</si>
  <si>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</si>
  <si>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</si>
  <si>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</si>
  <si>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</si>
  <si>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</si>
  <si>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</si>
  <si>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</si>
  <si>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</si>
  <si>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</si>
  <si>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</si>
  <si>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</si>
  <si>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</si>
  <si>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</si>
  <si>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</si>
  <si>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</si>
  <si>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</si>
  <si>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</si>
  <si>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</si>
  <si>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</si>
  <si>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</si>
  <si>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</si>
  <si>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</si>
  <si>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</si>
  <si>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</si>
  <si>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</si>
  <si>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</si>
  <si>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</si>
  <si>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</si>
  <si>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</si>
  <si>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</si>
  <si>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</si>
  <si>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</si>
  <si>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</si>
  <si>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</si>
  <si>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</si>
  <si>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</si>
  <si>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</si>
  <si>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</si>
  <si>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</si>
  <si>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</si>
  <si>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</si>
  <si>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</si>
  <si>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</si>
  <si>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</si>
  <si>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</si>
  <si>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</si>
  <si>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</si>
  <si>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</si>
  <si>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</si>
  <si>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</si>
  <si>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</si>
  <si>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</si>
  <si>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</si>
  <si>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</si>
  <si>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</si>
  <si>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</si>
  <si>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</si>
  <si>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</si>
  <si>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</si>
  <si>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</si>
  <si>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</si>
  <si>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</si>
  <si>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</si>
  <si>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</si>
  <si>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</si>
  <si>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</si>
  <si>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</si>
  <si>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</si>
  <si>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</si>
  <si>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</si>
  <si>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</si>
  <si>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</si>
  <si>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</si>
  <si>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</si>
  <si>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</si>
  <si>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</si>
  <si>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</si>
  <si>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</si>
  <si>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</si>
  <si>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</si>
  <si>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</si>
  <si>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</si>
  <si>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</si>
  <si>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</si>
  <si>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</si>
  <si>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</si>
  <si>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</si>
  <si>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</si>
  <si>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</si>
  <si>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</si>
  <si>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</si>
  <si>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</si>
  <si>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</si>
  <si>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</si>
  <si>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</si>
  <si>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</si>
  <si>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</si>
  <si>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</si>
  <si>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</si>
  <si>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</si>
  <si>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</si>
  <si>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</si>
  <si>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</si>
  <si>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</si>
  <si>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</si>
  <si>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</si>
  <si>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</si>
  <si>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</si>
  <si>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</si>
  <si>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</si>
  <si>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</si>
  <si>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</si>
  <si>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</si>
  <si>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</si>
  <si>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</si>
  <si>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</si>
  <si>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</si>
  <si>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</si>
  <si>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</si>
  <si>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</si>
  <si>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</si>
  <si>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</si>
  <si>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</si>
  <si>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</si>
  <si>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</si>
  <si>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</si>
  <si>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</si>
  <si>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</si>
  <si>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</si>
  <si>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</si>
  <si>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</si>
  <si>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</si>
  <si>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</si>
  <si>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</si>
  <si>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</si>
  <si>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</si>
  <si>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</si>
  <si>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</si>
  <si>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</si>
  <si>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</si>
  <si>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</si>
  <si>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</si>
  <si>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</si>
  <si>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</si>
  <si>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</si>
  <si>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</si>
  <si>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</si>
  <si>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</si>
  <si>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</si>
  <si>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</si>
  <si>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</si>
  <si>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</si>
  <si>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</si>
  <si>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</si>
  <si>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</si>
  <si>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</si>
  <si>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</si>
  <si>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</si>
  <si>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</si>
  <si>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</si>
  <si>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</si>
  <si>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</si>
  <si>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</si>
  <si>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</si>
  <si>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</si>
  <si>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</si>
  <si>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</si>
  <si>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</si>
  <si>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</si>
  <si>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</si>
  <si>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</si>
  <si>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</si>
  <si>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</si>
  <si>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</si>
  <si>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</si>
  <si>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</si>
  <si>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</si>
  <si>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</si>
  <si>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</si>
  <si>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</si>
  <si>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</si>
  <si>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</si>
  <si>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</si>
  <si>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</si>
  <si>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</si>
  <si>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</si>
  <si>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</si>
  <si>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</si>
  <si>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</si>
  <si>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</si>
  <si>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</si>
  <si>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</si>
  <si>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</si>
  <si>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</si>
  <si>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</si>
  <si>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</si>
  <si>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</si>
  <si>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</si>
  <si>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</si>
  <si>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</si>
  <si>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</si>
  <si>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</si>
  <si>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</si>
  <si>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</si>
  <si>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</si>
  <si>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</si>
  <si>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</si>
  <si>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</si>
  <si>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</si>
  <si>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</si>
  <si>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</si>
  <si>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</si>
  <si>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</si>
  <si>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</si>
  <si>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</si>
  <si>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</si>
  <si>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</si>
  <si>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</si>
  <si>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</si>
  <si>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</si>
  <si>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</si>
  <si>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</si>
  <si>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</si>
  <si>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</si>
  <si>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</si>
  <si>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</si>
  <si>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</si>
  <si>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</si>
  <si>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</si>
  <si>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</si>
  <si>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</si>
  <si>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</si>
  <si>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</si>
  <si>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</si>
  <si>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</si>
  <si>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</si>
  <si>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</si>
  <si>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</si>
  <si>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</si>
  <si>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</si>
  <si>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</si>
  <si>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</si>
  <si>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</si>
  <si>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</si>
  <si>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</si>
  <si>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</si>
  <si>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</si>
  <si>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</si>
  <si>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</si>
  <si>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</si>
  <si>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</si>
  <si>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</si>
  <si>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</si>
  <si>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</si>
  <si>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</si>
  <si>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</si>
  <si>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</si>
  <si>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</si>
  <si>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</si>
  <si>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</si>
  <si>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</si>
  <si>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</si>
  <si>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</si>
  <si>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</si>
  <si>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</si>
  <si>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</si>
  <si>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</si>
  <si>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</si>
  <si>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</si>
  <si>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</si>
  <si>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</si>
  <si>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</si>
  <si>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</si>
  <si>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</si>
  <si>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</si>
  <si>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</si>
  <si>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</si>
  <si>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</si>
  <si>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</si>
  <si>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</si>
  <si>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</si>
  <si>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</si>
  <si>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</si>
  <si>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</si>
  <si>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</si>
  <si>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</si>
  <si>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</si>
  <si>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</si>
  <si>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</si>
  <si>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</si>
  <si>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</si>
  <si>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</si>
  <si>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</si>
  <si>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</si>
  <si>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</si>
  <si>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</si>
  <si>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</si>
  <si>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</si>
  <si>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</si>
  <si>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</si>
  <si>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</si>
  <si>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</si>
  <si>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</si>
  <si>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</si>
  <si>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</si>
  <si>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</si>
  <si>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</si>
  <si>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</si>
  <si>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</si>
  <si>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</si>
  <si>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</si>
  <si>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</si>
  <si>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</si>
  <si>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</si>
  <si>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</si>
  <si>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</si>
  <si>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</si>
  <si>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</si>
  <si>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</si>
  <si>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</si>
  <si>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</si>
  <si>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</si>
  <si>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</si>
  <si>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</si>
  <si>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</si>
  <si>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</si>
  <si>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</si>
  <si>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</si>
  <si>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</si>
  <si>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</si>
  <si>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</si>
  <si>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</si>
  <si>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</si>
  <si>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</si>
  <si>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</si>
  <si>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</si>
  <si>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</si>
  <si>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</si>
  <si>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</si>
  <si>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</si>
  <si>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</si>
  <si>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</si>
  <si>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</si>
  <si>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所在楼层</t>
    <phoneticPr fontId="134" type="noConversion"/>
  </si>
  <si>
    <t>附属层</t>
    <phoneticPr fontId="134" type="noConversion"/>
  </si>
  <si>
    <t>地上</t>
  </si>
  <si>
    <t>公共服务</t>
  </si>
  <si>
    <t>办公楼</t>
  </si>
  <si>
    <t>地下</t>
  </si>
  <si>
    <t>车库—办公</t>
  </si>
  <si>
    <t>是</t>
  </si>
  <si>
    <t>办公</t>
    <phoneticPr fontId="7" type="noConversion"/>
  </si>
  <si>
    <t>车库</t>
    <phoneticPr fontId="7" type="noConversion"/>
  </si>
  <si>
    <t>成新度</t>
  </si>
  <si>
    <t>利息：取LPR加浮动点数</t>
  </si>
  <si>
    <t>估价对象容积率</t>
  </si>
  <si>
    <t>不临65条商业街</t>
  </si>
  <si>
    <t>通路</t>
  </si>
  <si>
    <t>通电</t>
  </si>
  <si>
    <t>通讯</t>
  </si>
  <si>
    <t>通上水</t>
  </si>
  <si>
    <t>通下水</t>
  </si>
  <si>
    <t>燃气</t>
  </si>
  <si>
    <t>平整</t>
  </si>
  <si>
    <t>与级别开发程度不一致</t>
  </si>
  <si>
    <t>一般</t>
  </si>
  <si>
    <t>较好</t>
  </si>
  <si>
    <t>好</t>
  </si>
  <si>
    <t>未包含在土地购买价格中</t>
  </si>
  <si>
    <t>全部缴纳</t>
  </si>
  <si>
    <t>已包含在土地取得成本中</t>
  </si>
  <si>
    <t>押一</t>
  </si>
  <si>
    <t>钢混</t>
  </si>
  <si>
    <t>非生产用房</t>
  </si>
  <si>
    <t>收益法</t>
  </si>
  <si>
    <t>成本法</t>
  </si>
  <si>
    <t>收益法（汇总）</t>
  </si>
  <si>
    <t>收益法-车库</t>
  </si>
  <si>
    <t>收益法-车库</t>
    <phoneticPr fontId="16" type="noConversion"/>
  </si>
  <si>
    <t>自定义</t>
  </si>
  <si>
    <t>总价</t>
  </si>
  <si>
    <t>成本比率</t>
  </si>
  <si>
    <t>情况4</t>
  </si>
  <si>
    <t>正常</t>
  </si>
  <si>
    <t>转让取得</t>
  </si>
  <si>
    <t>购房发票</t>
  </si>
  <si>
    <t>2016年5月1日后购买</t>
  </si>
  <si>
    <t>非个人房产</t>
  </si>
  <si>
    <t>否</t>
  </si>
  <si>
    <t>合计</t>
    <phoneticPr fontId="134" type="noConversion"/>
  </si>
  <si>
    <t>建筑面积（平方米）</t>
    <phoneticPr fontId="134" type="noConversion"/>
  </si>
  <si>
    <t>现状用途</t>
    <phoneticPr fontId="134" type="noConversion"/>
  </si>
  <si>
    <t>办公</t>
    <phoneticPr fontId="134" type="noConversion"/>
  </si>
  <si>
    <t>附属层</t>
    <phoneticPr fontId="134" type="noConversion"/>
  </si>
  <si>
    <t>地下车库</t>
    <phoneticPr fontId="134" type="noConversion"/>
  </si>
  <si>
    <t>展厅、办公</t>
    <phoneticPr fontId="134" type="noConversion"/>
  </si>
  <si>
    <t>员工餐厅、配套服务用房</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</si>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</sst>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1" fontId="113" fillId="5" borderId="8" xfId="0" applyNumberFormat="1" applyFont="1" applyFill="1" applyBorder="1" applyAlignment="1" applyProtection="1">
      <alignment horizontal="center" vertical="center"/>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5" fontId="251" fillId="6" borderId="1" xfId="3" applyNumberFormat="1" applyFont="1" applyFill="1" applyBorder="1" applyAlignment="1" applyProtection="1">
      <alignment horizontal="left" vertical="center"/>
    </xf>
    <xf numFmtId="195" fontId="251" fillId="6" borderId="32" xfId="3" applyNumberFormat="1" applyFont="1" applyFill="1" applyBorder="1" applyAlignment="1" applyProtection="1">
      <alignment horizontal="left" vertical="center"/>
    </xf>
    <xf numFmtId="10" fontId="51" fillId="6" borderId="1" xfId="17"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估价对象为北京市房地产，为所有。根据《国有土地使用证》[]，估价对象（分摊）出让国有建设用地使用权面积为6799.81平方米，建筑面积为42466.65平方米。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估价对象为北京市房地产,属开发建设的，该项目尚在开发建设中。根据《国有土地使用证》[]，估价对象（分摊）出让国有建设用地使用权面积为6799.81平方米，规划建筑面积为42466.65平方米。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2023年4月7日（评估专业人员实地查勘之日）</v>
      </c>
    </row>
    <row r="13" spans="1:2" s="1202" customFormat="1">
      <c r="A13" s="1200" t="s">
        <v>529</v>
      </c>
      <c r="B13" s="1201"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167013</v>
      </c>
    </row>
    <row r="21" spans="1:2" s="1202" customFormat="1">
      <c r="A21" s="1200" t="s">
        <v>537</v>
      </c>
      <c r="B21" s="1201">
        <f ca="1">'预评函-2'!D7</f>
        <v>39328</v>
      </c>
    </row>
    <row r="22" spans="1:2" s="1202" customFormat="1">
      <c r="A22" s="1200" t="s">
        <v>538</v>
      </c>
      <c r="B22" s="1201" t="str">
        <f ca="1">'预评函-2'!D6</f>
        <v>壹拾陆亿柒仟零壹拾叁万元整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167013</v>
      </c>
    </row>
    <row r="31" spans="1:2" s="1202" customFormat="1">
      <c r="A31" s="1200" t="s">
        <v>576</v>
      </c>
      <c r="B31" s="1201">
        <f ca="1">'预评函-2'!D15</f>
        <v>39328</v>
      </c>
    </row>
    <row r="32" spans="1:2" s="1202" customFormat="1">
      <c r="A32" s="1200" t="s">
        <v>543</v>
      </c>
      <c r="B32" s="1201" t="str">
        <f ca="1">'预评函-2'!D14</f>
        <v>壹拾陆亿柒仟零壹拾叁万元整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166703</v>
      </c>
    </row>
    <row r="39" spans="1:2" s="1202" customFormat="1">
      <c r="A39" s="1200" t="s">
        <v>545</v>
      </c>
      <c r="B39" s="1201">
        <f ca="1">'预评函-2'!D21</f>
        <v>39255</v>
      </c>
    </row>
    <row r="40" spans="1:2" s="1202" customFormat="1">
      <c r="A40" s="1200" t="s">
        <v>546</v>
      </c>
      <c r="B40" s="1201" t="str">
        <f ca="1">'预评函-2'!D20</f>
        <v>壹拾陆亿陆仟柒佰零叁万元整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42466.65</v>
      </c>
    </row>
    <row r="44" spans="1:2" s="1202" customFormat="1">
      <c r="A44" s="1200" t="s">
        <v>575</v>
      </c>
      <c r="B44" s="1201" t="str">
        <f>'预评函-3'!C2</f>
        <v>(分摊)土地面积</v>
      </c>
    </row>
    <row r="45" spans="1:2" s="1202" customFormat="1">
      <c r="A45" s="1200" t="s">
        <v>547</v>
      </c>
      <c r="B45" s="1201">
        <f>'预评函-3'!C4</f>
        <v>6799.81</v>
      </c>
    </row>
    <row r="46" spans="1:2" s="1202" customFormat="1">
      <c r="A46" s="1200" t="s">
        <v>573</v>
      </c>
      <c r="B46" s="1201" t="str">
        <f>'预评函-3'!D2</f>
        <v>出让国有建设用地使用权价值</v>
      </c>
    </row>
    <row r="47" spans="1:2" s="1202" customFormat="1">
      <c r="A47" s="1200" t="s">
        <v>548</v>
      </c>
      <c r="B47" s="1201">
        <f ca="1">'预评函-3'!D4</f>
        <v>113569</v>
      </c>
    </row>
    <row r="48" spans="1:2" s="1202" customFormat="1">
      <c r="A48" s="1200" t="s">
        <v>549</v>
      </c>
      <c r="B48" s="1201">
        <f ca="1">'预评函-3'!E4</f>
        <v>26743</v>
      </c>
    </row>
    <row r="49" spans="1:2" s="1202" customFormat="1">
      <c r="A49" s="1200" t="s">
        <v>550</v>
      </c>
      <c r="B49" s="1201" t="str">
        <f ca="1">'预评函-3'!D5</f>
        <v>壹拾壹亿叁仟伍佰陆拾玖万元整</v>
      </c>
    </row>
    <row r="50" spans="1:2" s="1202" customFormat="1">
      <c r="A50" s="1200" t="s">
        <v>574</v>
      </c>
      <c r="B50" s="1201" t="str">
        <f>'预评函-3'!F2</f>
        <v>在建建筑物价值</v>
      </c>
    </row>
    <row r="51" spans="1:2" s="1202" customFormat="1">
      <c r="A51" s="1200" t="s">
        <v>551</v>
      </c>
      <c r="B51" s="1201">
        <f ca="1">'预评函-3'!F4</f>
        <v>53444</v>
      </c>
    </row>
    <row r="52" spans="1:2" s="1202" customFormat="1">
      <c r="A52" s="1200" t="s">
        <v>552</v>
      </c>
      <c r="B52" s="1201">
        <f ca="1">'预评函-3'!G4</f>
        <v>12585</v>
      </c>
    </row>
    <row r="53" spans="1:2" s="1202" customFormat="1">
      <c r="A53" s="1200" t="s">
        <v>580</v>
      </c>
      <c r="B53" s="1201" t="str">
        <f ca="1">'预评函-3'!F5</f>
        <v>伍亿叁仟肆佰肆拾肆万元整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7" sqref="N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3418</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1" sqref="D51"/>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45023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3.7</v>
      </c>
      <c r="D5" s="3024">
        <f>IF(ISERROR(ROUND(POWER(1+E5,A5-C5)*(POWER(1+E5,C5)-1)/(POWER(1+E5,A5)-1),3)),0,ROUND(POWER(1+E5,A5-C5)*(POWER(1+E5,C5)-1)/(POWER(1+E5,A5)-1),4))</f>
        <v>0.1706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13.71</v>
      </c>
      <c r="D6" s="3024">
        <f>IF(ISERROR(ROUND(POWER(1+E6,A6-C6)*(POWER(1+E6,C6)-1)/(POWER(1+E6,A6)-1),3)),0,ROUND(POWER(1+E6,A6-C6)*(POWER(1+E6,C6)-1)/(POWER(1+E6,A6)-1),4))</f>
        <v>0.48399999999999999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33.72</v>
      </c>
      <c r="D7" s="3024">
        <f>IF(ISERROR(ROUND(POWER(1+E7,A7-C7)*(POWER(1+E7,C7)-1)/(POWER(1+E7,A7)-1),3)),0,ROUND(POWER(1+E7,A7-C7)*(POWER(1+E7,C7)-1)/(POWER(1+E7,A7)-1),4))</f>
        <v>0.78390000000000004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31" sqref="H3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45023</v>
      </c>
      <c r="C3" s="2373" t="s">
        <v>2171</v>
      </c>
      <c r="D3" s="2372">
        <f>B3</f>
        <v>45023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8"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509"/>
      <c r="E9" s="2393" t="s">
        <v>587</v>
      </c>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3339</v>
      </c>
      <c r="B13" s="2406" t="s">
        <v>2190</v>
      </c>
      <c r="C13" s="855"/>
      <c r="D13" s="855"/>
      <c r="E13" s="855"/>
      <c r="F13" s="855">
        <f>I13</f>
        <v>62184</v>
      </c>
      <c r="G13" s="855"/>
      <c r="H13" s="855"/>
      <c r="I13" s="855">
        <v>62184</v>
      </c>
      <c r="J13" s="3061"/>
      <c r="K13" s="2612"/>
      <c r="L13" s="2612"/>
      <c r="M13" s="2438"/>
      <c r="N13" s="2449"/>
      <c r="O13" s="2438"/>
      <c r="P13" s="2438"/>
      <c r="Q13" s="2438"/>
      <c r="AD13" s="1744"/>
    </row>
    <row r="14" spans="1:30">
      <c r="A14" s="1080"/>
      <c r="B14" s="2406" t="s">
        <v>2191</v>
      </c>
      <c r="C14" s="2407"/>
      <c r="D14" s="2407"/>
      <c r="E14" s="2407"/>
      <c r="F14" s="2407">
        <v>50</v>
      </c>
      <c r="G14" s="2407"/>
      <c r="H14" s="2407"/>
      <c r="I14" s="2407">
        <v>50</v>
      </c>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47.01</v>
      </c>
      <c r="G15" s="2409" t="str">
        <f>IF(A13="出让",IF(G13="","",ROUNDDOWN(MIN((G13-$D$3)/365,G14),2)),G14)</f>
        <v/>
      </c>
      <c r="H15" s="2409" t="str">
        <f>IF(A13="出让",IF(H13="","",ROUNDDOWN(MIN((H13-$D$3)/365,H14),2)),H14)</f>
        <v/>
      </c>
      <c r="I15" s="2409">
        <f>IF(A13="出让",IF(I13="","",ROUNDDOWN(MIN((I13-$D$3)/365,I14),2)),I14)</f>
        <v>47.01</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2" t="s">
        <v>2195</v>
      </c>
      <c r="B17" s="301" t="s">
        <v>2196</v>
      </c>
      <c r="C17" s="8">
        <f>'数据-汇总表'!E3</f>
        <v>42466.65</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6799.81</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1"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7" t="s">
        <v>2228</v>
      </c>
      <c r="T34" s="2427" t="str">
        <f>NUMBERSTRING(7-K34,1)&amp;"通"</f>
        <v>七通</v>
      </c>
      <c r="U34" s="2438"/>
      <c r="V34" s="2438"/>
    </row>
    <row r="35" spans="1:30">
      <c r="A35" s="2428"/>
      <c r="B35" s="3534" t="s">
        <v>2229</v>
      </c>
      <c r="C35" s="3534"/>
      <c r="D35" s="3534"/>
      <c r="E35" s="3534"/>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7"/>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t="s">
        <v>184</v>
      </c>
      <c r="D37" s="2430" t="s">
        <v>184</v>
      </c>
      <c r="E37" s="2430" t="s">
        <v>184</v>
      </c>
      <c r="F37" s="2430" t="s">
        <v>184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155</v>
      </c>
      <c r="C38" s="2431" t="s">
        <v>155</v>
      </c>
      <c r="D38" s="2431" t="s">
        <v>155</v>
      </c>
      <c r="E38" s="2431" t="s">
        <v>155</v>
      </c>
      <c r="F38" s="2431" t="s">
        <v>155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workbookViewId="0">
      <selection activeCell="C33" sqref="C33"/>
    </sheetView>
  </sheetViews>
  <sheetFormatPr defaultRowHeight="13.5"/>
  <cols>
    <col min="2" max="2" width="21.875" customWidth="1"/>
    <col min="3" max="3" width="21.125" customWidth="1"/>
  </cols>
  <sheetData>
    <row r="1" spans="1:3">
      <c r="A1" s="3461" t="s">
        <v>3383</v>
      </c>
      <c r="B1" s="3461" t="s">
        <v>3430</v>
      </c>
      <c r="C1" s="3461" t="s">
        <v>3431</v>
      </c>
    </row>
    <row r="2" spans="1:3">
      <c r="A2" s="3462">
        <v>-4</v>
      </c>
      <c r="B2" s="3462">
        <v>4836.4799999999996</v>
      </c>
      <c r="C2" s="3461" t="s">
        <v>3434</v>
      </c>
    </row>
    <row r="3" spans="1:3">
      <c r="A3" s="3462">
        <v>-3</v>
      </c>
      <c r="B3" s="3462">
        <v>5433.73</v>
      </c>
      <c r="C3" s="3461" t="s">
        <v>3434</v>
      </c>
    </row>
    <row r="4" spans="1:3">
      <c r="A4" s="3462">
        <v>-2</v>
      </c>
      <c r="B4" s="3462">
        <v>5289.06</v>
      </c>
      <c r="C4" s="3461" t="s">
        <v>3436</v>
      </c>
    </row>
    <row r="5" spans="1:3">
      <c r="A5" s="3462">
        <v>-1</v>
      </c>
      <c r="B5" s="3462">
        <v>5306.32</v>
      </c>
      <c r="C5" s="3461" t="s">
        <v>3435</v>
      </c>
    </row>
    <row r="6" spans="1:3">
      <c r="A6" s="3462">
        <v>1</v>
      </c>
      <c r="B6" s="3462">
        <v>4356.1000000000004</v>
      </c>
      <c r="C6" s="3535" t="s">
        <v>3432</v>
      </c>
    </row>
    <row r="7" spans="1:3">
      <c r="A7" s="3462">
        <v>2</v>
      </c>
      <c r="B7" s="3462">
        <v>4106.5200000000004</v>
      </c>
      <c r="C7" s="3536"/>
    </row>
    <row r="8" spans="1:3">
      <c r="A8" s="3462">
        <v>3</v>
      </c>
      <c r="B8" s="3462">
        <v>4210.28</v>
      </c>
      <c r="C8" s="3536"/>
    </row>
    <row r="9" spans="1:3">
      <c r="A9" s="3462">
        <v>4</v>
      </c>
      <c r="B9" s="3462">
        <f>B8</f>
        <v>4210.28</v>
      </c>
      <c r="C9" s="3536"/>
    </row>
    <row r="10" spans="1:3">
      <c r="A10" s="3462">
        <v>5</v>
      </c>
      <c r="B10" s="3462">
        <f>B8</f>
        <v>4210.28</v>
      </c>
      <c r="C10" s="3536"/>
    </row>
    <row r="11" spans="1:3">
      <c r="A11" s="3461" t="s">
        <v>3384</v>
      </c>
      <c r="B11" s="3462">
        <v>507.6</v>
      </c>
      <c r="C11" s="3461" t="s">
        <v>3433</v>
      </c>
    </row>
    <row r="12" spans="1:3">
      <c r="A12" s="3461" t="s">
        <v>3429</v>
      </c>
      <c r="B12" s="3462">
        <f>SUM(B2:B11)</f>
        <v>42466.65</v>
      </c>
      <c r="C12" s="3461" t="s">
        <v>3437</v>
      </c>
    </row>
  </sheetData>
  <mergeCells count="1">
    <mergeCell ref="C6:C1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1" sqref="J3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6799.81</v>
      </c>
      <c r="B3" s="11">
        <f>IF(C3="否",G5-AT5,G5)</f>
        <v>42466.65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8" customFormat="1" ht="12.75">
      <c r="A6" s="12" t="s">
        <v>1072</v>
      </c>
      <c r="B6" s="1585"/>
      <c r="C6" s="1585"/>
      <c r="D6" s="1586"/>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8"/>
      <c r="K9" s="1602" t="s">
        <v>3388</v>
      </c>
      <c r="L9" s="808"/>
      <c r="M9" s="1602" t="s">
        <v>3388</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3386</v>
      </c>
      <c r="J10" s="808"/>
      <c r="K10" s="1602" t="s">
        <v>3386</v>
      </c>
      <c r="L10" s="808"/>
      <c r="M10" s="1608" t="s">
        <v>3389</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3387</v>
      </c>
      <c r="J11" s="1614"/>
      <c r="K11" s="1613" t="s">
        <v>3387</v>
      </c>
      <c r="L11" s="1614"/>
      <c r="M11" s="1613" t="s">
        <v>3340</v>
      </c>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公共服务</v>
      </c>
      <c r="BC11" s="1598" t="str">
        <f>K10</f>
        <v>公共服务</v>
      </c>
      <c r="BD11" s="1598" t="str">
        <f>M10</f>
        <v>车库—办公</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t="str">
        <f>K11</f>
        <v>办公楼</v>
      </c>
      <c r="BD12" s="1623" t="str">
        <f>M11</f>
        <v>车库</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3390</v>
      </c>
      <c r="E13" s="13">
        <f>IF($C$3="是",ROUND($A$3*G13/$B$3,2),ROUND($A$3*(G13-AT13)/$B$3,2))</f>
        <v>6799.81</v>
      </c>
      <c r="F13" s="29"/>
      <c r="G13" s="30">
        <f>H13+AC13+AT13</f>
        <v>42466.65</v>
      </c>
      <c r="H13" s="17">
        <f>SUMIF(I$12:AB$12,"总值",I13:AB13)</f>
        <v>41959.05</v>
      </c>
      <c r="I13" s="1625">
        <f>面积表!B6+面积表!B7+面积表!B8+面积表!B9+面积表!B10</f>
        <v>21093.46</v>
      </c>
      <c r="J13" s="1625"/>
      <c r="K13" s="1625">
        <f>面积表!B4+面积表!B5</f>
        <v>10595.380000000001</v>
      </c>
      <c r="L13" s="1625"/>
      <c r="M13" s="1625">
        <f>面积表!B2+面积表!B3</f>
        <v>10270.209999999999</v>
      </c>
      <c r="N13" s="1625"/>
      <c r="O13" s="1625"/>
      <c r="P13" s="1625"/>
      <c r="Q13" s="1625"/>
      <c r="R13" s="1625"/>
      <c r="S13" s="1625"/>
      <c r="T13" s="1625"/>
      <c r="U13" s="1625"/>
      <c r="V13" s="1625"/>
      <c r="W13" s="1625"/>
      <c r="X13" s="1625"/>
      <c r="Y13" s="1625"/>
      <c r="Z13" s="1625"/>
      <c r="AA13" s="1625"/>
      <c r="AB13" s="1625"/>
      <c r="AC13" s="13">
        <f>SUMIF(AD$12:AS$12,"总值",AD13:AS13)</f>
        <v>507.6</v>
      </c>
      <c r="AD13" s="1626"/>
      <c r="AE13" s="1626"/>
      <c r="AF13" s="1626"/>
      <c r="AG13" s="1626"/>
      <c r="AH13" s="1626"/>
      <c r="AI13" s="1626"/>
      <c r="AJ13" s="1626"/>
      <c r="AK13" s="1626"/>
      <c r="AL13" s="1626">
        <f>面积表!B11</f>
        <v>507.6</v>
      </c>
      <c r="AM13" s="1626"/>
      <c r="AN13" s="1626"/>
      <c r="AO13" s="1626"/>
      <c r="AP13" s="1626"/>
      <c r="AQ13" s="1626"/>
      <c r="AR13" s="1626"/>
      <c r="AS13" s="1626"/>
      <c r="AT13" s="1627"/>
      <c r="AU13" s="1628"/>
      <c r="AV13" s="8">
        <f t="shared" ref="AV13:AX17" si="6">A13</f>
        <v>0</v>
      </c>
      <c r="AW13" s="8">
        <f t="shared" si="6"/>
        <v>0</v>
      </c>
      <c r="AX13" s="8">
        <f t="shared" si="6"/>
        <v>0</v>
      </c>
      <c r="AY13" s="1348">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5" sqref="G4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6" t="s">
        <v>1131</v>
      </c>
      <c r="B2" s="3546"/>
      <c r="C2" s="3546"/>
      <c r="D2" s="795" t="s">
        <v>1107</v>
      </c>
      <c r="E2" s="1638" t="s">
        <v>1108</v>
      </c>
      <c r="F2" s="2658"/>
      <c r="G2" s="2649"/>
      <c r="H2" s="2650"/>
      <c r="I2" s="2324" t="s">
        <v>1132</v>
      </c>
      <c r="J2" s="2658"/>
      <c r="K2" s="2658"/>
      <c r="L2" s="2658"/>
      <c r="M2" s="2658"/>
      <c r="N2" s="2660"/>
      <c r="O2" s="2658"/>
      <c r="P2" s="2658"/>
    </row>
    <row r="3" spans="1:16" ht="15.75" thickBot="1">
      <c r="A3" s="3547" t="s">
        <v>1105</v>
      </c>
      <c r="B3" s="3547"/>
      <c r="C3" s="3547"/>
      <c r="D3" s="43">
        <f>'数据-基础表'!AY6</f>
        <v>6799.81</v>
      </c>
      <c r="E3" s="43">
        <f>'数据-基础表'!AZ5</f>
        <v>42466.65</v>
      </c>
      <c r="F3" s="2658"/>
      <c r="G3" s="1144"/>
      <c r="H3" s="1025" t="s">
        <v>1106</v>
      </c>
      <c r="I3" s="854">
        <f>ROUND('数据-基础表'!B3/'数据-基础表'!A3,2)</f>
        <v>6.25</v>
      </c>
      <c r="J3" s="2658"/>
      <c r="K3" s="2658"/>
      <c r="L3" s="2658"/>
      <c r="M3" s="2658"/>
      <c r="N3" s="2660"/>
      <c r="O3" s="2658"/>
      <c r="P3" s="2658"/>
    </row>
    <row r="4" spans="1:16" ht="15">
      <c r="A4" s="3548"/>
      <c r="B4" s="3549"/>
      <c r="C4" s="3550"/>
      <c r="D4" s="1640" t="s">
        <v>1107</v>
      </c>
      <c r="E4" s="1641" t="s">
        <v>1108</v>
      </c>
      <c r="F4" s="2658"/>
      <c r="G4" s="2651" t="s">
        <v>1133</v>
      </c>
      <c r="H4" s="1025" t="s">
        <v>1113</v>
      </c>
      <c r="I4" s="854">
        <f>ROUND(SUMIF('数据-基础表'!I9:AS9,"地上",'数据-基础表'!I5:AS5)/'数据-基础表'!A3,2)</f>
        <v>3.18</v>
      </c>
      <c r="J4" s="2658"/>
      <c r="K4" s="2658"/>
      <c r="L4" s="2658"/>
      <c r="M4" s="2658"/>
      <c r="N4" s="2660"/>
      <c r="O4" s="2658"/>
      <c r="P4" s="2658"/>
    </row>
    <row r="5" spans="1:16">
      <c r="A5" s="44" t="s">
        <v>1109</v>
      </c>
      <c r="B5" s="3551" t="s">
        <v>1110</v>
      </c>
      <c r="C5" s="3551"/>
      <c r="D5" s="45">
        <f>ROUND($D$3*E5/$E$3,2)</f>
        <v>0</v>
      </c>
      <c r="E5" s="46">
        <f>SUMIF('数据-基础表'!$11:$11,"住宅",'数据-基础表'!$5:$5)</f>
        <v>0</v>
      </c>
      <c r="F5" s="2658"/>
      <c r="G5" s="1144"/>
      <c r="H5" s="1025" t="s">
        <v>1106</v>
      </c>
      <c r="I5" s="854">
        <f>ROUND(E31/D31,2)</f>
        <v>6.25</v>
      </c>
      <c r="J5" s="2658"/>
      <c r="K5" s="2658"/>
      <c r="L5" s="2658"/>
      <c r="M5" s="2658"/>
      <c r="N5" s="2658"/>
      <c r="O5" s="2658"/>
      <c r="P5" s="2658"/>
    </row>
    <row r="6" spans="1:16" ht="15" thickBot="1">
      <c r="A6" s="1643"/>
      <c r="B6" s="3551" t="s">
        <v>1111</v>
      </c>
      <c r="C6" s="3551"/>
      <c r="D6" s="45">
        <f>ROUND($D$3*E6/$E$3,2)</f>
        <v>6799.81</v>
      </c>
      <c r="E6" s="46">
        <f>E3-E5</f>
        <v>42466.65</v>
      </c>
      <c r="F6" s="2658"/>
      <c r="G6" s="2652" t="s">
        <v>1112</v>
      </c>
      <c r="H6" s="1145" t="s">
        <v>1113</v>
      </c>
      <c r="I6" s="2653">
        <f>ROUND(F31/D31,2)</f>
        <v>3.18</v>
      </c>
      <c r="J6" s="2658"/>
      <c r="K6" s="2658"/>
      <c r="L6" s="2658"/>
      <c r="M6" s="2658"/>
      <c r="N6" s="2658"/>
      <c r="O6" s="2658"/>
      <c r="P6" s="2658"/>
    </row>
    <row r="7" spans="1:16" ht="15.75" thickBot="1">
      <c r="A7" s="3543"/>
      <c r="B7" s="3544"/>
      <c r="C7" s="3545"/>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3377.51</v>
      </c>
      <c r="E8" s="48">
        <f>SUMIF('数据-基础表'!BB10:BK10,"地上",'数据-基础表'!BB5:BK5)</f>
        <v>21093.46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1644.48</v>
      </c>
      <c r="E15" s="48">
        <f>SUMPRODUCT(('数据-基础表'!BB10:BK10="地下")*('数据-基础表'!BB11:BK11="车库—办公")*('数据-基础表'!BB5:BK5))</f>
        <v>10270.209999999999</v>
      </c>
      <c r="F15" s="2658"/>
      <c r="G15" s="2659"/>
      <c r="H15" s="2659"/>
      <c r="I15" s="2658"/>
      <c r="J15" s="2658"/>
      <c r="K15" s="2658"/>
      <c r="L15" s="2658"/>
      <c r="M15" s="2658"/>
      <c r="N15" s="2658"/>
      <c r="O15" s="2658"/>
      <c r="P15" s="2658"/>
    </row>
    <row r="16" spans="1:16" ht="15.75" thickBot="1">
      <c r="A16" s="1643"/>
      <c r="B16" s="1646"/>
      <c r="C16" s="47" t="s">
        <v>1123</v>
      </c>
      <c r="D16" s="47">
        <f>SUM(D8:D15)</f>
        <v>5021.99</v>
      </c>
      <c r="E16" s="50">
        <f>SUM(E8:E15)</f>
        <v>31363.67</v>
      </c>
      <c r="F16" s="2658"/>
      <c r="G16" s="2659"/>
      <c r="H16" s="1647" t="s">
        <v>1135</v>
      </c>
      <c r="I16" s="1648"/>
      <c r="J16" s="1138"/>
      <c r="K16" s="3540" t="s">
        <v>1135</v>
      </c>
      <c r="L16" s="3541"/>
      <c r="M16" s="3541"/>
      <c r="N16" s="3541"/>
      <c r="O16" s="3541"/>
      <c r="P16" s="3542"/>
    </row>
    <row r="17" spans="1:19" ht="15">
      <c r="A17" s="1649" t="s">
        <v>1136</v>
      </c>
      <c r="B17" s="1650" t="s">
        <v>1137</v>
      </c>
      <c r="C17" s="1651" t="s">
        <v>1138</v>
      </c>
      <c r="D17" s="1652" t="s">
        <v>1126</v>
      </c>
      <c r="E17" s="1653" t="s">
        <v>1127</v>
      </c>
      <c r="F17" s="1654"/>
      <c r="G17" s="1655"/>
      <c r="H17" s="1656" t="s">
        <v>1139</v>
      </c>
      <c r="I17" s="1657" t="s">
        <v>1124</v>
      </c>
      <c r="J17" s="1138"/>
      <c r="K17" s="3537" t="s">
        <v>1140</v>
      </c>
      <c r="L17" s="3538"/>
      <c r="M17" s="3539"/>
      <c r="N17" s="3537" t="s">
        <v>1141</v>
      </c>
      <c r="O17" s="3538"/>
      <c r="P17" s="353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3391</v>
      </c>
      <c r="D19" s="45">
        <f>ROUND($D$3*E19/$E$3,2)</f>
        <v>5074.05</v>
      </c>
      <c r="E19" s="53">
        <f t="shared" ref="E19:E26" si="1">SUM(F19:G19)</f>
        <v>31688.84</v>
      </c>
      <c r="F19" s="2794">
        <f>'数据-基础表'!I5</f>
        <v>21093.46</v>
      </c>
      <c r="G19" s="2795">
        <f>'数据-基础表'!K5</f>
        <v>10595.380000000001</v>
      </c>
      <c r="H19" s="669">
        <f>ROUND($D$3*I19/$E$3,2)</f>
        <v>61.38</v>
      </c>
      <c r="I19" s="48">
        <f t="shared" ref="I19:I26" si="2">IF($I$17="自定义",P19,M19)</f>
        <v>383.36</v>
      </c>
      <c r="J19" s="1138"/>
      <c r="K19" s="1137">
        <f t="shared" ref="K19:K26" si="3">ROUND(E$28*E19/E$27,2)</f>
        <v>383.36</v>
      </c>
      <c r="L19" s="1025">
        <f t="shared" ref="L19:L26" si="4">ROUND(IF(COUNTIF(C19,"*住宅*")&gt;0,E$29*E19/E$32,0),2)</f>
        <v>0</v>
      </c>
      <c r="M19" s="1149">
        <f>K19+L19</f>
        <v>383.36</v>
      </c>
      <c r="N19" s="1667"/>
      <c r="O19" s="1668"/>
      <c r="P19" s="1149">
        <f>N19+O19</f>
        <v>0</v>
      </c>
      <c r="R19" s="1025">
        <f t="shared" ref="R19:S26" si="5">D19+H19</f>
        <v>5135.43</v>
      </c>
      <c r="S19" s="1026">
        <f t="shared" si="5"/>
        <v>32072.2</v>
      </c>
    </row>
    <row r="20" spans="1:19">
      <c r="A20" s="1669"/>
      <c r="B20" s="47" t="s">
        <v>1153</v>
      </c>
      <c r="C20" s="3416" t="s">
        <v>3392</v>
      </c>
      <c r="D20" s="45">
        <f t="shared" ref="D20:D26" si="6">ROUND($D$3*E20/$E$3,2)</f>
        <v>1644.48</v>
      </c>
      <c r="E20" s="53">
        <f t="shared" si="1"/>
        <v>10270.209999999999</v>
      </c>
      <c r="F20" s="2794"/>
      <c r="G20" s="2795">
        <f>'数据-基础表'!M5</f>
        <v>10270.209999999999</v>
      </c>
      <c r="H20" s="669">
        <f t="shared" ref="H20:H26" si="7">ROUND($D$3*I20/$E$3,2)</f>
        <v>19.89</v>
      </c>
      <c r="I20" s="48">
        <f t="shared" si="2"/>
        <v>124.24</v>
      </c>
      <c r="J20" s="1138"/>
      <c r="K20" s="1137">
        <f t="shared" si="3"/>
        <v>124.24</v>
      </c>
      <c r="L20" s="1025">
        <f t="shared" si="4"/>
        <v>0</v>
      </c>
      <c r="M20" s="1149">
        <f t="shared" ref="M20:M26" si="8">K20+L20</f>
        <v>124.24</v>
      </c>
      <c r="N20" s="1667"/>
      <c r="O20" s="1668"/>
      <c r="P20" s="1149">
        <f t="shared" ref="P20:P26" si="9">N20+O20</f>
        <v>0</v>
      </c>
      <c r="R20" s="1025">
        <f t="shared" si="5"/>
        <v>1664.3700000000001</v>
      </c>
      <c r="S20" s="1026">
        <f t="shared" si="5"/>
        <v>10394.449999999999</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29.25" thickBot="1">
      <c r="A27" s="1669"/>
      <c r="B27" s="45"/>
      <c r="C27" s="1672" t="s">
        <v>1154</v>
      </c>
      <c r="D27" s="1139">
        <f>SUM(D19:D26)</f>
        <v>6718.5300000000007</v>
      </c>
      <c r="E27" s="1140">
        <f>IF(SUM(E19:E26)='数据-基础表'!BA5,SUM(E19:E26),IF(F27="地上面积有误","面积有误","地下面积有误"))</f>
        <v>41959.05</v>
      </c>
      <c r="F27" s="1139">
        <f>IF(SUM(F19:F26)=E8,SUM(F19:F26),"地上面积有误")</f>
        <v>21093.46</v>
      </c>
      <c r="G27" s="1141">
        <f>SUM(G19:G26)</f>
        <v>20865.59</v>
      </c>
      <c r="H27" s="1142">
        <f>SUM(H19:H26)</f>
        <v>81.27000000000001</v>
      </c>
      <c r="I27" s="1143">
        <f>SUM(I19:I26)</f>
        <v>507.6</v>
      </c>
      <c r="J27" s="1138"/>
      <c r="K27" s="1146">
        <f>SUM(K19:K26)</f>
        <v>507.6</v>
      </c>
      <c r="L27" s="1147">
        <f>SUM(L19:L26)</f>
        <v>0</v>
      </c>
      <c r="M27" s="1150">
        <f>SUM(M19:M26)</f>
        <v>507.6</v>
      </c>
      <c r="N27" s="1146">
        <f t="shared" ref="N27:O27" si="10">SUM(N19:N26)</f>
        <v>0</v>
      </c>
      <c r="O27" s="1147">
        <f t="shared" si="10"/>
        <v>0</v>
      </c>
      <c r="P27" s="1148">
        <f>SUM(P19:P26)</f>
        <v>0</v>
      </c>
      <c r="R27" s="1027" t="str">
        <f>IF(SUM(R19:R26)=$D$3,SUM(R19:R26),SUM(R19:R26)&amp;"误差"&amp;ROUND(SUM(R19:R26)-$D$3,2))</f>
        <v>6799.8误差-0.01</v>
      </c>
      <c r="S27" s="1025">
        <f>IF(SUM(S19:S26)=$E$3,SUM(S19:S26),SUM(S19:S26)&amp;"误差"&amp;ROUND(SUM(S19:S26)-E3,2))</f>
        <v>42466.65</v>
      </c>
    </row>
    <row r="28" spans="1:19">
      <c r="A28" s="1669"/>
      <c r="B28" s="47" t="s">
        <v>1155</v>
      </c>
      <c r="C28" s="1037" t="s">
        <v>1156</v>
      </c>
      <c r="D28" s="45">
        <f>ROUND($D$3*E28/$E$3,2)</f>
        <v>81.28</v>
      </c>
      <c r="E28" s="53">
        <f>SUM(F28:G28)</f>
        <v>507.6</v>
      </c>
      <c r="F28" s="56">
        <f>'数据-基础表'!BQ5+'数据-基础表'!BS5</f>
        <v>507.6</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81.28</v>
      </c>
      <c r="E30" s="1139">
        <f>SUM(E28:E29)</f>
        <v>507.6</v>
      </c>
      <c r="F30" s="1139">
        <f>SUM(F28:F29)</f>
        <v>507.6</v>
      </c>
      <c r="G30" s="1141">
        <f>SUM(G28:G29)</f>
        <v>0</v>
      </c>
      <c r="H30" s="2658"/>
      <c r="I30" s="2658"/>
      <c r="J30" s="2658"/>
      <c r="K30" s="2658"/>
      <c r="L30" s="2658"/>
      <c r="M30" s="2658"/>
      <c r="N30" s="2658"/>
      <c r="O30" s="2658"/>
      <c r="P30" s="2658"/>
    </row>
    <row r="31" spans="1:19" ht="15.75" thickBot="1">
      <c r="A31" s="1675"/>
      <c r="B31" s="1676"/>
      <c r="C31" s="834" t="s">
        <v>1158</v>
      </c>
      <c r="D31" s="675">
        <f>D27+D30</f>
        <v>6799.81</v>
      </c>
      <c r="E31" s="675">
        <f>E27+E30</f>
        <v>42466.65</v>
      </c>
      <c r="F31" s="676">
        <f>F27+F30</f>
        <v>21601.059999999998</v>
      </c>
      <c r="G31" s="677">
        <f>G27+G30</f>
        <v>20865.59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18"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45023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3386</v>
      </c>
      <c r="D6" s="857">
        <f>SUMIF(项目基本情况!C$12:I$12,C6,项目基本情况!C$14:I$14)</f>
        <v>50</v>
      </c>
      <c r="E6" s="856">
        <f>IF(B6="","",SUMIF(项目基本情况!C$12:I$12,C6,项目基本情况!C$13:I$13))</f>
        <v>62184</v>
      </c>
      <c r="F6" s="64">
        <f>SUMIF(项目基本情况!C$12:I$12,C6,项目基本情况!C$15:I$15)</f>
        <v>47.01</v>
      </c>
      <c r="G6" s="65">
        <f>IF(ISERROR(ROUND(POWER(1+H6,D6-F6)*(POWER(1+H6,F6)-1)/(POWER(1+H6,D6)-1),3)),0,ROUND(POWER(1+H6,D6-F6)*(POWER(1+H6,F6)-1)/(POWER(1+H6,D6)-1),3))</f>
        <v>0.98499999999999999</v>
      </c>
      <c r="H6" s="731">
        <v>0.05</v>
      </c>
      <c r="I6" s="731">
        <v>0.06</v>
      </c>
      <c r="J6" s="66">
        <v>7.0000000000000007E-2</v>
      </c>
      <c r="K6" s="1029">
        <f>SUMIF('数据-汇总表'!C$19:C$33,A6,'数据-汇总表'!E$19:E$33)</f>
        <v>31688.84</v>
      </c>
      <c r="L6" s="732">
        <v>5500</v>
      </c>
      <c r="M6" s="67">
        <f t="shared" ref="M6:M14" si="0">ROUND(K6*L6/10000,0)</f>
        <v>17429</v>
      </c>
      <c r="N6" s="730">
        <v>0.9</v>
      </c>
      <c r="O6" s="67" t="str">
        <f>IF($N$5="成新度","——",ROUND(M6*N6,0))</f>
        <v>——</v>
      </c>
      <c r="P6" s="68" t="str">
        <f>IF($N$5="成新度","——",M6-O6)</f>
        <v>——</v>
      </c>
      <c r="Q6" s="733">
        <v>0.15</v>
      </c>
      <c r="R6" s="69">
        <f ca="1">SUMIF('数据-汇总表'!C$19:C$33,A6,'数据-汇总表'!R$19:R$27)</f>
        <v>5135.43</v>
      </c>
      <c r="S6" s="51">
        <f>IF('数据-汇总表'!$I$17="按面积比例",SUMIF('数据-汇总表'!C$19:C$33,A6,'数据-汇总表'!K$19:K$33),SUMIF('数据-汇总表'!C$19:C$33,A6,'数据-汇总表'!N$19:N$33))</f>
        <v>383.36</v>
      </c>
      <c r="T6" s="1171">
        <f>ROUND($L$14*S6/10000,0)</f>
        <v>211</v>
      </c>
      <c r="U6" s="3427">
        <f>ROUND(V23,1)</f>
        <v>9.6</v>
      </c>
      <c r="V6" s="70">
        <v>0.03</v>
      </c>
      <c r="W6" s="70">
        <v>0.1</v>
      </c>
      <c r="X6" s="1039"/>
      <c r="Y6" s="71">
        <f>N6</f>
        <v>0.9</v>
      </c>
      <c r="Z6" s="72"/>
      <c r="AA6" s="66"/>
      <c r="AB6" s="66"/>
      <c r="AC6" s="1039"/>
      <c r="AD6" s="73"/>
      <c r="AE6" s="1040">
        <f ca="1">IF(AN6="",0,SUMIF(INDIRECT("'"&amp;AN6&amp;"'"&amp;"!E:E"),$AE$5,INDIRECT("'"&amp;AN6&amp;"'"&amp;"!F:F")))</f>
        <v>47.01</v>
      </c>
      <c r="AF6" s="1347"/>
      <c r="AG6" s="137">
        <f>IF(AF6="",0,AE6-AF6)</f>
        <v>0</v>
      </c>
      <c r="AH6" s="74"/>
      <c r="AI6" s="76">
        <v>365</v>
      </c>
      <c r="AJ6" s="77"/>
      <c r="AK6" s="78">
        <v>0.01</v>
      </c>
      <c r="AL6" s="79">
        <v>1.5E-3</v>
      </c>
      <c r="AM6" s="80">
        <v>0.01</v>
      </c>
      <c r="AN6" s="1714" t="s">
        <v>3414</v>
      </c>
      <c r="AO6" s="52">
        <f ca="1">SUMIF(INDIRECT("'"&amp;AN6&amp;"'"&amp;"!A:A"),"总价",INDIRECT("'"&amp;AN6&amp;"'"&amp;"!B:B"))</f>
        <v>196029</v>
      </c>
      <c r="AP6" s="1715">
        <f>IF(C6="住宅",K6*L6,0)</f>
        <v>0</v>
      </c>
      <c r="AQ6" s="52">
        <f>ROUND($L$14*$N$14*S6/10000,0)</f>
        <v>190</v>
      </c>
      <c r="AR6" s="52">
        <f>ROUND($L$14*(1-$N$14)*S6/10000,0)</f>
        <v>21</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3340</v>
      </c>
      <c r="D7" s="857">
        <f>SUMIF(项目基本情况!C$12:I$12,C7,项目基本情况!C$14:I$14)</f>
        <v>50</v>
      </c>
      <c r="E7" s="856">
        <f>IF(B7="","",SUMIF(项目基本情况!C$12:I$12,C7,项目基本情况!C$13:I$13))</f>
        <v>62184</v>
      </c>
      <c r="F7" s="64">
        <f>SUMIF(项目基本情况!C$12:I$12,C7,项目基本情况!C$15:I$15)</f>
        <v>47.01</v>
      </c>
      <c r="G7" s="65">
        <f t="shared" ref="G7:G11" si="2">IF(ISERROR(ROUND(POWER(1+H7,D7-F7)*(POWER(1+H7,F7)-1)/(POWER(1+H7,D7)-1),3)),0,ROUND(POWER(1+H7,D7-F7)*(POWER(1+H7,F7)-1)/(POWER(1+H7,D7)-1),3))</f>
        <v>0.98199999999999998</v>
      </c>
      <c r="H7" s="731">
        <v>4.4999999999999998E-2</v>
      </c>
      <c r="I7" s="731">
        <v>0.05</v>
      </c>
      <c r="J7" s="66">
        <v>7.0000000000000007E-2</v>
      </c>
      <c r="K7" s="1029">
        <f>SUMIF('数据-汇总表'!C$19:C$33,A7,'数据-汇总表'!E$19:E$33)</f>
        <v>10270.209999999999</v>
      </c>
      <c r="L7" s="732">
        <f>L6</f>
        <v>5500</v>
      </c>
      <c r="M7" s="67">
        <f t="shared" si="0"/>
        <v>5649</v>
      </c>
      <c r="N7" s="730">
        <f>N6</f>
        <v>0.9</v>
      </c>
      <c r="O7" s="67" t="str">
        <f t="shared" ref="O7:O14" si="3">IF($N$5="成新度","——",ROUND(M7*N7,0))</f>
        <v>——</v>
      </c>
      <c r="P7" s="68" t="str">
        <f t="shared" ref="P7:P14" si="4">IF($N$5="成新度","——",M7-O7)</f>
        <v>——</v>
      </c>
      <c r="Q7" s="733">
        <v>0.05</v>
      </c>
      <c r="R7" s="69">
        <f ca="1">SUMIF('数据-汇总表'!C$19:C$33,A7,'数据-汇总表'!R$19:R$27)</f>
        <v>1664.3700000000001</v>
      </c>
      <c r="S7" s="51">
        <f>IF('数据-汇总表'!$I$17="按面积比例",SUMIF('数据-汇总表'!C$19:C$33,A7,'数据-汇总表'!K$19:K$33),SUMIF('数据-汇总表'!C$19:C$33,A7,'数据-汇总表'!N$19:N$33))</f>
        <v>124.24</v>
      </c>
      <c r="T7" s="1171">
        <f t="shared" ref="T7:T13" si="5">ROUND($L$14*S7/10000,0)</f>
        <v>68</v>
      </c>
      <c r="U7" s="3427">
        <v>1200</v>
      </c>
      <c r="V7" s="70">
        <v>2.5000000000000001E-2</v>
      </c>
      <c r="W7" s="70">
        <v>0.1</v>
      </c>
      <c r="X7" s="1039"/>
      <c r="Y7" s="71">
        <f>N7</f>
        <v>0.9</v>
      </c>
      <c r="Z7" s="72"/>
      <c r="AA7" s="66"/>
      <c r="AB7" s="66"/>
      <c r="AC7" s="1039"/>
      <c r="AD7" s="73"/>
      <c r="AE7" s="1040">
        <f t="shared" ref="AE7:AE13" ca="1" si="6">IF(AN7="",0,SUMIF(INDIRECT("'"&amp;AN7&amp;"'"&amp;"!E:E"),$AE$5,INDIRECT("'"&amp;AN7&amp;"'"&amp;"!F:F")))</f>
        <v>47.01</v>
      </c>
      <c r="AF7" s="1347"/>
      <c r="AG7" s="137">
        <f t="shared" ref="AG7:AG13" si="7">IF(AF7="",0,AE7-AF7)</f>
        <v>0</v>
      </c>
      <c r="AH7" s="74">
        <v>158</v>
      </c>
      <c r="AI7" s="76">
        <v>12</v>
      </c>
      <c r="AJ7" s="77"/>
      <c r="AK7" s="78">
        <v>0.01</v>
      </c>
      <c r="AL7" s="79">
        <v>1.5E-3</v>
      </c>
      <c r="AM7" s="80">
        <v>0.01</v>
      </c>
      <c r="AN7" s="1714" t="s">
        <v>3417</v>
      </c>
      <c r="AO7" s="52">
        <f t="shared" ref="AO7:AO13" ca="1" si="8">SUMIF(INDIRECT("'"&amp;AN7&amp;"'"&amp;"!A:A"),"总价",INDIRECT("'"&amp;AN7&amp;"'"&amp;"!B:B"))</f>
        <v>2217</v>
      </c>
      <c r="AP7" s="1715">
        <f t="shared" ref="AP7:AP13" si="9">IF(C7="住宅",K7*L7,0)</f>
        <v>0</v>
      </c>
      <c r="AQ7" s="52">
        <f t="shared" ref="AQ7:AQ13" si="10">ROUND($L$14*$N$14*S7/10000,0)</f>
        <v>61</v>
      </c>
      <c r="AR7" s="52">
        <f t="shared" ref="AR7:AR13" si="11">ROUND($L$14*(1-$N$14)*S7/10000,0)</f>
        <v>7</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507.6</v>
      </c>
      <c r="L14" s="82">
        <f>L6</f>
        <v>5500</v>
      </c>
      <c r="M14" s="67">
        <f t="shared" si="0"/>
        <v>279</v>
      </c>
      <c r="N14" s="83">
        <f>N6</f>
        <v>0.9</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0.98399999999999999</v>
      </c>
      <c r="H16" s="90">
        <f>ROUND(SUMPRODUCT(H6:H13,K6:K13)/SUMPRODUCT((H6:H13&gt;0)*(K6:K13)),3)</f>
        <v>4.9000000000000002E-2</v>
      </c>
      <c r="I16" s="91"/>
      <c r="J16" s="91"/>
      <c r="K16" s="92">
        <f>SUM(K6:K15)</f>
        <v>42466.65</v>
      </c>
      <c r="L16" s="93">
        <f>ROUND(M16*10000/SUM(K6:K14),0)</f>
        <v>5500</v>
      </c>
      <c r="M16" s="93">
        <f>SUM(M6:M14)</f>
        <v>23357</v>
      </c>
      <c r="N16" s="94">
        <f>ROUND(SUMPRODUCT(M6:M14,N6:N14)/M16,3)</f>
        <v>0.9</v>
      </c>
      <c r="O16" s="93">
        <f>SUM(O6:O14)</f>
        <v>0</v>
      </c>
      <c r="P16" s="93">
        <f>SUM(P6:P14)</f>
        <v>0</v>
      </c>
      <c r="Q16" s="95">
        <f>ROUND(SUMPRODUCT(Q6:Q13,K6:K13)/SUMPRODUCT((Q6:Q13&gt;0)*(K6:K13)),2)</f>
        <v>0.13</v>
      </c>
      <c r="R16" s="1033">
        <f ca="1">SUM(R6:R13)</f>
        <v>6799.8</v>
      </c>
      <c r="S16" s="96">
        <f>SUM(S6:S13)</f>
        <v>507.6</v>
      </c>
      <c r="T16" s="97">
        <f>IF(SUMIF(T6:T13,"&lt;9E307")=M14,SUMIF(T6:T13,"&lt;9E307"),"有误，请检查")</f>
        <v>279</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f>'数据-基础表'!I5</f>
        <v>21093.46</v>
      </c>
      <c r="V21" s="2670">
        <v>12</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'数据-基础表'!K5</f>
        <v>10595.380000000001</v>
      </c>
      <c r="V22" s="2670">
        <f>V21*0.4</f>
        <v>4.8000000000000007</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f>U21+U22</f>
        <v>31688.84</v>
      </c>
      <c r="V23" s="2670">
        <f>(U21*V21+U22*V22)/U23</f>
        <v>9.5926308441710066</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f>V23/V21</f>
        <v>0.79938590368091722</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849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3460">
        <v>2.5000000000000001E-2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3394</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2" t="s">
        <v>2286</v>
      </c>
      <c r="B1" s="3553"/>
      <c r="C1" s="3553"/>
      <c r="D1" s="3553"/>
      <c r="E1" s="3553"/>
      <c r="F1" s="3553"/>
      <c r="G1" s="355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42466.65</v>
      </c>
      <c r="C1" s="2685"/>
      <c r="D1" s="2685"/>
      <c r="E1" s="2685"/>
      <c r="F1" s="2685"/>
      <c r="G1" s="2686"/>
      <c r="H1" s="2687"/>
      <c r="I1" s="2687"/>
      <c r="J1" s="2687"/>
      <c r="K1" s="2687"/>
    </row>
    <row r="2" spans="1:11" ht="16.5">
      <c r="A2" s="2511" t="s">
        <v>653</v>
      </c>
      <c r="B2" s="2511">
        <f>SUM(C14:C23)</f>
        <v>6799.81</v>
      </c>
      <c r="C2" s="2685"/>
      <c r="D2" s="2685"/>
      <c r="E2" s="2685"/>
      <c r="F2" s="2685"/>
      <c r="G2" s="2686"/>
      <c r="H2" s="2687"/>
      <c r="I2" s="2687"/>
      <c r="J2" s="2687"/>
      <c r="K2" s="2687"/>
    </row>
    <row r="3" spans="1:11" ht="16.5">
      <c r="A3" s="2511" t="s">
        <v>662</v>
      </c>
      <c r="B3" s="2513">
        <f>项目基本情况!D3</f>
        <v>45023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167013</v>
      </c>
      <c r="C5" s="2511">
        <f ca="1">IF(B5=D14,结果表!H102,ROUND(B5*10000/$B$1,0))</f>
        <v>39328</v>
      </c>
      <c r="D5" s="2511">
        <f ca="1">ROUND(B5*10000/$B$2,0)</f>
        <v>245614</v>
      </c>
      <c r="E5" s="2685"/>
      <c r="F5" s="2686"/>
      <c r="G5" s="2686"/>
      <c r="H5" s="2687"/>
      <c r="I5" s="2687"/>
      <c r="J5" s="2687"/>
      <c r="K5" s="2687"/>
    </row>
    <row r="6" spans="1:11" ht="16.5">
      <c r="A6" s="2511" t="s">
        <v>656</v>
      </c>
      <c r="B6" s="2511">
        <f ca="1">SUM(G14:G23)</f>
        <v>166703</v>
      </c>
      <c r="C6" s="2511">
        <f ca="1">IF(B6=G14,结果表!H108,ROUND(B6*10000/$B$1,0))</f>
        <v>39328</v>
      </c>
      <c r="D6" s="2511">
        <f ca="1">ROUND(B6*10000/$B$2,0)</f>
        <v>245158</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f ca="1">IF(B8=I14,结果表!H112,ROUND(B8*10000/$B$1,0))</f>
        <v>39255</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42466.65</v>
      </c>
      <c r="C14" s="2517">
        <f>结果表!C118</f>
        <v>6799.81</v>
      </c>
      <c r="D14" s="2517">
        <f ca="1">结果表!H118</f>
        <v>167013</v>
      </c>
      <c r="E14" s="2517">
        <f ca="1">ROUND(D14*10000/B14,0)</f>
        <v>39328</v>
      </c>
      <c r="F14" s="2517">
        <f ca="1">ROUND(D14*10000/C14,0)</f>
        <v>245614</v>
      </c>
      <c r="G14" s="2517">
        <f ca="1">结果表!D126</f>
        <v>166703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3" t="s">
        <v>1265</v>
      </c>
      <c r="B4" s="1754" t="s">
        <v>1266</v>
      </c>
      <c r="C4" s="1755" t="s">
        <v>3415</v>
      </c>
      <c r="D4" s="1755" t="s">
        <v>3416</v>
      </c>
      <c r="E4" s="3630" t="s">
        <v>1267</v>
      </c>
      <c r="F4" s="3631"/>
      <c r="G4" s="3631"/>
      <c r="H4" s="3631"/>
      <c r="I4" s="363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0" t="s">
        <v>1269</v>
      </c>
      <c r="F5" s="1756"/>
      <c r="G5" s="1756"/>
      <c r="H5" s="1756"/>
      <c r="I5" s="1372"/>
    </row>
    <row r="6" spans="1:12" ht="12.75">
      <c r="A6" s="3569"/>
      <c r="B6" s="3624"/>
      <c r="C6" s="3629"/>
      <c r="D6" s="3615"/>
      <c r="E6" s="130" t="s">
        <v>1270</v>
      </c>
      <c r="F6" s="1756"/>
      <c r="G6" s="1756"/>
      <c r="H6" s="1756"/>
      <c r="I6" s="1372"/>
    </row>
    <row r="7" spans="1:12" ht="12.75">
      <c r="A7" s="3569"/>
      <c r="B7" s="3624"/>
      <c r="C7" s="3628"/>
      <c r="D7" s="3615"/>
      <c r="E7" s="130" t="s">
        <v>1271</v>
      </c>
      <c r="F7" s="1756"/>
      <c r="G7" s="1756"/>
      <c r="H7" s="1756"/>
      <c r="I7" s="1372"/>
    </row>
    <row r="8" spans="1:12" ht="12.75">
      <c r="A8" s="3569" t="s">
        <v>1272</v>
      </c>
      <c r="B8" s="3624">
        <v>15</v>
      </c>
      <c r="C8" s="3627"/>
      <c r="D8" s="3615"/>
      <c r="E8" s="130" t="s">
        <v>1273</v>
      </c>
      <c r="F8" s="1756"/>
      <c r="G8" s="1756"/>
      <c r="H8" s="1756"/>
      <c r="I8" s="1372"/>
    </row>
    <row r="9" spans="1:12" ht="12.75">
      <c r="A9" s="3569"/>
      <c r="B9" s="3624"/>
      <c r="C9" s="3628"/>
      <c r="D9" s="3615"/>
      <c r="E9" s="130" t="s">
        <v>1274</v>
      </c>
      <c r="F9" s="1756"/>
      <c r="G9" s="1756"/>
      <c r="H9" s="1756"/>
      <c r="I9" s="1372"/>
    </row>
    <row r="10" spans="1:12" ht="12.75">
      <c r="A10" s="3569" t="s">
        <v>1275</v>
      </c>
      <c r="B10" s="3624">
        <v>15</v>
      </c>
      <c r="C10" s="3627"/>
      <c r="D10" s="3615"/>
      <c r="E10" s="130" t="s">
        <v>1276</v>
      </c>
      <c r="F10" s="1756"/>
      <c r="G10" s="1756"/>
      <c r="H10" s="1756"/>
      <c r="I10" s="1372"/>
    </row>
    <row r="11" spans="1:12" ht="12.75">
      <c r="A11" s="3569"/>
      <c r="B11" s="3624"/>
      <c r="C11" s="3628"/>
      <c r="D11" s="3615"/>
      <c r="E11" s="130" t="s">
        <v>1277</v>
      </c>
      <c r="F11" s="1756"/>
      <c r="G11" s="1756"/>
      <c r="H11" s="1756"/>
      <c r="I11" s="1372"/>
    </row>
    <row r="12" spans="1:12" ht="12.75">
      <c r="A12" s="3569" t="s">
        <v>1278</v>
      </c>
      <c r="B12" s="3624">
        <v>15</v>
      </c>
      <c r="C12" s="3627"/>
      <c r="D12" s="3615"/>
      <c r="E12" s="130" t="s">
        <v>1279</v>
      </c>
      <c r="F12" s="1756"/>
      <c r="G12" s="1756"/>
      <c r="H12" s="1756"/>
      <c r="I12" s="1372"/>
    </row>
    <row r="13" spans="1:12" ht="12.75">
      <c r="A13" s="3569"/>
      <c r="B13" s="3624"/>
      <c r="C13" s="3628"/>
      <c r="D13" s="3615"/>
      <c r="E13" s="130" t="s">
        <v>1280</v>
      </c>
      <c r="F13" s="1756"/>
      <c r="G13" s="1756"/>
      <c r="H13" s="1756"/>
      <c r="I13" s="1372"/>
    </row>
    <row r="14" spans="1:12" ht="12.75">
      <c r="A14" s="3569" t="s">
        <v>1281</v>
      </c>
      <c r="B14" s="3624">
        <v>30</v>
      </c>
      <c r="C14" s="3627">
        <v>3</v>
      </c>
      <c r="D14" s="3615">
        <v>7</v>
      </c>
      <c r="E14" s="130" t="s">
        <v>1282</v>
      </c>
      <c r="F14" s="1756"/>
      <c r="G14" s="1756"/>
      <c r="H14" s="1756"/>
      <c r="I14" s="1372"/>
    </row>
    <row r="15" spans="1:12" ht="12.75">
      <c r="A15" s="3569"/>
      <c r="B15" s="3624"/>
      <c r="C15" s="3629"/>
      <c r="D15" s="3615"/>
      <c r="E15" s="130" t="s">
        <v>1283</v>
      </c>
      <c r="F15" s="1756"/>
      <c r="G15" s="1756"/>
      <c r="H15" s="1756"/>
      <c r="I15" s="1372"/>
    </row>
    <row r="16" spans="1:12" ht="12.75">
      <c r="A16" s="3569"/>
      <c r="B16" s="3624"/>
      <c r="C16" s="3628"/>
      <c r="D16" s="3615"/>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646" t="s">
        <v>2131</v>
      </c>
      <c r="F18" s="3647"/>
      <c r="G18" s="3647"/>
      <c r="H18" s="3647"/>
      <c r="I18" s="3647"/>
      <c r="K18" s="301" t="s">
        <v>1289</v>
      </c>
      <c r="L18" s="301">
        <f>IF(C1="",'数据-汇总表'!E3,SUMIF(项目类型,C1,'数据-汇总表'!E17:E26)+SUMIF(项目类型,C1,'数据-汇总表'!I17:I26))</f>
        <v>42466.65</v>
      </c>
      <c r="M18" s="301">
        <f>IF(C1="",'数据-汇总表'!E3,SUMIF(项目类型,C1,'数据-汇总表'!E17:E26))</f>
        <v>42466.65</v>
      </c>
    </row>
    <row r="19" spans="1:36" ht="15">
      <c r="A19" s="1760" t="s">
        <v>1290</v>
      </c>
      <c r="B19" s="1761" t="s">
        <v>1291</v>
      </c>
      <c r="C19" s="133">
        <f ca="1">SUMIF(INDIRECT("'"&amp;C4&amp;"'"&amp;"!A:A"),结果表!B19,INDIRECT("'"&amp;C4&amp;"'"&amp;"!B:B"))</f>
        <v>94136</v>
      </c>
      <c r="D19" s="134">
        <f ca="1">SUMIF(INDIRECT("'"&amp;D4&amp;"'"&amp;"!A:A"),结果表!B19,INDIRECT("'"&amp;D4&amp;"'"&amp;"!B:B"))</f>
        <v>198246</v>
      </c>
      <c r="E19" s="1760" t="s">
        <v>1292</v>
      </c>
      <c r="F19" s="1761" t="s">
        <v>1291</v>
      </c>
      <c r="G19" s="135">
        <f ca="1">ROUND(C19*$C$18+D19*$D$18,0)</f>
        <v>167013</v>
      </c>
      <c r="H19" s="1762" t="s">
        <v>1293</v>
      </c>
      <c r="I19" s="128">
        <v>167013</v>
      </c>
      <c r="K19" s="301" t="s">
        <v>1294</v>
      </c>
      <c r="L19" s="301">
        <f>IF(C1="",'数据-汇总表'!D3,SUMIF(项目类型,C1,'数据-汇总表'!D17:D26)+SUMIF(项目类型,C1,'数据-汇总表'!H17:H27))</f>
        <v>6799.81</v>
      </c>
      <c r="M19" s="301">
        <f>IF(C1="",'数据-汇总表'!D3,SUMIF(项目类型,C1,'数据-汇总表'!D17:D26))</f>
        <v>6799.81</v>
      </c>
    </row>
    <row r="20" spans="1:36" ht="15">
      <c r="A20" s="1763"/>
      <c r="B20" s="1025" t="s">
        <v>1295</v>
      </c>
      <c r="C20" s="136">
        <f ca="1">SUMIF(INDIRECT("'"&amp;C4&amp;"'"&amp;"!A:A"),结果表!B20,INDIRECT("'"&amp;C4&amp;"'"&amp;"!B:B"))</f>
        <v>22167</v>
      </c>
      <c r="D20" s="137">
        <f ca="1">SUMIF(INDIRECT("'"&amp;D4&amp;"'"&amp;"!A:A"),结果表!B20,INDIRECT("'"&amp;D4&amp;"'"&amp;"!B:B"))</f>
        <v>46683</v>
      </c>
      <c r="E20" s="1763"/>
      <c r="F20" s="1025" t="s">
        <v>1295</v>
      </c>
      <c r="G20" s="138">
        <f ca="1">ROUND(C20*$C$18+D20*$D$18,0)</f>
        <v>39328</v>
      </c>
      <c r="H20" s="807" t="s">
        <v>1296</v>
      </c>
      <c r="I20" s="128"/>
    </row>
    <row r="21" spans="1:36" ht="15" customHeight="1" thickBot="1">
      <c r="A21" s="827"/>
      <c r="B21" s="1764" t="s">
        <v>1297</v>
      </c>
      <c r="C21" s="718">
        <f ca="1">ROUND(C19*10000/L19,0)</f>
        <v>138439</v>
      </c>
      <c r="D21" s="719">
        <f ca="1">ROUND(D19*10000/L19,0)</f>
        <v>291546</v>
      </c>
      <c r="E21" s="827"/>
      <c r="F21" s="1764" t="s">
        <v>1297</v>
      </c>
      <c r="G21" s="139">
        <f ca="1">ROUND(G19*10000/L19,0)</f>
        <v>245614</v>
      </c>
      <c r="H21" s="1765" t="s">
        <v>1296</v>
      </c>
      <c r="I21" s="128"/>
    </row>
    <row r="22" spans="1:36" ht="15" thickBot="1">
      <c r="A22" s="1687" t="s">
        <v>1298</v>
      </c>
      <c r="B22" s="1766"/>
      <c r="C22" s="1767"/>
      <c r="D22" s="720">
        <f ca="1">IF(C19&lt;D19,D19/C19-1,C19/D19-1)</f>
        <v>1.1059530891476164</v>
      </c>
      <c r="E22" s="128"/>
      <c r="F22" s="128"/>
      <c r="G22" s="128"/>
      <c r="H22" s="128"/>
      <c r="I22" s="128"/>
    </row>
    <row r="23" spans="1:36" ht="13.5" thickBot="1">
      <c r="A23" s="1746"/>
      <c r="B23" s="1746"/>
      <c r="C23" s="1746"/>
      <c r="D23" s="1746"/>
      <c r="E23" s="128"/>
      <c r="F23" s="128"/>
      <c r="G23" s="128"/>
      <c r="H23" s="128"/>
      <c r="I23" s="128"/>
    </row>
    <row r="24" spans="1:36" ht="14.25">
      <c r="A24" s="3639" t="s">
        <v>1299</v>
      </c>
      <c r="B24" s="1761" t="s">
        <v>1291</v>
      </c>
      <c r="C24" s="135">
        <f>IF(B30=0,0,D30)</f>
        <v>0</v>
      </c>
      <c r="D24" s="1768"/>
      <c r="E24" s="128"/>
      <c r="F24" s="128"/>
      <c r="G24" s="128"/>
      <c r="H24" s="128"/>
      <c r="I24" s="128"/>
    </row>
    <row r="25" spans="1:36" ht="14.25">
      <c r="A25" s="364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167013</v>
      </c>
      <c r="D32" s="1774" t="s">
        <v>3420</v>
      </c>
      <c r="E32" s="128"/>
      <c r="F32" s="128"/>
      <c r="G32" s="128"/>
      <c r="H32" s="128"/>
      <c r="I32" s="128"/>
    </row>
    <row r="33" spans="1:15" ht="15">
      <c r="A33" s="785" t="s">
        <v>1306</v>
      </c>
      <c r="B33" s="1775"/>
      <c r="C33" s="1776" t="s">
        <v>3421</v>
      </c>
      <c r="D33" s="1777" t="s">
        <v>3415</v>
      </c>
      <c r="E33" s="1778" t="s">
        <v>1307</v>
      </c>
      <c r="F33" s="1779" t="str">
        <f>IF(D32="楼面单价","取值（单价）","取值（总价）")</f>
        <v>取值（总价）</v>
      </c>
      <c r="G33" s="128"/>
      <c r="H33" s="128"/>
      <c r="I33" s="128"/>
    </row>
    <row r="34" spans="1:15" ht="15">
      <c r="A34" s="1780"/>
      <c r="B34" s="1781" t="s">
        <v>1308</v>
      </c>
      <c r="C34" s="147">
        <f ca="1">IF(C33="自定义",F34,C32-C35)</f>
        <v>113569</v>
      </c>
      <c r="D34" s="860">
        <f ca="1">IF(C33="自定义",ROUND(C34/C32,3),IF(C33="收益比率",SUMIF(INDIRECT("'"&amp;D33&amp;"'"&amp;"!b:b"),"土地收益比率",INDIRECT("'"&amp;D33&amp;"'"&amp;"!c:c")),SUMIF(INDIRECT("'"&amp;D33&amp;"'"&amp;"!b:b"),"土地成本比率",INDIRECT("'"&amp;D33&amp;"'"&amp;"!c:c"))))</f>
        <v>0.67999999999999994</v>
      </c>
      <c r="E34" s="1782" t="s">
        <v>1309</v>
      </c>
      <c r="F34" s="1329"/>
      <c r="G34" s="128"/>
      <c r="H34" s="128"/>
      <c r="I34" s="128"/>
    </row>
    <row r="35" spans="1:15" ht="15.75" thickBot="1">
      <c r="A35" s="1783"/>
      <c r="B35" s="1784" t="s">
        <v>1310</v>
      </c>
      <c r="C35" s="1169">
        <f ca="1">IF(C33="自定义",F35,ROUND(C32*D35,0))</f>
        <v>53444</v>
      </c>
      <c r="D35" s="1170">
        <f ca="1">IF(C33="自定义",ROUND(C35/C32,3),IF(C33="收益比率",SUMIF(INDIRECT("'"&amp;D33&amp;"'"&amp;"!b:b"),"建筑物收益比率",INDIRECT("'"&amp;D33&amp;"'"&amp;"!c:c")),SUMIF(INDIRECT("'"&amp;D33&amp;"'"&amp;"!b:b"),"建筑物成本比率",INDIRECT("'"&amp;D33&amp;"'"&amp;"!c:c"))))</f>
        <v>0.32</v>
      </c>
      <c r="E35" s="1785" t="s">
        <v>1311</v>
      </c>
      <c r="F35" s="153"/>
      <c r="G35" s="128"/>
      <c r="H35" s="128"/>
      <c r="I35" s="128"/>
    </row>
    <row r="36" spans="1:15" ht="15.75" thickBot="1">
      <c r="A36" s="3616" t="s">
        <v>1312</v>
      </c>
      <c r="B36" s="1786" t="s">
        <v>1313</v>
      </c>
      <c r="C36" s="144"/>
      <c r="D36" s="1787"/>
      <c r="E36" s="1788"/>
      <c r="F36" s="1789"/>
      <c r="G36" s="128"/>
      <c r="H36" s="128"/>
      <c r="I36" s="128"/>
    </row>
    <row r="37" spans="1:15" ht="15.75" thickBot="1">
      <c r="A37" s="3617"/>
      <c r="B37" s="1673" t="s">
        <v>1314</v>
      </c>
      <c r="C37" s="146"/>
      <c r="D37" s="1138"/>
      <c r="E37" s="1138"/>
      <c r="F37" s="1789"/>
      <c r="G37" s="128"/>
      <c r="H37" s="128"/>
      <c r="I37" s="128"/>
    </row>
    <row r="38" spans="1:15" ht="15.75" thickBot="1">
      <c r="A38" s="361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6" t="s">
        <v>1326</v>
      </c>
      <c r="B45" s="3637"/>
      <c r="C45" s="3638"/>
      <c r="D45" s="154">
        <f ca="1">ROUND(H101*F45,0)</f>
        <v>93527</v>
      </c>
      <c r="E45" s="155" t="s">
        <v>1327</v>
      </c>
      <c r="F45" s="156">
        <v>0.56000000000000005</v>
      </c>
      <c r="G45" s="157" t="s">
        <v>1328</v>
      </c>
      <c r="H45" s="128"/>
      <c r="I45" s="128"/>
      <c r="J45" s="3556" t="s">
        <v>1329</v>
      </c>
      <c r="K45" s="3556"/>
      <c r="L45" s="3556"/>
      <c r="M45" s="3556"/>
      <c r="N45" s="3556"/>
      <c r="O45" s="3556"/>
    </row>
    <row r="46" spans="1:15" ht="14.25" customHeight="1">
      <c r="A46" s="3633" t="s">
        <v>1330</v>
      </c>
      <c r="B46" s="3634"/>
      <c r="C46" s="3634"/>
      <c r="D46" s="3634"/>
      <c r="E46" s="3634"/>
      <c r="F46" s="3634"/>
      <c r="G46" s="3635"/>
      <c r="H46" s="1805"/>
      <c r="I46" s="158"/>
      <c r="J46" s="2522">
        <v>1</v>
      </c>
      <c r="K46" s="3557" t="s">
        <v>1331</v>
      </c>
      <c r="L46" s="3557"/>
      <c r="M46" s="3558"/>
      <c r="N46" s="3558"/>
      <c r="O46" s="3558"/>
    </row>
    <row r="47" spans="1:15" ht="12" customHeight="1">
      <c r="A47" s="159" t="s">
        <v>1332</v>
      </c>
      <c r="B47" s="160"/>
      <c r="C47" s="161"/>
      <c r="D47" s="1086" t="s">
        <v>1333</v>
      </c>
      <c r="E47" s="301" t="s">
        <v>1334</v>
      </c>
      <c r="F47" s="162" t="s">
        <v>1335</v>
      </c>
      <c r="G47" s="2545" t="s">
        <v>1336</v>
      </c>
      <c r="H47" s="2546"/>
      <c r="I47" s="158"/>
      <c r="J47" s="2522">
        <v>2</v>
      </c>
      <c r="K47" s="3557" t="s">
        <v>1337</v>
      </c>
      <c r="L47" s="3557"/>
      <c r="M47" s="3559">
        <f>'数据-取费表'!B2</f>
        <v>45023</v>
      </c>
      <c r="N47" s="3559"/>
      <c r="O47" s="3559"/>
    </row>
    <row r="48" spans="1:15" ht="25.5">
      <c r="A48" s="3619" t="s">
        <v>1338</v>
      </c>
      <c r="B48" s="3620"/>
      <c r="C48" s="3620"/>
      <c r="D48" s="2323">
        <f ca="1">IF(H48="情况1",0,IF(H48="情况2",D52,IF(H48="情况3",D53,IF(H48="情况4",D54))))</f>
        <v>263</v>
      </c>
      <c r="E48" s="2333" t="str">
        <f>IF(H48="情况4","(销售额-原购置价)×税（费）率","销售额×税（费）率")</f>
        <v>(销售额-原购置价)×税（费）率</v>
      </c>
      <c r="F48" s="2547">
        <f>IF(H48="情况1","免征",'数据-取费表'!B41)</f>
        <v>5.6000000000000001E-2</v>
      </c>
      <c r="G48" s="2548" t="s">
        <v>1339</v>
      </c>
      <c r="H48" s="2549" t="s">
        <v>3422</v>
      </c>
      <c r="I48" s="1805"/>
      <c r="J48" s="2522">
        <v>3</v>
      </c>
      <c r="K48" s="3557" t="s">
        <v>1340</v>
      </c>
      <c r="L48" s="3557"/>
      <c r="M48" s="3560">
        <f ca="1">H101</f>
        <v>167013</v>
      </c>
      <c r="N48" s="3560"/>
      <c r="O48" s="3560"/>
    </row>
    <row r="49" spans="1:35" ht="25.5" customHeight="1">
      <c r="A49" s="2332" t="s">
        <v>1341</v>
      </c>
      <c r="B49" s="3605" t="s">
        <v>1342</v>
      </c>
      <c r="C49" s="3605"/>
      <c r="D49" s="1589">
        <v>0</v>
      </c>
      <c r="E49" s="323" t="s">
        <v>1343</v>
      </c>
      <c r="F49" s="2423" t="s">
        <v>28</v>
      </c>
      <c r="G49" s="3588"/>
      <c r="H49" s="2309" t="s">
        <v>2134</v>
      </c>
      <c r="I49" s="2310"/>
      <c r="J49" s="2522">
        <v>4</v>
      </c>
      <c r="K49" s="3557" t="str">
        <f>IF(项目基本情况!E8="房地产抵押价值","房地产抵押价值","抵押担保权已注销时的房地产抵押价值")</f>
        <v>房地产抵押价值</v>
      </c>
      <c r="L49" s="3557"/>
      <c r="M49" s="3560">
        <f ca="1">IF(项目基本情况!E8="房地产抵押价值",H107,H109)</f>
        <v>167013</v>
      </c>
      <c r="N49" s="3560"/>
      <c r="O49" s="3560"/>
    </row>
    <row r="50" spans="1:35" ht="25.5" customHeight="1">
      <c r="A50" s="2550"/>
      <c r="B50" s="3605" t="s">
        <v>1344</v>
      </c>
      <c r="C50" s="3605"/>
      <c r="D50" s="2551"/>
      <c r="E50" s="331"/>
      <c r="F50" s="2423"/>
      <c r="G50" s="3589"/>
      <c r="H50" s="2311" t="s">
        <v>2135</v>
      </c>
      <c r="I50" s="2310"/>
      <c r="J50" s="3556" t="s">
        <v>1345</v>
      </c>
      <c r="K50" s="3556"/>
      <c r="L50" s="3556"/>
      <c r="M50" s="3556"/>
      <c r="N50" s="3556"/>
      <c r="O50" s="3556"/>
    </row>
    <row r="51" spans="1:35" ht="20.45" customHeight="1">
      <c r="A51" s="2552"/>
      <c r="B51" s="3605" t="s">
        <v>1346</v>
      </c>
      <c r="C51" s="3605"/>
      <c r="D51" s="1086"/>
      <c r="E51" s="326"/>
      <c r="F51" s="2423"/>
      <c r="G51" s="3590"/>
      <c r="H51" s="2311" t="s">
        <v>2136</v>
      </c>
      <c r="I51" s="2310"/>
      <c r="J51" s="2523" t="s">
        <v>1347</v>
      </c>
      <c r="K51" s="3557" t="s">
        <v>1348</v>
      </c>
      <c r="L51" s="3557"/>
      <c r="M51" s="2523" t="s">
        <v>1349</v>
      </c>
      <c r="N51" s="2523" t="s">
        <v>1350</v>
      </c>
      <c r="O51" s="2523" t="s">
        <v>1351</v>
      </c>
    </row>
    <row r="52" spans="1:35" ht="24" customHeight="1">
      <c r="A52" s="2334" t="s">
        <v>1352</v>
      </c>
      <c r="B52" s="3605" t="s">
        <v>1353</v>
      </c>
      <c r="C52" s="3605"/>
      <c r="D52" s="1086">
        <f ca="1">ROUND(D45*'数据-取费表'!B41/(1+'数据-取费表'!C42),0)</f>
        <v>4988</v>
      </c>
      <c r="E52" s="2333" t="s">
        <v>1354</v>
      </c>
      <c r="F52" s="2553">
        <f>'数据-取费表'!B41</f>
        <v>5.6000000000000001E-2</v>
      </c>
      <c r="G52" s="2554"/>
      <c r="H52" s="2543"/>
      <c r="I52" s="1806"/>
      <c r="J52" s="2522">
        <v>1</v>
      </c>
      <c r="K52" s="3582" t="s">
        <v>1355</v>
      </c>
      <c r="L52" s="3582"/>
      <c r="M52" s="2524">
        <f ca="1">D48</f>
        <v>263</v>
      </c>
      <c r="N52" s="2522" t="str">
        <f>E48</f>
        <v>(销售额-原购置价)×税（费）率</v>
      </c>
      <c r="O52" s="2525">
        <f>F48</f>
        <v>5.6000000000000001E-2</v>
      </c>
    </row>
    <row r="53" spans="1:35" ht="12" customHeight="1">
      <c r="A53" s="2334" t="s">
        <v>1356</v>
      </c>
      <c r="B53" s="3606" t="s">
        <v>2291</v>
      </c>
      <c r="C53" s="3607"/>
      <c r="D53" s="1086">
        <f ca="1">ROUND(D45*'数据-取费表'!B41/(1+'数据-取费表'!C42),0)</f>
        <v>4988</v>
      </c>
      <c r="E53" s="2333" t="s">
        <v>1354</v>
      </c>
      <c r="F53" s="2553">
        <f>'数据-取费表'!B41</f>
        <v>5.6000000000000001E-2</v>
      </c>
      <c r="G53" s="2554"/>
      <c r="H53" s="2543"/>
      <c r="I53" s="1806"/>
      <c r="J53" s="2522">
        <v>2</v>
      </c>
      <c r="K53" s="3582" t="s">
        <v>1357</v>
      </c>
      <c r="L53" s="3582"/>
      <c r="M53" s="2524">
        <f t="shared" ref="M53:O54" ca="1" si="0">D55</f>
        <v>47</v>
      </c>
      <c r="N53" s="2522" t="str">
        <f t="shared" si="0"/>
        <v>销售额×税（费）率</v>
      </c>
      <c r="O53" s="2525">
        <f t="shared" si="0"/>
        <v>5.0000000000000001E-4</v>
      </c>
    </row>
    <row r="54" spans="1:35" ht="12" customHeight="1">
      <c r="A54" s="2334" t="s">
        <v>1358</v>
      </c>
      <c r="B54" s="3606" t="s">
        <v>2292</v>
      </c>
      <c r="C54" s="3607"/>
      <c r="D54" s="1086">
        <f ca="1">C68</f>
        <v>263</v>
      </c>
      <c r="E54" s="326" t="s">
        <v>1359</v>
      </c>
      <c r="F54" s="2553">
        <f>'数据-取费表'!B41</f>
        <v>5.6000000000000001E-2</v>
      </c>
      <c r="G54" s="2554"/>
      <c r="H54" s="2555"/>
      <c r="I54" s="1806"/>
      <c r="J54" s="2522">
        <v>3</v>
      </c>
      <c r="K54" s="3582" t="s">
        <v>1360</v>
      </c>
      <c r="L54" s="3582"/>
      <c r="M54" s="2524">
        <f t="shared" ca="1" si="0"/>
        <v>0</v>
      </c>
      <c r="N54" s="2522" t="str">
        <f t="shared" si="0"/>
        <v>增值额×税（费）率</v>
      </c>
      <c r="O54" s="2526" t="str">
        <f t="shared" si="0"/>
        <v>——</v>
      </c>
    </row>
    <row r="55" spans="1:35" ht="24" customHeight="1">
      <c r="A55" s="3642" t="s">
        <v>1361</v>
      </c>
      <c r="B55" s="3620"/>
      <c r="C55" s="3620"/>
      <c r="D55" s="2323">
        <f ca="1">IF(H55="个人住宅",0,ROUND(D45*I55,0))</f>
        <v>47</v>
      </c>
      <c r="E55" s="2333" t="s">
        <v>1362</v>
      </c>
      <c r="F55" s="2553">
        <f>IF(H55="正常",I55,"免征")</f>
        <v>5.0000000000000001E-4</v>
      </c>
      <c r="G55" s="2554"/>
      <c r="H55" s="2549" t="s">
        <v>3423</v>
      </c>
      <c r="I55" s="164">
        <f>'数据-取费表'!B49</f>
        <v>5.0000000000000001E-4</v>
      </c>
      <c r="J55" s="2522" t="str">
        <f>IF(H59="非个人房产","",4)</f>
        <v/>
      </c>
      <c r="K55" s="3582" t="str">
        <f>IF(H59="非个人房产","——","个人所得税")</f>
        <v>——</v>
      </c>
      <c r="L55" s="3582"/>
      <c r="M55" s="2527" t="str">
        <f>D59</f>
        <v>——</v>
      </c>
      <c r="N55" s="2039" t="str">
        <f>E59</f>
        <v>——</v>
      </c>
      <c r="O55" s="2528" t="str">
        <f>F59</f>
        <v>——</v>
      </c>
    </row>
    <row r="56" spans="1:35" ht="24.75">
      <c r="A56" s="3642" t="s">
        <v>1363</v>
      </c>
      <c r="B56" s="3620"/>
      <c r="C56" s="3620"/>
      <c r="D56" s="2323">
        <f ca="1">IF(H56="个人住宅",D57,D58)</f>
        <v>0</v>
      </c>
      <c r="E56" s="2333" t="s">
        <v>1364</v>
      </c>
      <c r="F56" s="2553" t="str">
        <f>IF(H56="正常",F58,"免征")</f>
        <v>——</v>
      </c>
      <c r="G56" s="2556" t="s">
        <v>1365</v>
      </c>
      <c r="H56" s="2557" t="s">
        <v>3423</v>
      </c>
      <c r="I56" s="1807"/>
      <c r="J56" s="2522" t="str">
        <f>IF(项目基本情况!K6="上海银行",IF(J55="",4,J55+1),"")</f>
        <v/>
      </c>
      <c r="K56" s="3563" t="str">
        <f>IF(项目基本情况!K6="上海银行","其他处置费用","")</f>
        <v/>
      </c>
      <c r="L56" s="3564"/>
      <c r="M56" s="2524" t="str">
        <f>IF(项目基本情况!K6="上海银行",M69,"")</f>
        <v/>
      </c>
      <c r="N56" s="3563" t="str">
        <f>IF(项目基本情况!K6="上海银行","包含处置中涉及的律师、诉讼、拍卖、评估等费用","")</f>
        <v/>
      </c>
      <c r="O56" s="3566"/>
    </row>
    <row r="57" spans="1:35" ht="12.75">
      <c r="A57" s="2334" t="s">
        <v>1341</v>
      </c>
      <c r="B57" s="3606" t="s">
        <v>1366</v>
      </c>
      <c r="C57" s="3607"/>
      <c r="D57" s="1589">
        <v>0</v>
      </c>
      <c r="E57" s="323" t="s">
        <v>1343</v>
      </c>
      <c r="F57" s="301"/>
      <c r="G57" s="2554"/>
      <c r="H57" s="2558"/>
      <c r="I57" s="1807"/>
      <c r="J57" s="3582">
        <f>IF(AND(J55="",J56=""),4,IF(项目基本情况!K6="上海银行",结果表!J56+1,结果表!J55+1))</f>
        <v>4</v>
      </c>
      <c r="K57" s="3582" t="s">
        <v>1367</v>
      </c>
      <c r="L57" s="2529" t="s">
        <v>1368</v>
      </c>
      <c r="M57" s="2530"/>
      <c r="N57" s="2531">
        <f ca="1">SUMIF(M52:M56,"&lt;9e307")</f>
        <v>310</v>
      </c>
      <c r="O57" s="2532"/>
      <c r="P57" s="2689">
        <f ca="1">N57/M49</f>
        <v>1.8561429349811093E-3</v>
      </c>
    </row>
    <row r="58" spans="1:35" ht="24.75">
      <c r="A58" s="2334" t="s">
        <v>1352</v>
      </c>
      <c r="B58" s="3606" t="s">
        <v>1369</v>
      </c>
      <c r="C58" s="3605"/>
      <c r="D58" s="2323">
        <f ca="1">IF(H58="转让取得",C81,C97)</f>
        <v>0</v>
      </c>
      <c r="E58" s="2333" t="s">
        <v>1364</v>
      </c>
      <c r="F58" s="301" t="s">
        <v>28</v>
      </c>
      <c r="G58" s="2554"/>
      <c r="H58" s="2557" t="s">
        <v>3424</v>
      </c>
      <c r="I58" s="1807"/>
      <c r="J58" s="3582"/>
      <c r="K58" s="3582"/>
      <c r="L58" s="2529" t="s">
        <v>1370</v>
      </c>
      <c r="M58" s="2533"/>
      <c r="N58" s="2534" t="str">
        <f ca="1">NUMBERSTRING(INT(N57*10000),2)&amp;"元整"</f>
        <v>叁佰壹拾万元整</v>
      </c>
      <c r="O58" s="2535"/>
    </row>
    <row r="59" spans="1:35" ht="24.75" thickBot="1">
      <c r="A59" s="3586" t="s">
        <v>1371</v>
      </c>
      <c r="B59" s="3587"/>
      <c r="C59" s="358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3427</v>
      </c>
      <c r="I59" s="2312" t="s">
        <v>2137</v>
      </c>
      <c r="J59" s="3584">
        <f>J57+1</f>
        <v>5</v>
      </c>
      <c r="K59" s="3582" t="s">
        <v>1372</v>
      </c>
      <c r="L59" s="2522" t="s">
        <v>1368</v>
      </c>
      <c r="M59" s="2536"/>
      <c r="N59" s="2537">
        <f ca="1">M49-N57</f>
        <v>166703</v>
      </c>
      <c r="O59" s="2538"/>
    </row>
    <row r="60" spans="1:35" ht="12" customHeight="1">
      <c r="A60" s="1808"/>
      <c r="B60" s="1746"/>
      <c r="C60" s="1746"/>
      <c r="D60" s="1746"/>
      <c r="E60" s="1577"/>
      <c r="F60" s="1807"/>
      <c r="G60" s="1807"/>
      <c r="H60" s="1809"/>
      <c r="I60" s="128"/>
      <c r="J60" s="3585"/>
      <c r="K60" s="3582"/>
      <c r="L60" s="2529" t="s">
        <v>1370</v>
      </c>
      <c r="M60" s="2533"/>
      <c r="N60" s="2534" t="str">
        <f ca="1">NUMBERSTRING(INT(N59*10000),2)&amp;"元整"</f>
        <v>壹拾陆亿陆仟柒佰零叁万元整</v>
      </c>
      <c r="O60" s="2535"/>
    </row>
    <row r="61" spans="1:35" ht="13.5" thickBot="1">
      <c r="A61" s="3641" t="s">
        <v>1373</v>
      </c>
      <c r="B61" s="3641"/>
      <c r="C61" s="3641"/>
      <c r="D61" s="3641"/>
      <c r="E61" s="3641"/>
      <c r="F61" s="1807"/>
      <c r="G61" s="1807"/>
      <c r="H61" s="1809"/>
      <c r="I61" s="128"/>
      <c r="J61" s="2522">
        <f>J59+1</f>
        <v>6</v>
      </c>
      <c r="K61" s="3582" t="s">
        <v>1374</v>
      </c>
      <c r="L61" s="3582"/>
      <c r="M61" s="2539"/>
      <c r="N61" s="2540">
        <f ca="1">ROUND(N59*10000/'数据-汇总表'!E3,0)</f>
        <v>39255</v>
      </c>
      <c r="O61" s="2541"/>
    </row>
    <row r="62" spans="1:35" ht="12.75">
      <c r="A62" s="3601" t="s">
        <v>1375</v>
      </c>
      <c r="B62" s="3602"/>
      <c r="C62" s="2020"/>
      <c r="D62" s="2020" t="s">
        <v>1376</v>
      </c>
      <c r="E62" s="165" t="s">
        <v>1377</v>
      </c>
      <c r="F62" s="1807"/>
      <c r="G62" s="1807"/>
      <c r="H62" s="1809"/>
      <c r="I62" s="128"/>
    </row>
    <row r="63" spans="1:35" ht="12.75">
      <c r="A63" s="172" t="s">
        <v>330</v>
      </c>
      <c r="B63" s="166" t="s">
        <v>1378</v>
      </c>
      <c r="C63" s="2563">
        <f ca="1">ROUND((C64+C65)/(1+'数据-取费表'!C42),0)</f>
        <v>89073</v>
      </c>
      <c r="D63" s="166"/>
      <c r="E63" s="167"/>
      <c r="F63" s="1807"/>
      <c r="G63" s="1807"/>
      <c r="H63" s="1809"/>
      <c r="I63" s="128"/>
      <c r="J63" s="3565" t="s">
        <v>1379</v>
      </c>
      <c r="K63" s="1331" t="s">
        <v>1380</v>
      </c>
      <c r="L63" s="1331">
        <f ca="1">IF(M49&gt;10000,M49*0.5%,IF(AND(M49&gt;1000,M49&lt;=10000),M49*1%,IF(AND(M49&gt;100,M49&lt;=1000),M49*3%,IF(AND(M49&gt;10,M49&lt;=100),M49*5%,M49*8%))))</f>
        <v>835.06500000000005</v>
      </c>
      <c r="M63" s="301">
        <f ca="1">ROUND(L63,1)</f>
        <v>835.1</v>
      </c>
      <c r="N63" s="2542"/>
      <c r="Z63" s="1751"/>
      <c r="AI63" s="1752"/>
    </row>
    <row r="64" spans="1:35" ht="14.25" customHeight="1">
      <c r="A64" s="168" t="s">
        <v>325</v>
      </c>
      <c r="B64" s="169" t="s">
        <v>1381</v>
      </c>
      <c r="C64" s="2564">
        <f ca="1">D45</f>
        <v>93527</v>
      </c>
      <c r="D64" s="169" t="s">
        <v>26</v>
      </c>
      <c r="E64" s="171"/>
      <c r="F64" s="1807"/>
      <c r="G64" s="1807"/>
      <c r="H64" s="1809"/>
      <c r="I64" s="128"/>
      <c r="J64" s="3565"/>
      <c r="K64" s="1331" t="s">
        <v>1382</v>
      </c>
      <c r="L64" s="1331">
        <f ca="1">IF(M49&gt;2000,M49*0.5%,IF(AND(M49&gt;1000,M49&lt;=2000),M49*0.6%,IF(AND(M49&gt;500,M49&lt;=1000),M49*0.7%,IF(AND(M49&gt;200,M49&lt;=500),M49*0.8%,IF(AND(M49&gt;100,M49&lt;=200),M49*0.9%,IF(AND(M49&gt;50,M49&lt;=100),M49*1%,IF(AND(M49&gt;20,M49&lt;=50),M49*1.5%,IF(AND(M49&gt;10,M49&lt;=20),M49*2%,IF(AND(M49&gt;1,M49&lt;=10),M49*2.5%)))))))))</f>
        <v>835.06500000000005</v>
      </c>
      <c r="M64" s="301">
        <f t="shared" ref="M64:M65" ca="1" si="1">ROUND(L64,1)</f>
        <v>835.1</v>
      </c>
      <c r="N64" s="2543" t="s">
        <v>1383</v>
      </c>
      <c r="Z64" s="1751"/>
      <c r="AI64" s="1752"/>
    </row>
    <row r="65" spans="1:35" ht="14.25" customHeight="1">
      <c r="A65" s="168" t="s">
        <v>326</v>
      </c>
      <c r="B65" s="169" t="s">
        <v>1384</v>
      </c>
      <c r="C65" s="2565"/>
      <c r="D65" s="169"/>
      <c r="E65" s="171"/>
      <c r="F65" s="1807"/>
      <c r="G65" s="1807"/>
      <c r="H65" s="1809"/>
      <c r="I65" s="128"/>
      <c r="J65" s="3565"/>
      <c r="K65" s="1331" t="s">
        <v>1385</v>
      </c>
      <c r="L65" s="1331">
        <f ca="1">IF(M49&gt;1000,M49*0.1%,IF(AND(M49&gt;500,M49&lt;=1000),M49*0.5%,IF(AND(M49&gt;50,M49&lt;=500),M49*1%,IF(AND(M49&gt;1,M49&lt;=50),M49*1.5%))))</f>
        <v>167.01300000000001</v>
      </c>
      <c r="M65" s="301">
        <f t="shared" ca="1" si="1"/>
        <v>167</v>
      </c>
      <c r="N65" s="2543" t="s">
        <v>1383</v>
      </c>
      <c r="Z65" s="1751"/>
      <c r="AI65" s="1752"/>
    </row>
    <row r="66" spans="1:35" ht="14.25" customHeight="1">
      <c r="A66" s="172" t="s">
        <v>327</v>
      </c>
      <c r="B66" s="173" t="s">
        <v>1386</v>
      </c>
      <c r="C66" s="2566">
        <f>88602/1.05</f>
        <v>84382.857142857145</v>
      </c>
      <c r="D66" s="173" t="s">
        <v>26</v>
      </c>
      <c r="E66" s="1337" t="s">
        <v>671</v>
      </c>
      <c r="F66" s="1807"/>
      <c r="G66" s="1807"/>
      <c r="H66" s="1809"/>
      <c r="I66" s="128"/>
      <c r="J66" s="3565"/>
      <c r="K66" s="1331" t="s">
        <v>1387</v>
      </c>
      <c r="L66" s="1331">
        <f ca="1">M49*0.5%</f>
        <v>835.06500000000005</v>
      </c>
      <c r="M66" s="301">
        <f ca="1">IF(L66&gt;0.5,0.5,ROUND(L66,0))</f>
        <v>0.5</v>
      </c>
      <c r="N66" s="2543" t="s">
        <v>1388</v>
      </c>
      <c r="Z66" s="1751"/>
      <c r="AI66" s="1752"/>
    </row>
    <row r="67" spans="1:35" ht="14.25" customHeight="1">
      <c r="A67" s="172" t="s">
        <v>328</v>
      </c>
      <c r="B67" s="173" t="s">
        <v>1389</v>
      </c>
      <c r="C67" s="2567">
        <f ca="1">C63-C66</f>
        <v>4690.1428571428551</v>
      </c>
      <c r="D67" s="169" t="s">
        <v>26</v>
      </c>
      <c r="E67" s="171"/>
      <c r="F67" s="1807"/>
      <c r="G67" s="1807"/>
      <c r="H67" s="1809"/>
      <c r="I67" s="128"/>
      <c r="J67" s="3565"/>
      <c r="K67" s="1331" t="s">
        <v>1390</v>
      </c>
      <c r="L67" s="1331">
        <f ca="1">IF(M49&gt;=10000,(8.25+(M49-10000)*0.01%),IF(AND(M49&gt;=8000,M49&lt;10000),(7.85+(M49-8000)*0.02%),IF(AND(M49&gt;=5000,M49&lt;8000),(6.65+(M49-5000)*0.04%),IF(AND(M49&gt;=2000,M49&lt;5000),(4.25+(PM49-2000)*0.08%),IF(AND(M49&gt;=1000,M49&lt;2000),(2.75+(M49-1000)*0.15%),IF(AND(M49&gt;=100,M49&lt;1000),(0.5+(M49-100)*0.25%),IF(AND(M49&gt;0,M49&lt;100),M49*0.5%)))))))</f>
        <v>23.951300000000003</v>
      </c>
      <c r="M67" s="301">
        <f ca="1">ROUND(L67*0.9,1)</f>
        <v>21.6</v>
      </c>
      <c r="N67" s="2542"/>
      <c r="Z67" s="1751"/>
      <c r="AI67" s="1752"/>
    </row>
    <row r="68" spans="1:35" ht="14.25" customHeight="1" thickBot="1">
      <c r="A68" s="175" t="s">
        <v>329</v>
      </c>
      <c r="B68" s="176" t="s">
        <v>1391</v>
      </c>
      <c r="C68" s="2568">
        <f ca="1">IF(C67&lt;=0,0,ROUND(C67*D68,0))</f>
        <v>263</v>
      </c>
      <c r="D68" s="2569">
        <f>'数据-取费表'!B41</f>
        <v>5.6000000000000001E-2</v>
      </c>
      <c r="E68" s="177"/>
      <c r="F68" s="1807"/>
      <c r="G68" s="1807"/>
      <c r="H68" s="1809"/>
      <c r="I68" s="128"/>
      <c r="J68" s="3565"/>
      <c r="K68" s="1331" t="s">
        <v>1392</v>
      </c>
      <c r="L68" s="1331">
        <f ca="1">IF(M49&gt;10000,M49*0.5%,IF(AND(M49&gt;5000,M49&lt;=10000),M49*1%,IF(AND(M49&gt;1000,M49&lt;=5000),M49*2%,IF(AND(M49&gt;200,M49&lt;=1000),M49*3%,M49*5%))))</f>
        <v>835.06500000000005</v>
      </c>
      <c r="M68" s="301">
        <f ca="1">ROUND(L68,1)</f>
        <v>835.1</v>
      </c>
      <c r="N68" s="2542"/>
      <c r="Z68" s="1751"/>
      <c r="AI68" s="1752"/>
    </row>
    <row r="69" spans="1:35" s="1771" customFormat="1" ht="16.5" customHeight="1">
      <c r="A69" s="1810"/>
      <c r="B69" s="1811"/>
      <c r="C69" s="1812"/>
      <c r="D69" s="1813"/>
      <c r="E69" s="1814"/>
      <c r="F69" s="1577"/>
      <c r="G69" s="1577"/>
      <c r="H69" s="1576"/>
      <c r="I69" s="1746"/>
      <c r="J69" s="3565"/>
      <c r="K69" s="1331" t="s">
        <v>1393</v>
      </c>
      <c r="L69" s="1331"/>
      <c r="M69" s="301">
        <f ca="1">ROUND(SUM(M63:M68),0)</f>
        <v>2694</v>
      </c>
      <c r="N69" s="2544">
        <f ca="1">M69/M49</f>
        <v>1.6130480860771318E-2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9" t="s">
        <v>1394</v>
      </c>
      <c r="B70" s="3610"/>
      <c r="C70" s="3610"/>
      <c r="D70" s="3610"/>
      <c r="E70" s="3610"/>
      <c r="F70" s="3610"/>
      <c r="G70" s="3610"/>
      <c r="H70" s="361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89073</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C74+C78+16622.04</f>
        <v>126264.04000000001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109108</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f>88602</f>
        <v>88602</v>
      </c>
      <c r="D75" s="169" t="s">
        <v>26</v>
      </c>
      <c r="E75" s="183" t="s">
        <v>1399</v>
      </c>
      <c r="F75" s="2571" t="s">
        <v>3425</v>
      </c>
      <c r="G75" s="183" t="s">
        <v>1400</v>
      </c>
      <c r="H75" s="2572">
        <v>5</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22151</v>
      </c>
      <c r="D76" s="2573">
        <v>0.05</v>
      </c>
      <c r="E76" s="3606" t="s">
        <v>1402</v>
      </c>
      <c r="F76" s="3605"/>
      <c r="G76" s="3605"/>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2574</v>
      </c>
      <c r="D77" s="2574">
        <f>'数据-取费表'!B48+'数据-取费表'!B49</f>
        <v>3.0499999999999999E-2</v>
      </c>
      <c r="E77" s="2323" t="s">
        <v>1404</v>
      </c>
      <c r="F77" s="185"/>
      <c r="G77" s="1821" t="s">
        <v>3426</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534</v>
      </c>
      <c r="D78" s="2576">
        <f>'数据-取费表'!B43</f>
        <v>6.000000000000001E-3</v>
      </c>
      <c r="E78" s="3598" t="s">
        <v>1406</v>
      </c>
      <c r="F78" s="3599"/>
      <c r="G78" s="3599"/>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-37191.040000000008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9" t="s">
        <v>1410</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89073</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534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7" t="s">
        <v>2129</v>
      </c>
      <c r="H90" s="356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98" t="s">
        <v>1419</v>
      </c>
      <c r="F91" s="3599"/>
      <c r="G91" s="359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98" t="s">
        <v>1422</v>
      </c>
      <c r="F92" s="3599"/>
      <c r="G92" s="3599"/>
      <c r="H92" s="360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534</v>
      </c>
      <c r="D93" s="2576">
        <f>'数据-取费表'!B43</f>
        <v>6.000000000000001E-3</v>
      </c>
      <c r="E93" s="3598" t="s">
        <v>1406</v>
      </c>
      <c r="F93" s="3599"/>
      <c r="G93" s="3599"/>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3" t="s">
        <v>1426</v>
      </c>
      <c r="F94" s="3644"/>
      <c r="G94" s="3644"/>
      <c r="H94" s="364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88539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165.80337078651687</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52937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8" t="s">
        <v>1428</v>
      </c>
      <c r="B100" s="3549"/>
      <c r="C100" s="3549"/>
      <c r="D100" s="3583"/>
      <c r="E100" s="3549" t="s">
        <v>1429</v>
      </c>
      <c r="F100" s="3549"/>
      <c r="G100" s="3549"/>
      <c r="H100" s="3583"/>
      <c r="I100" s="128"/>
    </row>
    <row r="101" spans="1:35" ht="18.75" customHeight="1">
      <c r="A101" s="3591" t="s">
        <v>1430</v>
      </c>
      <c r="B101" s="3592"/>
      <c r="C101" s="2584" t="str">
        <f>C4</f>
        <v>成本法</v>
      </c>
      <c r="D101" s="2585" t="str">
        <f>D4</f>
        <v>收益法（汇总）</v>
      </c>
      <c r="E101" s="3561" t="s">
        <v>1431</v>
      </c>
      <c r="F101" s="3562"/>
      <c r="G101" s="1826" t="s">
        <v>1432</v>
      </c>
      <c r="H101" s="2594">
        <f ca="1">H118</f>
        <v>167013</v>
      </c>
      <c r="I101" s="128"/>
    </row>
    <row r="102" spans="1:35" ht="18.75" customHeight="1">
      <c r="A102" s="3593" t="s">
        <v>1433</v>
      </c>
      <c r="B102" s="2583" t="s">
        <v>1432</v>
      </c>
      <c r="C102" s="2584">
        <f ca="1">IF(D32="楼面单价",ROUND(C19,0),C19)</f>
        <v>94136</v>
      </c>
      <c r="D102" s="2585">
        <f ca="1">IF(D32="楼面单价",ROUND(D19,0),D19)</f>
        <v>198246</v>
      </c>
      <c r="E102" s="3561"/>
      <c r="F102" s="3562"/>
      <c r="G102" s="1826" t="s">
        <v>1434</v>
      </c>
      <c r="H102" s="2554">
        <f ca="1">I118</f>
        <v>39328</v>
      </c>
      <c r="I102" s="128"/>
    </row>
    <row r="103" spans="1:35" ht="42.75" customHeight="1">
      <c r="A103" s="3593"/>
      <c r="B103" s="2583" t="s">
        <v>1434</v>
      </c>
      <c r="C103" s="2586">
        <f ca="1">C20</f>
        <v>22167</v>
      </c>
      <c r="D103" s="2587">
        <f ca="1">D20</f>
        <v>46683</v>
      </c>
      <c r="E103" s="3554" t="s">
        <v>1435</v>
      </c>
      <c r="F103" s="3555"/>
      <c r="G103" s="1827" t="s">
        <v>1436</v>
      </c>
      <c r="H103" s="2594">
        <f>IF(D36="正常操作",H104+H105+H106,H105+H106)</f>
        <v>0</v>
      </c>
      <c r="I103" s="128"/>
    </row>
    <row r="104" spans="1:35" ht="18.75" customHeight="1">
      <c r="A104" s="3593" t="s">
        <v>1437</v>
      </c>
      <c r="B104" s="2588" t="s">
        <v>1432</v>
      </c>
      <c r="C104" s="2589">
        <f ca="1">H118</f>
        <v>167013</v>
      </c>
      <c r="D104" s="2590"/>
      <c r="E104" s="1673" t="s">
        <v>1438</v>
      </c>
      <c r="F104" s="1665"/>
      <c r="G104" s="1827" t="s">
        <v>1436</v>
      </c>
      <c r="H104" s="2595">
        <f>IF(D36="同一抵押权人同一抵押物续贷",C36&amp;"（续贷，未扣减，详见特别提示）",C36)</f>
        <v>0</v>
      </c>
      <c r="I104" s="128"/>
    </row>
    <row r="105" spans="1:35" ht="18.75" customHeight="1" thickBot="1">
      <c r="A105" s="3603"/>
      <c r="B105" s="2591" t="s">
        <v>1434</v>
      </c>
      <c r="C105" s="2592">
        <f ca="1">I118</f>
        <v>39328</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4" t="str">
        <f>IF(项目基本情况!E8="已注销","——","3.房地产抵押价值")</f>
        <v>3.房地产抵押价值</v>
      </c>
      <c r="F107" s="3562"/>
      <c r="G107" s="1826" t="s">
        <v>1432</v>
      </c>
      <c r="H107" s="2594">
        <f ca="1">IF(E107="——","——",H101-H103)</f>
        <v>167013</v>
      </c>
      <c r="I107" s="128"/>
    </row>
    <row r="108" spans="1:35" ht="18.75" customHeight="1">
      <c r="A108" s="128"/>
      <c r="B108" s="128"/>
      <c r="C108" s="128"/>
      <c r="D108" s="128"/>
      <c r="E108" s="3594"/>
      <c r="F108" s="3562"/>
      <c r="G108" s="1826" t="s">
        <v>1434</v>
      </c>
      <c r="H108" s="2554">
        <f ca="1">IF(H107=H101,H102,ROUND(H107*10000/'数据-汇总表'!E3,0))</f>
        <v>39328</v>
      </c>
      <c r="I108" s="128"/>
    </row>
    <row r="109" spans="1:35" ht="18.75" customHeight="1">
      <c r="A109" s="128"/>
      <c r="B109" s="128"/>
      <c r="C109" s="128"/>
      <c r="D109" s="128"/>
      <c r="E109" s="3594" t="str">
        <f>IF(项目基本情况!E8="已注销及未注销","4.抵押担保权已注销时的房地产抵押价值",IF(项目基本情况!E8="已注销","3.抵押担保权已注销时的房地产抵押价值","——"))</f>
        <v>——</v>
      </c>
      <c r="F109" s="3562"/>
      <c r="G109" s="1826" t="s">
        <v>1432</v>
      </c>
      <c r="H109" s="2597" t="str">
        <f>IF(E109="——","——",H101-H105-H106)</f>
        <v>——</v>
      </c>
      <c r="I109" s="128"/>
    </row>
    <row r="110" spans="1:35" ht="18.75" customHeight="1">
      <c r="A110" s="128"/>
      <c r="B110" s="128"/>
      <c r="C110" s="128"/>
      <c r="D110" s="128"/>
      <c r="E110" s="3594"/>
      <c r="F110" s="3562"/>
      <c r="G110" s="1826" t="s">
        <v>1434</v>
      </c>
      <c r="H110" s="2554" t="str">
        <f>IF(H109="——","——",ROUND(H109*10000/'数据-汇总表'!E3,0))</f>
        <v>——</v>
      </c>
      <c r="I110" s="128"/>
    </row>
    <row r="111" spans="1:35" ht="18.75" customHeight="1">
      <c r="A111" s="128"/>
      <c r="B111" s="128"/>
      <c r="C111" s="128"/>
      <c r="D111" s="128"/>
      <c r="E111" s="3595" t="str">
        <f>IF(项目基本情况!E9="抵押净值",IF(OR(项目基本情况!E8="已注销",项目基本情况!E8="房地产抵押价值"),"4.抵押净值","5.抵押净值"),"——")</f>
        <v>4.抵押净值</v>
      </c>
      <c r="F111" s="3581"/>
      <c r="G111" s="1826" t="s">
        <v>1432</v>
      </c>
      <c r="H111" s="2594">
        <f ca="1">IF(E111="——","——",N59)</f>
        <v>166703</v>
      </c>
      <c r="I111" s="128"/>
    </row>
    <row r="112" spans="1:35" ht="18.75" customHeight="1" thickBot="1">
      <c r="A112" s="128"/>
      <c r="B112" s="128"/>
      <c r="C112" s="128"/>
      <c r="D112" s="128"/>
      <c r="E112" s="3596"/>
      <c r="F112" s="3597"/>
      <c r="G112" s="1829" t="s">
        <v>1434</v>
      </c>
      <c r="H112" s="2598">
        <f ca="1">IF(E111="——","——",N61)</f>
        <v>39255</v>
      </c>
      <c r="I112" s="128"/>
    </row>
    <row r="113" spans="1:27" ht="18.75" customHeight="1">
      <c r="A113" s="128"/>
      <c r="B113" s="128"/>
      <c r="C113" s="128"/>
      <c r="D113" s="128"/>
      <c r="E113" s="3604" t="s">
        <v>1440</v>
      </c>
      <c r="F113" s="3604"/>
      <c r="G113" s="3604"/>
      <c r="H113" s="3604"/>
      <c r="I113" s="128"/>
    </row>
    <row r="114" spans="1:27" ht="3.75" customHeight="1">
      <c r="A114" s="1746"/>
      <c r="B114" s="1746"/>
      <c r="C114" s="1746"/>
      <c r="D114" s="1746"/>
      <c r="E114" s="1808"/>
      <c r="F114" s="1808"/>
      <c r="G114" s="1808"/>
      <c r="H114" s="1808"/>
      <c r="I114" s="1746"/>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42466.65</v>
      </c>
      <c r="C118" s="2328">
        <f>M19</f>
        <v>6799.81</v>
      </c>
      <c r="D118" s="2328">
        <f ca="1">ROUND(IF(D32="总价",C34,E118*B118/10000),0)</f>
        <v>113569</v>
      </c>
      <c r="E118" s="2328">
        <f ca="1">ROUND(IF(C33="自定义",IF(D32="楼面单价",C34,D118*10000/B118),I118-G118),0)</f>
        <v>26743</v>
      </c>
      <c r="F118" s="2328">
        <f ca="1">ROUND(IF(D32="总价",C35,G118*B118/10000),0)</f>
        <v>53444</v>
      </c>
      <c r="G118" s="2328">
        <f ca="1">ROUND(IF(D32="楼面单价",C35,F118*10000/B118),0)</f>
        <v>12585</v>
      </c>
      <c r="H118" s="2328">
        <f ca="1">ROUND(IF(D32="总价",C32,I118*B118/10000),0)</f>
        <v>167013</v>
      </c>
      <c r="I118" s="2328">
        <f ca="1">ROUND(IF(D32="楼面单价",C32,H118*10000/B118),0)</f>
        <v>39328</v>
      </c>
    </row>
    <row r="119" spans="1:27" ht="18.75" customHeight="1">
      <c r="A119" s="3569" t="s">
        <v>1452</v>
      </c>
      <c r="B119" s="3569"/>
      <c r="C119" s="3569"/>
      <c r="D119" s="3575" t="str">
        <f ca="1">NUMBERSTRING(INT(D118*10000),2)&amp;"元整"</f>
        <v>壹拾壹亿叁仟伍佰陆拾玖万元整</v>
      </c>
      <c r="E119" s="3576"/>
      <c r="F119" s="3575" t="str">
        <f ca="1">NUMBERSTRING(INT(F118*10000),2)&amp;"元整"</f>
        <v>伍亿叁仟肆佰肆拾肆万元整</v>
      </c>
      <c r="G119" s="3576"/>
      <c r="H119" s="3575" t="str">
        <f ca="1">NUMBERSTRING(INT(H118*10000),2)&amp;"元整"</f>
        <v>壹拾陆亿柒仟零壹拾叁万元整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5" t="s">
        <v>1452</v>
      </c>
      <c r="B121" s="3577"/>
      <c r="C121" s="3576"/>
      <c r="D121" s="3575" t="str">
        <f>IF(D120=0,"零元整",NUMBERSTRING(INT(D120*10000),2)&amp;"元整")</f>
        <v>零元整</v>
      </c>
      <c r="E121" s="3577"/>
      <c r="F121" s="3577"/>
      <c r="G121" s="3577"/>
      <c r="H121" s="3577"/>
      <c r="I121" s="3576"/>
      <c r="AA121" s="724"/>
    </row>
    <row r="122" spans="1:27" ht="18.75" customHeight="1">
      <c r="A122" s="3581" t="str">
        <f>IF(项目基本情况!B9="房地产市场价值","",MID(E107,3,LEN(E107)-2))</f>
        <v>房地产抵押价值</v>
      </c>
      <c r="B122" s="3581"/>
      <c r="C122" s="3581"/>
      <c r="D122" s="3570">
        <f ca="1">H107</f>
        <v>167013</v>
      </c>
      <c r="E122" s="3571"/>
      <c r="F122" s="3571"/>
      <c r="G122" s="3571"/>
      <c r="H122" s="3571"/>
      <c r="I122" s="3572"/>
      <c r="AA122" s="724"/>
    </row>
    <row r="123" spans="1:27" ht="18.75" customHeight="1">
      <c r="A123" s="3569" t="s">
        <v>1452</v>
      </c>
      <c r="B123" s="3569"/>
      <c r="C123" s="3569"/>
      <c r="D123" s="3575" t="str">
        <f ca="1">NUMBERSTRING(INT(D122*10000),2)&amp;"元整"</f>
        <v>壹拾陆亿柒仟零壹拾叁万元整</v>
      </c>
      <c r="E123" s="3577"/>
      <c r="F123" s="3577"/>
      <c r="G123" s="3577"/>
      <c r="H123" s="3577"/>
      <c r="I123" s="3576"/>
      <c r="AA123" s="724"/>
    </row>
    <row r="124" spans="1:27" ht="18.75" customHeight="1">
      <c r="A124" s="3581" t="str">
        <f>IF(项目基本情况!B9="房地产市场价值","",MID(E109,3,LEN(E109)-2))</f>
        <v/>
      </c>
      <c r="B124" s="3581"/>
      <c r="C124" s="3581"/>
      <c r="D124" s="3570" t="str">
        <f>H109</f>
        <v>——</v>
      </c>
      <c r="E124" s="3571"/>
      <c r="F124" s="3571"/>
      <c r="G124" s="3571"/>
      <c r="H124" s="3571"/>
      <c r="I124" s="3572"/>
      <c r="AA124" s="724"/>
    </row>
    <row r="125" spans="1:27" ht="18.75" customHeight="1">
      <c r="A125" s="3569" t="s">
        <v>1452</v>
      </c>
      <c r="B125" s="3569"/>
      <c r="C125" s="3569"/>
      <c r="D125" s="3575" t="e">
        <f>NUMBERSTRING(INT(D124*10000),2)&amp;"元整"</f>
        <v>#VALUE!</v>
      </c>
      <c r="E125" s="3577"/>
      <c r="F125" s="3577"/>
      <c r="G125" s="3577"/>
      <c r="H125" s="3577"/>
      <c r="I125" s="3576"/>
      <c r="AA125" s="724"/>
    </row>
    <row r="126" spans="1:27" ht="18.75" customHeight="1">
      <c r="A126" s="3581" t="str">
        <f>IF(项目基本情况!B9="房地产市场价值","",MID(E111,3,LEN(E111)-2))</f>
        <v>抵押净值</v>
      </c>
      <c r="B126" s="3581"/>
      <c r="C126" s="3581"/>
      <c r="D126" s="3570">
        <f ca="1">H111</f>
        <v>166703</v>
      </c>
      <c r="E126" s="3571"/>
      <c r="F126" s="3571"/>
      <c r="G126" s="3571"/>
      <c r="H126" s="3571"/>
      <c r="I126" s="3572"/>
      <c r="AA126" s="724"/>
    </row>
    <row r="127" spans="1:27" ht="18.75" customHeight="1">
      <c r="A127" s="3569" t="s">
        <v>1452</v>
      </c>
      <c r="B127" s="3569"/>
      <c r="C127" s="3569"/>
      <c r="D127" s="3575" t="str">
        <f ca="1">NUMBERSTRING(INT(D126*10000),2)&amp;"元整"</f>
        <v>壹拾陆亿陆仟柒佰零叁万元整</v>
      </c>
      <c r="E127" s="3577"/>
      <c r="F127" s="3577"/>
      <c r="G127" s="3577"/>
      <c r="H127" s="3577"/>
      <c r="I127" s="3576"/>
      <c r="AA127" s="724"/>
    </row>
    <row r="128" spans="1:27" ht="21.75" customHeight="1">
      <c r="A128" s="3578" t="s">
        <v>1453</v>
      </c>
      <c r="B128" s="3578"/>
      <c r="C128" s="3578"/>
      <c r="D128" s="3578"/>
      <c r="E128" s="3578"/>
      <c r="F128" s="3578"/>
      <c r="G128" s="3578"/>
      <c r="H128" s="3578"/>
      <c r="I128" s="357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K53" sqref="K5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94136</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22167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47520</v>
      </c>
      <c r="D5" s="210" t="s">
        <v>1469</v>
      </c>
      <c r="E5" s="211" t="s">
        <v>1470</v>
      </c>
      <c r="F5" s="211" t="s">
        <v>1471</v>
      </c>
      <c r="G5" s="212"/>
    </row>
    <row r="6" spans="1:9" s="213" customFormat="1" ht="13.5" customHeight="1">
      <c r="A6" s="777" t="s">
        <v>1472</v>
      </c>
      <c r="B6" s="214" t="s">
        <v>1473</v>
      </c>
      <c r="C6" s="215">
        <f>基准地价修正!B2</f>
        <v>45290</v>
      </c>
      <c r="D6" s="216"/>
      <c r="E6" s="217"/>
      <c r="F6" s="217"/>
      <c r="G6" s="218"/>
    </row>
    <row r="7" spans="1:9" s="213" customFormat="1" ht="13.5" customHeight="1">
      <c r="A7" s="777" t="s">
        <v>1474</v>
      </c>
      <c r="B7" s="214" t="s">
        <v>1475</v>
      </c>
      <c r="C7" s="219">
        <f>ROUND(C6*F7,0)</f>
        <v>1381</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849</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849</v>
      </c>
      <c r="D10" s="844">
        <f ca="1">IF(B1="",'数据-汇总表'!E6,IF(INDIRECT("'数据-取费表'!c"&amp;$G$1)="住宅",INDIRECT("'数据-取费表'!s"&amp;$G$1),INDIRECT("'数据-取费表'!k"&amp;$G$1)+INDIRECT("'数据-取费表'!s"&amp;$G$1)))</f>
        <v>42466.65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42466.65</v>
      </c>
      <c r="E19" s="210">
        <f>'数据-取费表'!B31</f>
        <v>200</v>
      </c>
      <c r="F19" s="230"/>
      <c r="G19" s="1855" t="s">
        <v>3410</v>
      </c>
    </row>
    <row r="20" spans="1:7" s="213" customFormat="1" ht="13.5" customHeight="1">
      <c r="A20" s="254" t="s">
        <v>1493</v>
      </c>
      <c r="B20" s="209" t="s">
        <v>1494</v>
      </c>
      <c r="C20" s="231">
        <f>ROUND((C5+C19)*F20,0)</f>
        <v>1188</v>
      </c>
      <c r="D20" s="231"/>
      <c r="E20" s="231"/>
      <c r="F20" s="232">
        <f>'数据-取费表'!B37</f>
        <v>2.5000000000000001E-2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4075</v>
      </c>
      <c r="D22" s="234">
        <f ca="1">C26</f>
        <v>8.0000000000000004E-4</v>
      </c>
      <c r="E22" s="235" t="s">
        <v>1498</v>
      </c>
      <c r="F22" s="236">
        <f ca="1">'数据-取费表'!B40</f>
        <v>4.1499999999999995E-2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4026</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49</v>
      </c>
      <c r="D25" s="237"/>
      <c r="E25" s="240"/>
      <c r="F25" s="238"/>
      <c r="G25" s="241" t="s">
        <v>1510</v>
      </c>
    </row>
    <row r="26" spans="1:7" s="213" customFormat="1">
      <c r="A26" s="779" t="s">
        <v>350</v>
      </c>
      <c r="B26" s="214" t="s">
        <v>1511</v>
      </c>
      <c r="C26" s="237">
        <f ca="1">ROUND(IF('数据-取费表'!B22&lt;=1,F21*F22*'数据-取费表'!B23/2,F21*(POWER((1+F22),'数据-取费表'!B23/2)-1)),4)</f>
        <v>8.0000000000000004E-4</v>
      </c>
      <c r="D26" s="237"/>
      <c r="E26" s="240"/>
      <c r="F26" s="238"/>
      <c r="G26" s="242"/>
    </row>
    <row r="27" spans="1:7" s="213" customFormat="1" ht="24.75">
      <c r="A27" s="254" t="s">
        <v>1512</v>
      </c>
      <c r="B27" s="243" t="s">
        <v>1513</v>
      </c>
      <c r="C27" s="244">
        <f ca="1">C28</f>
        <v>6332</v>
      </c>
      <c r="D27" s="234">
        <f ca="1">C29</f>
        <v>2.5999999999999999E-3</v>
      </c>
      <c r="E27" s="235" t="s">
        <v>1514</v>
      </c>
      <c r="F27" s="245">
        <f ca="1">IF(B1="",'数据-取费表'!Q16,INDIRECT("'数据-取费表'!q"&amp;$G$1))</f>
        <v>0.13</v>
      </c>
      <c r="G27" s="246" t="s">
        <v>1515</v>
      </c>
    </row>
    <row r="28" spans="1:7" s="213" customFormat="1" ht="13.5" customHeight="1">
      <c r="A28" s="779" t="s">
        <v>346</v>
      </c>
      <c r="B28" s="247" t="s">
        <v>1516</v>
      </c>
      <c r="C28" s="248">
        <f ca="1">ROUND((C5+C19+C20)*F27*'数据-取费表'!B21/'数据-取费表'!B20,0)</f>
        <v>6332</v>
      </c>
      <c r="D28" s="234"/>
      <c r="E28" s="235"/>
      <c r="F28" s="245"/>
      <c r="G28" s="246"/>
    </row>
    <row r="29" spans="1:7" s="213" customFormat="1" ht="13.5" customHeight="1">
      <c r="A29" s="779" t="s">
        <v>347</v>
      </c>
      <c r="B29" s="247" t="s">
        <v>1517</v>
      </c>
      <c r="C29" s="237">
        <f ca="1">ROUND(C21*F27*'数据-取费表'!B21/'数据-取费表'!B20,4)</f>
        <v>2.5999999999999999E-3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64026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25724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23357</v>
      </c>
      <c r="D34" s="216"/>
      <c r="E34" s="219"/>
      <c r="F34" s="256">
        <f ca="1">IF('数据-取费表'!B24=0,1,IF(B1="",'数据-取费表'!N16,INDIRECT("'数据-取费表'!n"&amp;$G$1)))</f>
        <v>1</v>
      </c>
      <c r="G34" s="218" t="s">
        <v>1526</v>
      </c>
    </row>
    <row r="35" spans="1:7" ht="13.5" customHeight="1">
      <c r="A35" s="779" t="s">
        <v>351</v>
      </c>
      <c r="B35" s="214" t="s">
        <v>1527</v>
      </c>
      <c r="C35" s="219">
        <f ca="1">ROUND(C34*F35,0)</f>
        <v>1168</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849</v>
      </c>
      <c r="D37" s="216">
        <f ca="1">D19</f>
        <v>42466.65</v>
      </c>
      <c r="E37" s="248">
        <f>'数据-取费表'!B35</f>
        <v>200</v>
      </c>
      <c r="F37" s="258"/>
      <c r="G37" s="260" t="s">
        <v>1532</v>
      </c>
    </row>
    <row r="38" spans="1:7" ht="13.5" customHeight="1">
      <c r="A38" s="779" t="s">
        <v>354</v>
      </c>
      <c r="B38" s="214" t="s">
        <v>1533</v>
      </c>
      <c r="C38" s="219">
        <f ca="1">ROUND(C34*F38,0)</f>
        <v>350</v>
      </c>
      <c r="D38" s="219"/>
      <c r="E38" s="219"/>
      <c r="F38" s="258">
        <f>'数据-取费表'!B36</f>
        <v>1.4999999999999999E-2</v>
      </c>
      <c r="G38" s="218" t="s">
        <v>1528</v>
      </c>
    </row>
    <row r="39" spans="1:7" s="213" customFormat="1" ht="13.5" customHeight="1">
      <c r="A39" s="254" t="s">
        <v>1534</v>
      </c>
      <c r="B39" s="209" t="s">
        <v>1535</v>
      </c>
      <c r="C39" s="231">
        <f ca="1">ROUND(C33*F20,0)</f>
        <v>643</v>
      </c>
      <c r="D39" s="231"/>
      <c r="E39" s="231"/>
      <c r="F39" s="232">
        <f>F20</f>
        <v>2.5000000000000001E-2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1095</v>
      </c>
      <c r="D41" s="234">
        <f ca="1">C44</f>
        <v>8.0000000000000004E-4</v>
      </c>
      <c r="E41" s="235" t="s">
        <v>1539</v>
      </c>
      <c r="F41" s="236">
        <f ca="1">F22</f>
        <v>4.1499999999999995E-2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1068</v>
      </c>
      <c r="D42" s="237"/>
      <c r="E42" s="237"/>
      <c r="F42" s="238"/>
      <c r="G42" s="3648" t="s">
        <v>1544</v>
      </c>
    </row>
    <row r="43" spans="1:7" ht="13.5" customHeight="1">
      <c r="A43" s="779" t="s">
        <v>347</v>
      </c>
      <c r="B43" s="214" t="s">
        <v>1545</v>
      </c>
      <c r="C43" s="237">
        <f ca="1">ROUND(IF('数据-取费表'!B22&lt;=1,C39*F22*'数据-取费表'!B21/2,C39*(POWER((1+F22),'数据-取费表'!B21/2)-1)),0)</f>
        <v>27</v>
      </c>
      <c r="D43" s="237"/>
      <c r="E43" s="237"/>
      <c r="F43" s="238"/>
      <c r="G43" s="3649"/>
    </row>
    <row r="44" spans="1:7" ht="13.5" customHeight="1">
      <c r="A44" s="779" t="s">
        <v>348</v>
      </c>
      <c r="B44" s="214" t="s">
        <v>1546</v>
      </c>
      <c r="C44" s="237">
        <f ca="1">ROUND(IF('数据-取费表'!B22&lt;=1,C40*F22*'数据-取费表'!B21/2,C40*(POWER((1+F22),'数据-取费表'!B21/2)-1)),4)</f>
        <v>8.0000000000000004E-4</v>
      </c>
      <c r="D44" s="237"/>
      <c r="E44" s="237"/>
      <c r="F44" s="238"/>
      <c r="G44" s="3650"/>
    </row>
    <row r="45" spans="1:7" s="213" customFormat="1" ht="13.5" customHeight="1">
      <c r="A45" s="254" t="s">
        <v>1547</v>
      </c>
      <c r="B45" s="243" t="s">
        <v>1513</v>
      </c>
      <c r="C45" s="244">
        <f ca="1">C46</f>
        <v>3428</v>
      </c>
      <c r="D45" s="234">
        <f ca="1">C47</f>
        <v>2.5999999999999999E-3</v>
      </c>
      <c r="E45" s="235" t="s">
        <v>1539</v>
      </c>
      <c r="F45" s="245">
        <f ca="1">F27</f>
        <v>0.13</v>
      </c>
      <c r="G45" s="246" t="s">
        <v>1548</v>
      </c>
    </row>
    <row r="46" spans="1:7" s="213" customFormat="1" ht="13.5" customHeight="1">
      <c r="A46" s="779" t="s">
        <v>346</v>
      </c>
      <c r="B46" s="247" t="s">
        <v>1549</v>
      </c>
      <c r="C46" s="248">
        <f ca="1">ROUND((C33+C39)*F27,0)</f>
        <v>3428</v>
      </c>
      <c r="D46" s="262"/>
      <c r="E46" s="235"/>
      <c r="F46" s="245"/>
      <c r="G46" s="246"/>
    </row>
    <row r="47" spans="1:7" s="213" customFormat="1" ht="13.5" customHeight="1">
      <c r="A47" s="779" t="s">
        <v>347</v>
      </c>
      <c r="B47" s="247" t="s">
        <v>1550</v>
      </c>
      <c r="C47" s="237">
        <f ca="1">ROUND(C40*F27,4)</f>
        <v>2.5999999999999999E-3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33456</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30110</v>
      </c>
      <c r="D51" s="231"/>
      <c r="E51" s="231"/>
      <c r="F51" s="263"/>
      <c r="G51" s="233" t="s">
        <v>1560</v>
      </c>
    </row>
    <row r="52" spans="1:7" s="207" customFormat="1" ht="16.5" thickBot="1">
      <c r="A52" s="264" t="s">
        <v>1561</v>
      </c>
      <c r="B52" s="265"/>
      <c r="C52" s="266">
        <f ca="1">C31+C51</f>
        <v>94136</v>
      </c>
      <c r="D52" s="265"/>
      <c r="E52" s="265"/>
      <c r="F52" s="265"/>
      <c r="G52" s="267"/>
    </row>
    <row r="55" spans="1:7" ht="15">
      <c r="B55" s="269" t="s">
        <v>1562</v>
      </c>
      <c r="C55" s="270"/>
    </row>
    <row r="56" spans="1:7">
      <c r="B56" s="272" t="s">
        <v>802</v>
      </c>
      <c r="C56" s="274">
        <f ca="1">1-C57</f>
        <v>0.67999999999999994</v>
      </c>
    </row>
    <row r="57" spans="1:7">
      <c r="B57" s="272" t="s">
        <v>803</v>
      </c>
      <c r="C57" s="273">
        <f ca="1">ROUND(C51/C52,3)</f>
        <v>0.32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32398.457999999999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7629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8493330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8493330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8493330</v>
      </c>
      <c r="D10" s="844">
        <f ca="1">IF(B1="",'数据-汇总表'!E6,IF(INDIRECT("'数据-取费表'!c"&amp;$G$1)="住宅",INDIRECT("'数据-取费表'!s"&amp;$G$1),INDIRECT("'数据-取费表'!k"&amp;$G$1)+INDIRECT("'数据-取费表'!s"&amp;$G$1)))</f>
        <v>42466.65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8493330</v>
      </c>
      <c r="D19" s="848">
        <f ca="1">D9+D10</f>
        <v>42466.65</v>
      </c>
      <c r="E19" s="210">
        <f>'数据-取费表'!B31</f>
        <v>200</v>
      </c>
      <c r="F19" s="230"/>
      <c r="G19" s="1855"/>
    </row>
    <row r="20" spans="1:7" s="213" customFormat="1" ht="13.5" customHeight="1">
      <c r="A20" s="254" t="s">
        <v>1574</v>
      </c>
      <c r="B20" s="209" t="s">
        <v>1575</v>
      </c>
      <c r="C20" s="231">
        <f ca="1">ROUND((C5+C19)*F20,0)</f>
        <v>424667</v>
      </c>
      <c r="D20" s="231"/>
      <c r="E20" s="231"/>
      <c r="F20" s="232">
        <f>'数据-取费表'!B37</f>
        <v>2.5000000000000001E-2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1456772</v>
      </c>
      <c r="D22" s="234">
        <f ca="1">C26</f>
        <v>8.0000000000000004E-4</v>
      </c>
      <c r="E22" s="235" t="s">
        <v>1579</v>
      </c>
      <c r="F22" s="236">
        <f ca="1">'数据-取费表'!B40</f>
        <v>4.1499999999999995E-2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719574</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719574</v>
      </c>
      <c r="D24" s="237"/>
      <c r="E24" s="237"/>
      <c r="F24" s="238"/>
      <c r="G24" s="239" t="s">
        <v>1586</v>
      </c>
    </row>
    <row r="25" spans="1:7" s="213" customFormat="1" ht="24">
      <c r="A25" s="779" t="s">
        <v>1476</v>
      </c>
      <c r="B25" s="214" t="s">
        <v>1587</v>
      </c>
      <c r="C25" s="1127">
        <f ca="1">ROUND(IF('数据-取费表'!B22&lt;=1,C20*F22*'数据-取费表'!B22/2,C20*(POWER((1+F22),'数据-取费表'!B22/2)-1)),0)</f>
        <v>17624</v>
      </c>
      <c r="D25" s="237"/>
      <c r="E25" s="240"/>
      <c r="F25" s="238"/>
      <c r="G25" s="241" t="s">
        <v>1588</v>
      </c>
    </row>
    <row r="26" spans="1:7" s="213" customFormat="1">
      <c r="A26" s="779" t="s">
        <v>350</v>
      </c>
      <c r="B26" s="214" t="s">
        <v>1511</v>
      </c>
      <c r="C26" s="237">
        <f ca="1">ROUND(IF('数据-取费表'!B22&lt;=1,F21*F22*'数据-取费表'!B22/2,F21*(POWER((1+F22),'数据-取费表'!B22/2)-1)),4)</f>
        <v>8.0000000000000004E-4</v>
      </c>
      <c r="D26" s="237"/>
      <c r="E26" s="240"/>
      <c r="F26" s="238"/>
      <c r="G26" s="242"/>
    </row>
    <row r="27" spans="1:7" s="213" customFormat="1" ht="24.75">
      <c r="A27" s="254" t="s">
        <v>1512</v>
      </c>
      <c r="B27" s="243" t="s">
        <v>1513</v>
      </c>
      <c r="C27" s="244">
        <f ca="1">C28</f>
        <v>2263473</v>
      </c>
      <c r="D27" s="234">
        <f ca="1">C29</f>
        <v>2.5999999999999999E-3</v>
      </c>
      <c r="E27" s="235" t="s">
        <v>1514</v>
      </c>
      <c r="F27" s="245">
        <f ca="1">IF(B1="",'数据-取费表'!Q16,INDIRECT("'数据-取费表'!q"&amp;$G$1))</f>
        <v>0.13</v>
      </c>
      <c r="G27" s="246" t="s">
        <v>1515</v>
      </c>
    </row>
    <row r="28" spans="1:7" s="213" customFormat="1" ht="13.5" customHeight="1">
      <c r="A28" s="779" t="s">
        <v>346</v>
      </c>
      <c r="B28" s="247" t="s">
        <v>1516</v>
      </c>
      <c r="C28" s="248">
        <f ca="1">ROUND((C5+C19+C20)*F27,0)</f>
        <v>2263473</v>
      </c>
      <c r="D28" s="234"/>
      <c r="E28" s="235"/>
      <c r="F28" s="245"/>
      <c r="G28" s="246"/>
    </row>
    <row r="29" spans="1:7" s="213" customFormat="1" ht="13.5" customHeight="1">
      <c r="A29" s="779" t="s">
        <v>347</v>
      </c>
      <c r="B29" s="247" t="s">
        <v>1517</v>
      </c>
      <c r="C29" s="237">
        <f ca="1">ROUND(C21*F27,4)</f>
        <v>2.5999999999999999E-3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22887005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257241733</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233566575</v>
      </c>
      <c r="D34" s="216"/>
      <c r="E34" s="219"/>
      <c r="F34" s="256"/>
      <c r="G34" s="218"/>
    </row>
    <row r="35" spans="1:7" ht="13.5" customHeight="1">
      <c r="A35" s="779" t="s">
        <v>351</v>
      </c>
      <c r="B35" s="214" t="s">
        <v>1527</v>
      </c>
      <c r="C35" s="219">
        <f ca="1">ROUND(C34*F35,0)</f>
        <v>11678329</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8493330</v>
      </c>
      <c r="D37" s="216">
        <f ca="1">D19</f>
        <v>42466.65</v>
      </c>
      <c r="E37" s="248">
        <f>'数据-取费表'!B35</f>
        <v>200</v>
      </c>
      <c r="F37" s="258"/>
      <c r="G37" s="260"/>
    </row>
    <row r="38" spans="1:7" ht="13.5" customHeight="1">
      <c r="A38" s="779" t="s">
        <v>354</v>
      </c>
      <c r="B38" s="214" t="s">
        <v>1533</v>
      </c>
      <c r="C38" s="219">
        <f ca="1">ROUND(C34*F38,0)</f>
        <v>3503499</v>
      </c>
      <c r="D38" s="219"/>
      <c r="E38" s="219"/>
      <c r="F38" s="258">
        <f>'数据-取费表'!B36</f>
        <v>1.4999999999999999E-2</v>
      </c>
      <c r="G38" s="218" t="s">
        <v>1528</v>
      </c>
    </row>
    <row r="39" spans="1:7" s="213" customFormat="1" ht="13.5" customHeight="1">
      <c r="A39" s="254" t="s">
        <v>1534</v>
      </c>
      <c r="B39" s="209" t="s">
        <v>1535</v>
      </c>
      <c r="C39" s="231">
        <f ca="1">ROUND(C33*F20,0)</f>
        <v>6431043</v>
      </c>
      <c r="D39" s="231"/>
      <c r="E39" s="231"/>
      <c r="F39" s="232">
        <f>F20</f>
        <v>2.5000000000000001E-2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10942420</v>
      </c>
      <c r="D41" s="234">
        <f ca="1">C44</f>
        <v>8.0000000000000004E-4</v>
      </c>
      <c r="E41" s="235" t="s">
        <v>1539</v>
      </c>
      <c r="F41" s="236">
        <f ca="1">F22</f>
        <v>4.1499999999999995E-2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10675532</v>
      </c>
      <c r="D42" s="237"/>
      <c r="E42" s="237"/>
      <c r="F42" s="238"/>
      <c r="G42" s="3648" t="s">
        <v>1591</v>
      </c>
    </row>
    <row r="43" spans="1:7" ht="13.5" customHeight="1">
      <c r="A43" s="779" t="s">
        <v>347</v>
      </c>
      <c r="B43" s="214" t="s">
        <v>1545</v>
      </c>
      <c r="C43" s="237">
        <f ca="1">ROUND(IF('数据-取费表'!B22&lt;=1,C39*F22*'数据-取费表'!B20/2,C39*(POWER((1+F22),'数据-取费表'!B20/2)-1)),0)</f>
        <v>266888</v>
      </c>
      <c r="D43" s="237"/>
      <c r="E43" s="237"/>
      <c r="F43" s="238"/>
      <c r="G43" s="3649"/>
    </row>
    <row r="44" spans="1:7" ht="13.5" customHeight="1">
      <c r="A44" s="779" t="s">
        <v>348</v>
      </c>
      <c r="B44" s="214" t="s">
        <v>1546</v>
      </c>
      <c r="C44" s="237">
        <f ca="1">ROUND(IF('数据-取费表'!B22&lt;=1,C40*F22*'数据-取费表'!B20/2,C40*(POWER((1+F22),'数据-取费表'!B20/2)-1)),4)</f>
        <v>8.0000000000000004E-4</v>
      </c>
      <c r="D44" s="237"/>
      <c r="E44" s="237"/>
      <c r="F44" s="238"/>
      <c r="G44" s="3650"/>
    </row>
    <row r="45" spans="1:7" s="213" customFormat="1" ht="13.5" customHeight="1">
      <c r="A45" s="254" t="s">
        <v>1547</v>
      </c>
      <c r="B45" s="243" t="s">
        <v>1513</v>
      </c>
      <c r="C45" s="244">
        <f ca="1">C46</f>
        <v>34277461</v>
      </c>
      <c r="D45" s="234">
        <f ca="1">C47</f>
        <v>2.5999999999999999E-3</v>
      </c>
      <c r="E45" s="235" t="s">
        <v>1539</v>
      </c>
      <c r="F45" s="245">
        <f ca="1">F27</f>
        <v>0.13</v>
      </c>
      <c r="G45" s="246" t="s">
        <v>1548</v>
      </c>
    </row>
    <row r="46" spans="1:7" s="213" customFormat="1" ht="13.5" customHeight="1">
      <c r="A46" s="779" t="s">
        <v>346</v>
      </c>
      <c r="B46" s="247" t="s">
        <v>1549</v>
      </c>
      <c r="C46" s="248">
        <f ca="1">ROUND((C33+C39)*F27,0)</f>
        <v>34277461</v>
      </c>
      <c r="D46" s="262"/>
      <c r="E46" s="235"/>
      <c r="F46" s="245"/>
      <c r="G46" s="246"/>
    </row>
    <row r="47" spans="1:7" s="213" customFormat="1" ht="13.5" customHeight="1">
      <c r="A47" s="779" t="s">
        <v>347</v>
      </c>
      <c r="B47" s="247" t="s">
        <v>1550</v>
      </c>
      <c r="C47" s="237">
        <f ca="1">ROUND(C40*F27,4)</f>
        <v>2.5999999999999999E-3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334552861</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301097575</v>
      </c>
      <c r="D51" s="231"/>
      <c r="E51" s="231"/>
      <c r="F51" s="263"/>
      <c r="G51" s="233" t="s">
        <v>1560</v>
      </c>
    </row>
    <row r="52" spans="1:7" s="207" customFormat="1" ht="16.5" thickBot="1">
      <c r="A52" s="264" t="s">
        <v>1561</v>
      </c>
      <c r="B52" s="265"/>
      <c r="C52" s="266">
        <f ca="1">C31+C51</f>
        <v>323984580</v>
      </c>
      <c r="D52" s="265"/>
      <c r="E52" s="265"/>
      <c r="F52" s="265"/>
      <c r="G52" s="267"/>
    </row>
    <row r="55" spans="1:7" ht="15">
      <c r="B55" s="269" t="s">
        <v>1562</v>
      </c>
      <c r="C55" s="270"/>
    </row>
    <row r="56" spans="1:7">
      <c r="B56" s="272" t="s">
        <v>802</v>
      </c>
      <c r="C56" s="274">
        <f ca="1">1-C57</f>
        <v>7.0999999999999952E-2</v>
      </c>
    </row>
    <row r="57" spans="1:7">
      <c r="B57" s="272" t="s">
        <v>803</v>
      </c>
      <c r="C57" s="273">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42466.65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42466.65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849</v>
      </c>
      <c r="D20" s="845">
        <f ca="1">IF(C1="",'数据-汇总表'!E6,IF(INDIRECT("'数据-取费表'!c"&amp;$K$1)="住宅",INDIRECT("'数据-取费表'!s"&amp;$K$1),INDIRECT("'数据-取费表'!k"&amp;$K$1)+INDIRECT("'数据-取费表'!s"&amp;$K$1)))</f>
        <v>42466.65</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2.5000000000000001E-2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0.13</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57" sqref="K5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3340</v>
      </c>
      <c r="D1" s="1361" t="s">
        <v>43</v>
      </c>
      <c r="E1" s="1362" t="s">
        <v>678</v>
      </c>
      <c r="F1" s="1061">
        <f ca="1">J53</f>
        <v>47.01</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2217</v>
      </c>
      <c r="C2" s="1386" t="s">
        <v>805</v>
      </c>
      <c r="D2" s="1386"/>
      <c r="E2" s="1387"/>
      <c r="F2" s="1388"/>
      <c r="G2" s="2705"/>
      <c r="H2" s="2694"/>
      <c r="I2" s="2694"/>
      <c r="J2" s="2694"/>
      <c r="K2" s="2695"/>
      <c r="L2" s="2694"/>
      <c r="M2" s="2694"/>
    </row>
    <row r="3" spans="1:37" ht="18" customHeight="1" thickBot="1">
      <c r="A3" s="1389" t="s">
        <v>806</v>
      </c>
      <c r="B3" s="1390">
        <f ca="1">IF(ISERROR(B2*10000/F43),0,ROUND(B2*10000/F43,0))</f>
        <v>2159</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205</v>
      </c>
      <c r="D5" s="1363" t="s">
        <v>693</v>
      </c>
      <c r="E5" s="1070"/>
      <c r="F5" s="1071"/>
      <c r="G5" s="1383"/>
      <c r="H5" s="298">
        <v>1</v>
      </c>
      <c r="I5" s="299" t="s">
        <v>692</v>
      </c>
      <c r="J5" s="1069">
        <f ca="1">J6+J10+J12</f>
        <v>0</v>
      </c>
      <c r="K5" s="1363" t="s">
        <v>693</v>
      </c>
      <c r="L5" s="1070"/>
      <c r="M5" s="1071"/>
    </row>
    <row r="6" spans="1:37" ht="18" customHeight="1">
      <c r="A6" s="1068" t="s">
        <v>398</v>
      </c>
      <c r="B6" s="3651" t="s">
        <v>694</v>
      </c>
      <c r="C6" s="1073">
        <f ca="1">ROUND(F6*F8*F7*(1-F9)/10000,0)</f>
        <v>205</v>
      </c>
      <c r="D6" s="154" t="s">
        <v>2109</v>
      </c>
      <c r="E6" s="301" t="s">
        <v>696</v>
      </c>
      <c r="F6" s="302">
        <f ca="1">INDIRECT("'数据-取费表'!u"&amp;$G$1)</f>
        <v>1200</v>
      </c>
      <c r="G6" s="1383"/>
      <c r="H6" s="1068" t="s">
        <v>398</v>
      </c>
      <c r="I6" s="3651" t="s">
        <v>694</v>
      </c>
      <c r="J6" s="300">
        <f ca="1">ROUND(M6*M8*M7*(1-M9)/10000,0)</f>
        <v>0</v>
      </c>
      <c r="K6" s="154" t="s">
        <v>2108</v>
      </c>
      <c r="L6" s="301" t="s">
        <v>696</v>
      </c>
      <c r="M6" s="302">
        <f ca="1">INDIRECT("'数据-取费表'!z"&amp;$G$1)</f>
        <v>0</v>
      </c>
    </row>
    <row r="7" spans="1:37" ht="18" customHeight="1">
      <c r="A7" s="1072"/>
      <c r="B7" s="3652"/>
      <c r="C7" s="1074"/>
      <c r="D7" s="306"/>
      <c r="E7" s="3457" t="s">
        <v>697</v>
      </c>
      <c r="F7" s="302">
        <f ca="1">IF(INDIRECT("'数据-取费表'!ah"&amp;$G$1)="",INDIRECT("'数据-取费表'!k"&amp;$G$1),INDIRECT("'数据-取费表'!ah"&amp;$G$1))</f>
        <v>158</v>
      </c>
      <c r="G7" s="1383"/>
      <c r="H7" s="303"/>
      <c r="I7" s="3652"/>
      <c r="J7" s="305"/>
      <c r="K7" s="306"/>
      <c r="L7" s="301" t="s">
        <v>697</v>
      </c>
      <c r="M7" s="302">
        <f ca="1">F7</f>
        <v>158</v>
      </c>
    </row>
    <row r="8" spans="1:37" ht="18" customHeight="1">
      <c r="A8" s="303"/>
      <c r="B8" s="3652"/>
      <c r="C8" s="305"/>
      <c r="D8" s="306"/>
      <c r="E8" s="301" t="s">
        <v>698</v>
      </c>
      <c r="F8" s="302">
        <f ca="1">INDIRECT("'数据-取费表'!ai"&amp;$G$1)</f>
        <v>12</v>
      </c>
      <c r="G8" s="1383"/>
      <c r="H8" s="303"/>
      <c r="I8" s="3652"/>
      <c r="J8" s="305"/>
      <c r="K8" s="306"/>
      <c r="L8" s="301" t="s">
        <v>698</v>
      </c>
      <c r="M8" s="302">
        <f ca="1">INDIRECT("'数据-取费表'!ai"&amp;$G$1)</f>
        <v>12</v>
      </c>
    </row>
    <row r="9" spans="1:37" ht="18" customHeight="1">
      <c r="A9" s="303"/>
      <c r="B9" s="3653"/>
      <c r="C9" s="305"/>
      <c r="D9" s="306"/>
      <c r="E9" s="301" t="s">
        <v>699</v>
      </c>
      <c r="F9" s="311">
        <f ca="1">INDIRECT("'数据-取费表'!w"&amp;$G$1)</f>
        <v>0.1</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3419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6855</v>
      </c>
      <c r="D13" s="3449" t="s">
        <v>705</v>
      </c>
      <c r="E13" s="3449"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5717</v>
      </c>
      <c r="D14" s="3453" t="s">
        <v>708</v>
      </c>
      <c r="E14" s="3451"/>
      <c r="F14" s="318"/>
      <c r="G14" s="1383"/>
      <c r="H14" s="981" t="s">
        <v>398</v>
      </c>
      <c r="I14" s="301" t="s">
        <v>709</v>
      </c>
      <c r="J14" s="21">
        <f ca="1">C29</f>
        <v>7617</v>
      </c>
      <c r="K14" s="3456"/>
      <c r="L14" s="806"/>
      <c r="M14" s="807"/>
    </row>
    <row r="15" spans="1:37" s="1396" customFormat="1" ht="18" customHeight="1" thickBot="1">
      <c r="A15" s="981" t="s">
        <v>399</v>
      </c>
      <c r="B15" s="301" t="s">
        <v>710</v>
      </c>
      <c r="C15" s="21">
        <f ca="1">ROUND(C14*F15,0)</f>
        <v>286</v>
      </c>
      <c r="D15" s="3450" t="s">
        <v>711</v>
      </c>
      <c r="E15" s="3450"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80</v>
      </c>
      <c r="K16" s="1086" t="s">
        <v>715</v>
      </c>
      <c r="L16" s="3454"/>
      <c r="M16" s="1071"/>
    </row>
    <row r="17" spans="1:37" s="1396" customFormat="1" ht="18" customHeight="1">
      <c r="A17" s="981" t="s">
        <v>681</v>
      </c>
      <c r="B17" s="301" t="s">
        <v>716</v>
      </c>
      <c r="C17" s="21">
        <f ca="1">ROUND(F17*(F43+INDIRECT("'数据-取费表'!S"&amp;$G$1))/10000,0)</f>
        <v>208</v>
      </c>
      <c r="D17" s="301" t="s">
        <v>717</v>
      </c>
      <c r="E17" s="301" t="s">
        <v>718</v>
      </c>
      <c r="F17" s="23">
        <f>'数据-取费表'!B35</f>
        <v>200</v>
      </c>
      <c r="G17" s="1395"/>
      <c r="H17" s="981" t="s">
        <v>398</v>
      </c>
      <c r="I17" s="301" t="s">
        <v>719</v>
      </c>
      <c r="J17" s="2315">
        <f ca="1">ROUND(IF(AND(项目基本情况!B11="自然人",项目基本情况!B10="北京市"),J6*M17/(1+'数据-取费表'!C42),J18+J19+J20),2)</f>
        <v>3.99</v>
      </c>
      <c r="K17" s="3453" t="s">
        <v>720</v>
      </c>
      <c r="L17" s="3452"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86</v>
      </c>
      <c r="D18" s="301" t="s">
        <v>711</v>
      </c>
      <c r="E18" s="301" t="s">
        <v>712</v>
      </c>
      <c r="F18" s="321">
        <f>'数据-取费表'!B36</f>
        <v>1.4999999999999999E-2</v>
      </c>
      <c r="G18" s="1395"/>
      <c r="H18" s="981" t="s">
        <v>397</v>
      </c>
      <c r="I18" s="301" t="s">
        <v>723</v>
      </c>
      <c r="J18" s="21">
        <f ca="1">ROUND(J6*M18/(1+'数据-取费表'!C42),2)</f>
        <v>0</v>
      </c>
      <c r="K18" s="3452"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6297</v>
      </c>
      <c r="D19" s="130" t="s">
        <v>726</v>
      </c>
      <c r="E19" s="3459"/>
      <c r="F19" s="23"/>
      <c r="G19" s="1383"/>
      <c r="H19" s="981" t="s">
        <v>399</v>
      </c>
      <c r="I19" s="301" t="s">
        <v>727</v>
      </c>
      <c r="J19" s="21">
        <f ca="1">IF(K19="按租金收入计税",ROUND(J6*M19/(1+'数据-取费表'!C42),2),ROUND(C29*M19*0.7,2))</f>
        <v>0</v>
      </c>
      <c r="K19" s="1369" t="s">
        <v>3343</v>
      </c>
      <c r="L19" s="301" t="s">
        <v>712</v>
      </c>
      <c r="M19" s="321">
        <f>IF(K19="按租金收入计税",'数据-取费表'!B51,'数据-取费表'!B50)</f>
        <v>0.12</v>
      </c>
    </row>
    <row r="20" spans="1:37" s="1396" customFormat="1" ht="18" customHeight="1">
      <c r="A20" s="981" t="s">
        <v>402</v>
      </c>
      <c r="B20" s="301" t="s">
        <v>728</v>
      </c>
      <c r="C20" s="21">
        <f ca="1">ROUND(C19*F20,0)</f>
        <v>157</v>
      </c>
      <c r="D20" s="2427" t="s">
        <v>729</v>
      </c>
      <c r="E20" s="301" t="s">
        <v>712</v>
      </c>
      <c r="F20" s="321">
        <f>'数据-取费表'!B37</f>
        <v>2.5000000000000001E-2</v>
      </c>
      <c r="G20" s="1395"/>
      <c r="H20" s="981" t="s">
        <v>680</v>
      </c>
      <c r="I20" s="154" t="s">
        <v>730</v>
      </c>
      <c r="J20" s="22">
        <f ca="1">ROUND(M20*M21/10000,2)</f>
        <v>3.99</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0.02</v>
      </c>
      <c r="G21" s="1395"/>
      <c r="H21" s="325"/>
      <c r="I21" s="310"/>
      <c r="J21" s="26"/>
      <c r="K21" s="326"/>
      <c r="L21" s="301" t="s">
        <v>736</v>
      </c>
      <c r="M21" s="302">
        <f ca="1">INDIRECT("'数据-取费表'!r"&amp;$G$1)</f>
        <v>1664.3700000000001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9"/>
      <c r="F22" s="23"/>
      <c r="G22" s="1383"/>
      <c r="H22" s="981" t="s">
        <v>402</v>
      </c>
      <c r="I22" s="301" t="s">
        <v>738</v>
      </c>
      <c r="J22" s="21">
        <f ca="1">ROUND(J14*M22,2)</f>
        <v>76.17</v>
      </c>
      <c r="K22" s="3452"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268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3452"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59"/>
      <c r="F25" s="23"/>
      <c r="G25" s="1383"/>
      <c r="H25" s="1078" t="s">
        <v>394</v>
      </c>
      <c r="I25" s="1093" t="s">
        <v>752</v>
      </c>
      <c r="J25" s="309">
        <f ca="1">J5-J16</f>
        <v>-80</v>
      </c>
      <c r="K25" s="1094" t="s">
        <v>753</v>
      </c>
      <c r="L25" s="1095"/>
      <c r="M25" s="1096"/>
    </row>
    <row r="26" spans="1:37">
      <c r="A26" s="981" t="s">
        <v>397</v>
      </c>
      <c r="B26" s="301" t="s">
        <v>754</v>
      </c>
      <c r="C26" s="21">
        <f ca="1">ROUND((C19+C20)*F26,0)</f>
        <v>323</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2427" t="s">
        <v>761</v>
      </c>
      <c r="E27" s="3450"/>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7617</v>
      </c>
      <c r="D29" s="1091"/>
      <c r="E29" s="1089"/>
      <c r="F29" s="1092"/>
      <c r="G29" s="1395"/>
      <c r="H29" s="333" t="s">
        <v>396</v>
      </c>
      <c r="I29" s="334" t="s">
        <v>768</v>
      </c>
      <c r="J29" s="335">
        <f ca="1">ROUND(J26/(1+F40)^F41,0)</f>
        <v>0</v>
      </c>
      <c r="K29" s="336" t="s">
        <v>769</v>
      </c>
      <c r="L29" s="337"/>
      <c r="M29" s="338">
        <f ca="1">INDIRECT("'数据-取费表'!k"&amp;$G$1)</f>
        <v>10270.209999999999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127</v>
      </c>
      <c r="D30" s="1086" t="s">
        <v>715</v>
      </c>
      <c r="E30" s="3454"/>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38.35</v>
      </c>
      <c r="D31" s="3453" t="s">
        <v>720</v>
      </c>
      <c r="E31" s="3452"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10.93</v>
      </c>
      <c r="D32" s="3452"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23.43</v>
      </c>
      <c r="D33" s="1369" t="s">
        <v>3343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3.99</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1664.3700000000001</v>
      </c>
      <c r="G35" s="1383"/>
      <c r="H35" s="2696"/>
      <c r="I35" s="1397"/>
      <c r="J35" s="1398"/>
      <c r="K35" s="2700"/>
      <c r="L35" s="2699"/>
      <c r="M35" s="2699"/>
    </row>
    <row r="36" spans="1:18" ht="18" customHeight="1">
      <c r="A36" s="1101" t="s">
        <v>402</v>
      </c>
      <c r="B36" s="301" t="s">
        <v>738</v>
      </c>
      <c r="C36" s="21">
        <f ca="1">ROUND(C29*F36,2)</f>
        <v>76.17</v>
      </c>
      <c r="D36" s="3452"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ROUND(C13*F37,2)</f>
        <v>10.28</v>
      </c>
      <c r="D37" s="3452"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2.0499999999999998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78</v>
      </c>
      <c r="D39" s="1094" t="s">
        <v>773</v>
      </c>
      <c r="E39" s="1095"/>
      <c r="F39" s="1096"/>
      <c r="G39" s="1383"/>
      <c r="H39" s="2699"/>
      <c r="I39" s="1397"/>
      <c r="J39" s="1398"/>
      <c r="K39" s="2703"/>
      <c r="L39" s="2699"/>
      <c r="M39" s="2699"/>
    </row>
    <row r="40" spans="1:18" ht="18" customHeight="1">
      <c r="A40" s="298" t="s">
        <v>395</v>
      </c>
      <c r="B40" s="299" t="s">
        <v>774</v>
      </c>
      <c r="C40" s="300">
        <f ca="1">ROUND(C39*(1-((1+F42)/(1+F40))^F41)/(F40-F42),0)</f>
        <v>2115</v>
      </c>
      <c r="D40" s="323" t="s">
        <v>758</v>
      </c>
      <c r="E40" s="301" t="s">
        <v>759</v>
      </c>
      <c r="F40" s="311">
        <f ca="1">INDIRECT("'数据-取费表'!I"&amp;$G$1)</f>
        <v>0.05</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47.01</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2059</v>
      </c>
      <c r="D43" s="336" t="s">
        <v>777</v>
      </c>
      <c r="E43" s="337" t="s">
        <v>778</v>
      </c>
      <c r="F43" s="338">
        <f ca="1">INDIRECT("'数据-取费表'!k"&amp;$G$1)</f>
        <v>10270.209999999999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-3733</v>
      </c>
      <c r="D46" s="1405" t="str">
        <f>C2</f>
        <v>万元</v>
      </c>
      <c r="E46" s="1399"/>
      <c r="F46" s="1399"/>
      <c r="I46" s="1406" t="s">
        <v>810</v>
      </c>
      <c r="J46" s="1407"/>
      <c r="K46" s="1408"/>
      <c r="L46" s="1409">
        <f ca="1">IF(M47="住宅",0,IF(L48&gt;J51,L60,J60))</f>
        <v>102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3412</v>
      </c>
      <c r="K47" s="1415" t="s">
        <v>816</v>
      </c>
      <c r="L47" s="1416">
        <f ca="1">INDIRECT("'数据-取费表'!d"&amp;$G$1)</f>
        <v>50</v>
      </c>
      <c r="M47" s="1379" t="str">
        <f>IF(ISNUMBER(FIND("住宅",C1)),"住宅","非住宅")</f>
        <v>非住宅</v>
      </c>
      <c r="O47" s="1417" t="s">
        <v>403</v>
      </c>
      <c r="P47" s="1418" t="s">
        <v>817</v>
      </c>
      <c r="Q47" s="1419">
        <f ca="1">C40+J29</f>
        <v>2115</v>
      </c>
      <c r="R47" s="1419" t="s">
        <v>818</v>
      </c>
    </row>
    <row r="48" spans="1:18" s="1383" customFormat="1" ht="28.5" thickBot="1">
      <c r="A48" s="1109" t="s">
        <v>438</v>
      </c>
      <c r="B48" s="299" t="s">
        <v>692</v>
      </c>
      <c r="C48" s="3458">
        <f ca="1">C49+C53+C55</f>
        <v>0</v>
      </c>
      <c r="D48" s="1111"/>
      <c r="E48" s="1112"/>
      <c r="F48" s="961"/>
      <c r="G48" s="721"/>
      <c r="H48" s="722"/>
      <c r="I48" s="1420" t="s">
        <v>819</v>
      </c>
      <c r="J48" s="1421" t="s">
        <v>3413</v>
      </c>
      <c r="K48" s="1422" t="s">
        <v>820</v>
      </c>
      <c r="L48" s="1423">
        <f ca="1">INDIRECT("'数据-取费表'!f"&amp;$G$1)</f>
        <v>47.01</v>
      </c>
      <c r="O48" s="1417" t="s">
        <v>404</v>
      </c>
      <c r="P48" s="1418" t="s">
        <v>821</v>
      </c>
      <c r="Q48" s="1419">
        <f ca="1">J60</f>
        <v>102</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2020</v>
      </c>
      <c r="K49" s="1422" t="s">
        <v>824</v>
      </c>
      <c r="L49" s="1426"/>
      <c r="O49" s="1427" t="s">
        <v>405</v>
      </c>
      <c r="P49" s="1418" t="s">
        <v>825</v>
      </c>
      <c r="Q49" s="1419">
        <f ca="1">C29</f>
        <v>7617</v>
      </c>
      <c r="R49" s="1419" t="s">
        <v>818</v>
      </c>
    </row>
    <row r="50" spans="1:18" s="1383" customFormat="1" ht="13.5" thickBot="1">
      <c r="A50" s="975"/>
      <c r="B50" s="978"/>
      <c r="C50" s="1117"/>
      <c r="D50" s="952"/>
      <c r="E50" s="1055" t="s">
        <v>697</v>
      </c>
      <c r="F50" s="1056">
        <f ca="1">F7</f>
        <v>158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57</v>
      </c>
      <c r="K51" s="1433" t="s">
        <v>830</v>
      </c>
      <c r="L51" s="1434">
        <f ca="1">ROUND(-PV(INDIRECT("'数据-取费表'!h"&amp;$G$1),J51,(C39-C13*C76),0),0)</f>
        <v>-8204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47.01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47.01</v>
      </c>
      <c r="K53" s="3654" t="s">
        <v>837</v>
      </c>
      <c r="L53" s="3655"/>
      <c r="O53" s="1417" t="s">
        <v>409</v>
      </c>
      <c r="P53" s="1418" t="s">
        <v>838</v>
      </c>
      <c r="Q53" s="1419">
        <f ca="1">Q47+Q48</f>
        <v>2217</v>
      </c>
      <c r="R53" s="1419" t="s">
        <v>410</v>
      </c>
    </row>
    <row r="54" spans="1:18" s="1383" customFormat="1" ht="13.5" thickBot="1">
      <c r="A54" s="1152"/>
      <c r="B54" s="1366" t="s">
        <v>679</v>
      </c>
      <c r="C54" s="958"/>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5"/>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6855</v>
      </c>
      <c r="D56" s="1446"/>
      <c r="E56" s="1447"/>
      <c r="F56" s="1439"/>
      <c r="I56" s="1448" t="s">
        <v>842</v>
      </c>
      <c r="J56" s="1449" t="s">
        <v>3428</v>
      </c>
      <c r="K56" s="1420" t="s">
        <v>843</v>
      </c>
      <c r="L56" s="1423" t="str">
        <f ca="1">IF(L48&lt;J51,"——",L48-J53)</f>
        <v>——</v>
      </c>
      <c r="O56" s="1417" t="s">
        <v>403</v>
      </c>
      <c r="P56" s="1418" t="s">
        <v>817</v>
      </c>
      <c r="Q56" s="1419">
        <f ca="1">C40+J29</f>
        <v>2115</v>
      </c>
      <c r="R56" s="1419" t="s">
        <v>818</v>
      </c>
    </row>
    <row r="57" spans="1:18" s="1383" customFormat="1" ht="24.75" thickBot="1">
      <c r="A57" s="1450"/>
      <c r="B57" s="949" t="s">
        <v>767</v>
      </c>
      <c r="C57" s="237">
        <f ca="1">C29</f>
        <v>7617</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90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3047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102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3.99</v>
      </c>
      <c r="D62" s="964" t="s">
        <v>786</v>
      </c>
      <c r="E62" s="949" t="s">
        <v>787</v>
      </c>
      <c r="F62" s="324">
        <f t="shared" si="0"/>
        <v>24</v>
      </c>
      <c r="I62" s="1461" t="s">
        <v>858</v>
      </c>
      <c r="J62" s="1462" t="s">
        <v>859</v>
      </c>
      <c r="K62" s="1462" t="s">
        <v>860</v>
      </c>
      <c r="L62" s="1462" t="s">
        <v>861</v>
      </c>
      <c r="M62" s="1463" t="s">
        <v>862</v>
      </c>
      <c r="O62" s="1417" t="s">
        <v>409</v>
      </c>
      <c r="P62" s="1418" t="s">
        <v>863</v>
      </c>
      <c r="Q62" s="1419">
        <f ca="1">Q56+Q57</f>
        <v>2115</v>
      </c>
      <c r="R62" s="1419" t="s">
        <v>410</v>
      </c>
    </row>
    <row r="63" spans="1:18" s="1383" customFormat="1" ht="13.5" thickBot="1">
      <c r="A63" s="325"/>
      <c r="B63" s="955"/>
      <c r="C63" s="26"/>
      <c r="D63" s="965"/>
      <c r="E63" s="949" t="s">
        <v>788</v>
      </c>
      <c r="F63" s="302">
        <f t="shared" ca="1" si="0"/>
        <v>1664.3700000000001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76.17</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10.28</v>
      </c>
      <c r="D65" s="963" t="s">
        <v>743</v>
      </c>
      <c r="E65" s="949" t="s">
        <v>744</v>
      </c>
      <c r="F65" s="329">
        <f t="shared" ca="1" si="0"/>
        <v>1.5E-3</v>
      </c>
      <c r="I65" s="1461" t="s">
        <v>867</v>
      </c>
      <c r="J65" s="1462">
        <v>40</v>
      </c>
      <c r="K65" s="1462">
        <v>30</v>
      </c>
      <c r="L65" s="1462">
        <v>50</v>
      </c>
      <c r="M65" s="1464">
        <v>0.02</v>
      </c>
      <c r="O65" s="1417" t="s">
        <v>403</v>
      </c>
      <c r="P65" s="1418" t="s">
        <v>868</v>
      </c>
      <c r="Q65" s="1419">
        <f ca="1">C40+J29</f>
        <v>2115</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-90</v>
      </c>
      <c r="D67" s="962" t="s">
        <v>753</v>
      </c>
      <c r="E67" s="967"/>
      <c r="F67" s="968"/>
      <c r="O67" s="1427" t="s">
        <v>405</v>
      </c>
      <c r="P67" s="1418" t="s">
        <v>850</v>
      </c>
      <c r="Q67" s="1465">
        <f ca="1">L51</f>
        <v>-8204</v>
      </c>
      <c r="R67" s="1419" t="s">
        <v>870</v>
      </c>
    </row>
    <row r="68" spans="1:18" s="1383" customFormat="1" ht="16.5" thickBot="1">
      <c r="A68" s="946" t="s">
        <v>395</v>
      </c>
      <c r="B68" s="947" t="s">
        <v>774</v>
      </c>
      <c r="C68" s="300">
        <f ca="1">ROUND(C67*(1-((1+F70)/(1+F68))^F69)/(F68-F70),0)</f>
        <v>-1618</v>
      </c>
      <c r="D68" s="964" t="s">
        <v>758</v>
      </c>
      <c r="E68" s="949" t="s">
        <v>759</v>
      </c>
      <c r="F68" s="311">
        <f ca="1">F40</f>
        <v>0.05</v>
      </c>
      <c r="O68" s="1427" t="s">
        <v>406</v>
      </c>
      <c r="P68" s="1466" t="s">
        <v>871</v>
      </c>
      <c r="Q68" s="1419">
        <f ca="1">ROUND(Q69-Q70*Q71,0)</f>
        <v>-402</v>
      </c>
      <c r="R68" s="1419" t="s">
        <v>414</v>
      </c>
    </row>
    <row r="69" spans="1:18" s="1383" customFormat="1" ht="13.5" thickBot="1">
      <c r="A69" s="950"/>
      <c r="B69" s="951"/>
      <c r="C69" s="305"/>
      <c r="D69" s="969" t="s">
        <v>762</v>
      </c>
      <c r="E69" s="949" t="s">
        <v>763</v>
      </c>
      <c r="F69" s="332">
        <f ca="1">F41</f>
        <v>47.01</v>
      </c>
      <c r="O69" s="1427" t="s">
        <v>411</v>
      </c>
      <c r="P69" s="1466" t="s">
        <v>872</v>
      </c>
      <c r="Q69" s="1419">
        <f ca="1">C39</f>
        <v>78</v>
      </c>
      <c r="R69" s="1419" t="s">
        <v>818</v>
      </c>
    </row>
    <row r="70" spans="1:18" s="1383" customFormat="1" ht="13.5" thickBot="1">
      <c r="A70" s="953"/>
      <c r="B70" s="954"/>
      <c r="C70" s="309"/>
      <c r="D70" s="965"/>
      <c r="E70" s="949" t="s">
        <v>766</v>
      </c>
      <c r="F70" s="1053"/>
      <c r="O70" s="1427" t="s">
        <v>412</v>
      </c>
      <c r="P70" s="1466" t="s">
        <v>873</v>
      </c>
      <c r="Q70" s="1419">
        <f ca="1">C13</f>
        <v>6855</v>
      </c>
      <c r="R70" s="1419" t="s">
        <v>818</v>
      </c>
    </row>
    <row r="71" spans="1:18" s="1383" customFormat="1" ht="13.5" thickBot="1">
      <c r="A71" s="970" t="s">
        <v>396</v>
      </c>
      <c r="B71" s="971" t="s">
        <v>776</v>
      </c>
      <c r="C71" s="335">
        <f ca="1">ROUND(C68*10000/F71,0)</f>
        <v>-1575</v>
      </c>
      <c r="D71" s="972" t="s">
        <v>777</v>
      </c>
      <c r="E71" s="973" t="s">
        <v>778</v>
      </c>
      <c r="F71" s="338">
        <f ca="1">F43</f>
        <v>10270.209999999999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480</v>
      </c>
      <c r="D75" s="1383"/>
      <c r="E75" s="1383"/>
      <c r="F75" s="1383"/>
      <c r="K75" s="1401"/>
      <c r="L75" s="1383"/>
      <c r="O75" s="1417" t="s">
        <v>409</v>
      </c>
      <c r="P75" s="1418" t="s">
        <v>838</v>
      </c>
      <c r="Q75" s="1419">
        <f ca="1">Q65+Q66</f>
        <v>2115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-5.1539999999999999</v>
      </c>
    </row>
    <row r="80" spans="1:18">
      <c r="B80" s="339" t="s">
        <v>800</v>
      </c>
      <c r="C80" s="273">
        <f ca="1">ROUND(C75/C39,3)</f>
        <v>6.1539999999999999</v>
      </c>
    </row>
    <row r="81" spans="2:3">
      <c r="B81" s="269" t="s">
        <v>801</v>
      </c>
      <c r="C81" s="237"/>
    </row>
    <row r="82" spans="2:3">
      <c r="B82" s="272" t="s">
        <v>802</v>
      </c>
      <c r="C82" s="274">
        <f ca="1">1-C83</f>
        <v>-2.2410000000000001</v>
      </c>
    </row>
    <row r="83" spans="2:3">
      <c r="B83" s="272" t="s">
        <v>803</v>
      </c>
      <c r="C83" s="273">
        <f ca="1">ROUND(C13/C40,3)</f>
        <v>3.2410000000000001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47.01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196029</v>
      </c>
      <c r="C2" s="1386" t="s">
        <v>805</v>
      </c>
      <c r="D2" s="1386"/>
      <c r="E2" s="1387"/>
      <c r="F2" s="1388"/>
      <c r="G2" s="2705"/>
      <c r="H2" s="2694"/>
      <c r="I2" s="2694"/>
      <c r="J2" s="2694"/>
      <c r="K2" s="2695"/>
      <c r="L2" s="2694"/>
      <c r="M2" s="2694"/>
    </row>
    <row r="3" spans="1:37" ht="18" customHeight="1" thickBot="1">
      <c r="A3" s="1389" t="s">
        <v>806</v>
      </c>
      <c r="B3" s="1390">
        <f ca="1">IF(ISERROR(B2*10000/F43),0,ROUND(B2*10000/F43,0))</f>
        <v>61861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10005</v>
      </c>
      <c r="D5" s="1363" t="s">
        <v>693</v>
      </c>
      <c r="E5" s="1070"/>
      <c r="F5" s="1071"/>
      <c r="G5" s="1383"/>
      <c r="H5" s="298">
        <v>1</v>
      </c>
      <c r="I5" s="299" t="s">
        <v>692</v>
      </c>
      <c r="J5" s="1069">
        <f ca="1">J6+J10+J12</f>
        <v>0</v>
      </c>
      <c r="K5" s="1363" t="s">
        <v>693</v>
      </c>
      <c r="L5" s="1070"/>
      <c r="M5" s="1071"/>
    </row>
    <row r="6" spans="1:37" ht="18" customHeight="1">
      <c r="A6" s="1068" t="s">
        <v>398</v>
      </c>
      <c r="B6" s="3651" t="s">
        <v>694</v>
      </c>
      <c r="C6" s="1073">
        <f ca="1">ROUND(F6*F8*F7*(1-F9)/10000,0)</f>
        <v>9993</v>
      </c>
      <c r="D6" s="154" t="s">
        <v>2109</v>
      </c>
      <c r="E6" s="301" t="s">
        <v>696</v>
      </c>
      <c r="F6" s="302">
        <f ca="1">INDIRECT("'数据-取费表'!u"&amp;$G$1)</f>
        <v>9.6</v>
      </c>
      <c r="G6" s="1383"/>
      <c r="H6" s="1068" t="s">
        <v>398</v>
      </c>
      <c r="I6" s="3651" t="s">
        <v>694</v>
      </c>
      <c r="J6" s="300">
        <f ca="1">ROUND(M6*M8*M7*(1-M9)/10000,0)</f>
        <v>0</v>
      </c>
      <c r="K6" s="154" t="s">
        <v>2108</v>
      </c>
      <c r="L6" s="301" t="s">
        <v>696</v>
      </c>
      <c r="M6" s="302">
        <f ca="1">INDIRECT("'数据-取费表'!z"&amp;$G$1)</f>
        <v>0</v>
      </c>
    </row>
    <row r="7" spans="1:37" ht="18" customHeight="1">
      <c r="A7" s="1072"/>
      <c r="B7" s="3652"/>
      <c r="C7" s="1074"/>
      <c r="D7" s="306"/>
      <c r="E7" s="1075" t="s">
        <v>697</v>
      </c>
      <c r="F7" s="302">
        <f ca="1">IF(INDIRECT("'数据-取费表'!ah"&amp;$G$1)="",INDIRECT("'数据-取费表'!k"&amp;$G$1),INDIRECT("'数据-取费表'!ah"&amp;$G$1))</f>
        <v>31688.84</v>
      </c>
      <c r="G7" s="1383"/>
      <c r="H7" s="303"/>
      <c r="I7" s="3652"/>
      <c r="J7" s="305"/>
      <c r="K7" s="306"/>
      <c r="L7" s="301" t="s">
        <v>697</v>
      </c>
      <c r="M7" s="302">
        <f ca="1">F7</f>
        <v>31688.84</v>
      </c>
    </row>
    <row r="8" spans="1:37" ht="18" customHeight="1">
      <c r="A8" s="303"/>
      <c r="B8" s="3652"/>
      <c r="C8" s="305"/>
      <c r="D8" s="306"/>
      <c r="E8" s="301" t="s">
        <v>698</v>
      </c>
      <c r="F8" s="302">
        <f ca="1">INDIRECT("'数据-取费表'!ai"&amp;$G$1)</f>
        <v>365</v>
      </c>
      <c r="G8" s="1383"/>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3411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23138</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17640</v>
      </c>
      <c r="D14" s="1344" t="s">
        <v>708</v>
      </c>
      <c r="E14" s="1341"/>
      <c r="F14" s="318"/>
      <c r="G14" s="1383"/>
      <c r="H14" s="981" t="s">
        <v>398</v>
      </c>
      <c r="I14" s="301" t="s">
        <v>709</v>
      </c>
      <c r="J14" s="21">
        <f ca="1">C29</f>
        <v>25709</v>
      </c>
      <c r="K14" s="12"/>
      <c r="L14" s="806"/>
      <c r="M14" s="807"/>
    </row>
    <row r="15" spans="1:37" s="1396" customFormat="1" ht="18" customHeight="1" thickBot="1">
      <c r="A15" s="981" t="s">
        <v>399</v>
      </c>
      <c r="B15" s="301" t="s">
        <v>710</v>
      </c>
      <c r="C15" s="21">
        <f ca="1">ROUND(C14*F15,0)</f>
        <v>882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269</v>
      </c>
      <c r="K16" s="1086" t="s">
        <v>715</v>
      </c>
      <c r="L16" s="1087"/>
      <c r="M16" s="1071"/>
    </row>
    <row r="17" spans="1:37" s="1396" customFormat="1" ht="18" customHeight="1">
      <c r="A17" s="981" t="s">
        <v>681</v>
      </c>
      <c r="B17" s="301" t="s">
        <v>716</v>
      </c>
      <c r="C17" s="21">
        <f ca="1">ROUND(F17*(F43+INDIRECT("'数据-取费表'!S"&amp;$G$1))/10000,0)</f>
        <v>641</v>
      </c>
      <c r="D17" s="301" t="s">
        <v>717</v>
      </c>
      <c r="E17" s="301" t="s">
        <v>718</v>
      </c>
      <c r="F17" s="23">
        <f>'数据-取费表'!B35</f>
        <v>200</v>
      </c>
      <c r="G17" s="1395"/>
      <c r="H17" s="981" t="s">
        <v>398</v>
      </c>
      <c r="I17" s="301" t="s">
        <v>719</v>
      </c>
      <c r="J17" s="2315">
        <f ca="1">ROUND(IF(AND(项目基本情况!B11="自然人",项目基本情况!B10="北京市"),J6*M17/(1+'数据-取费表'!C42),J18+J19+J20),2)</f>
        <v>12.33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265</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19428</v>
      </c>
      <c r="D19" s="130" t="s">
        <v>726</v>
      </c>
      <c r="E19" s="1359"/>
      <c r="F19" s="23"/>
      <c r="G19" s="1383"/>
      <c r="H19" s="981" t="s">
        <v>399</v>
      </c>
      <c r="I19" s="301" t="s">
        <v>727</v>
      </c>
      <c r="J19" s="21">
        <f ca="1">IF(K19="按租金收入计税",ROUND(J6*M19/(1+'数据-取费表'!C42),2),ROUND(C29*M19*0.7,2))</f>
        <v>0</v>
      </c>
      <c r="K19" s="1369" t="s">
        <v>3343</v>
      </c>
      <c r="L19" s="301" t="s">
        <v>712</v>
      </c>
      <c r="M19" s="321">
        <f>IF(K19="按租金收入计税",'数据-取费表'!B51,'数据-取费表'!B50)</f>
        <v>0.12</v>
      </c>
    </row>
    <row r="20" spans="1:37" s="1396" customFormat="1" ht="18" customHeight="1">
      <c r="A20" s="981" t="s">
        <v>402</v>
      </c>
      <c r="B20" s="301" t="s">
        <v>728</v>
      </c>
      <c r="C20" s="21">
        <f ca="1">ROUND(C19*F20,0)</f>
        <v>486</v>
      </c>
      <c r="D20" s="322" t="s">
        <v>729</v>
      </c>
      <c r="E20" s="301" t="s">
        <v>712</v>
      </c>
      <c r="F20" s="321">
        <f>'数据-取费表'!B37</f>
        <v>2.5000000000000001E-2</v>
      </c>
      <c r="G20" s="1395"/>
      <c r="H20" s="981" t="s">
        <v>680</v>
      </c>
      <c r="I20" s="154" t="s">
        <v>730</v>
      </c>
      <c r="J20" s="22">
        <f ca="1">ROUND(M20*M21/10000,2)</f>
        <v>12.33</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5135.43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257.08999999999997</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826</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-269</v>
      </c>
      <c r="K25" s="1094" t="s">
        <v>753</v>
      </c>
      <c r="L25" s="1095"/>
      <c r="M25" s="1096"/>
    </row>
    <row r="26" spans="1:37">
      <c r="A26" s="981" t="s">
        <v>397</v>
      </c>
      <c r="B26" s="301" t="s">
        <v>754</v>
      </c>
      <c r="C26" s="21">
        <f ca="1">ROUND((C19+C20)*F26,0)</f>
        <v>2987</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0.06</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25709</v>
      </c>
      <c r="D29" s="1091"/>
      <c r="E29" s="1089"/>
      <c r="F29" s="1092"/>
      <c r="G29" s="1395"/>
      <c r="H29" s="333" t="s">
        <v>396</v>
      </c>
      <c r="I29" s="334" t="s">
        <v>768</v>
      </c>
      <c r="J29" s="335">
        <f ca="1">ROUND(J26/(1+F40)^F41,0)</f>
        <v>0</v>
      </c>
      <c r="K29" s="336" t="s">
        <v>769</v>
      </c>
      <c r="L29" s="337"/>
      <c r="M29" s="338">
        <f ca="1">INDIRECT("'数据-取费表'!k"&amp;$G$1)</f>
        <v>31688.84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2079</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1687.35</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532.96</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1142.06</v>
      </c>
      <c r="D33" s="1369" t="s">
        <v>3343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12.33</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5135.43</v>
      </c>
      <c r="G35" s="1383"/>
      <c r="H35" s="2696"/>
      <c r="I35" s="1397"/>
      <c r="J35" s="1398"/>
      <c r="K35" s="2700"/>
      <c r="L35" s="2699"/>
      <c r="M35" s="2699"/>
    </row>
    <row r="36" spans="1:18" ht="18" customHeight="1">
      <c r="A36" s="1101" t="s">
        <v>402</v>
      </c>
      <c r="B36" s="301" t="s">
        <v>738</v>
      </c>
      <c r="C36" s="21">
        <f ca="1">ROUND(C29*F36,2)</f>
        <v>257.08999999999997</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ROUND(C13*F37,2)</f>
        <v>34.71</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100.05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7926</v>
      </c>
      <c r="D39" s="1094" t="s">
        <v>773</v>
      </c>
      <c r="E39" s="1095"/>
      <c r="F39" s="1096"/>
      <c r="G39" s="1383"/>
      <c r="H39" s="2699"/>
      <c r="I39" s="1397"/>
      <c r="J39" s="1398"/>
      <c r="K39" s="2703"/>
      <c r="L39" s="2699"/>
      <c r="M39" s="2699"/>
    </row>
    <row r="40" spans="1:18" ht="18" customHeight="1">
      <c r="A40" s="298" t="s">
        <v>395</v>
      </c>
      <c r="B40" s="299" t="s">
        <v>774</v>
      </c>
      <c r="C40" s="300">
        <f ca="1">ROUND(C39*(1-((1+F42)/(1+F40))^F41)/(F40-F42),0)</f>
        <v>195686</v>
      </c>
      <c r="D40" s="323" t="s">
        <v>758</v>
      </c>
      <c r="E40" s="301" t="s">
        <v>759</v>
      </c>
      <c r="F40" s="311">
        <f ca="1">INDIRECT("'数据-取费表'!I"&amp;$G$1)</f>
        <v>0.06</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47.01</v>
      </c>
      <c r="G41" s="1383"/>
      <c r="H41" s="1190"/>
      <c r="I41" s="1397"/>
      <c r="J41" s="1398"/>
      <c r="K41" s="2543"/>
      <c r="L41" s="1190"/>
      <c r="M41" s="1190"/>
    </row>
    <row r="42" spans="1:18" ht="18" customHeight="1">
      <c r="A42" s="307"/>
      <c r="B42" s="308"/>
      <c r="C42" s="309"/>
      <c r="D42" s="326"/>
      <c r="E42" s="301" t="s">
        <v>766</v>
      </c>
      <c r="F42" s="311">
        <f ca="1">INDIRECT("'数据-取费表'!v"&amp;$G$1)</f>
        <v>0.03</v>
      </c>
      <c r="G42" s="1383"/>
      <c r="H42" s="1190"/>
      <c r="I42" s="1397"/>
      <c r="J42" s="1398"/>
      <c r="K42" s="2543"/>
      <c r="L42" s="1190"/>
      <c r="M42" s="1190"/>
    </row>
    <row r="43" spans="1:18" ht="18" customHeight="1" thickBot="1">
      <c r="A43" s="333" t="s">
        <v>396</v>
      </c>
      <c r="B43" s="334" t="s">
        <v>776</v>
      </c>
      <c r="C43" s="335">
        <f ca="1">ROUND(C40*10000/F43,0)</f>
        <v>61752</v>
      </c>
      <c r="D43" s="336" t="s">
        <v>777</v>
      </c>
      <c r="E43" s="337" t="s">
        <v>778</v>
      </c>
      <c r="F43" s="338">
        <f ca="1">INDIRECT("'数据-取费表'!k"&amp;$G$1)</f>
        <v>31688.84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-200425</v>
      </c>
      <c r="D46" s="1405" t="str">
        <f>C2</f>
        <v>万元</v>
      </c>
      <c r="E46" s="1399"/>
      <c r="F46" s="1399"/>
      <c r="I46" s="1406" t="s">
        <v>810</v>
      </c>
      <c r="J46" s="1407"/>
      <c r="K46" s="1408"/>
      <c r="L46" s="1409">
        <f ca="1">IF(M47="住宅",0,IF(L48&gt;J51,L60,J60))</f>
        <v>343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3412</v>
      </c>
      <c r="K47" s="1415" t="s">
        <v>816</v>
      </c>
      <c r="L47" s="1416">
        <f ca="1">INDIRECT("'数据-取费表'!d"&amp;$G$1)</f>
        <v>50</v>
      </c>
      <c r="M47" s="1379" t="str">
        <f>IF(ISNUMBER(FIND("住宅",C1)),"住宅","非住宅")</f>
        <v>非住宅</v>
      </c>
      <c r="O47" s="1417" t="s">
        <v>403</v>
      </c>
      <c r="P47" s="1418" t="s">
        <v>817</v>
      </c>
      <c r="Q47" s="1419">
        <f ca="1">C40+J29</f>
        <v>195686</v>
      </c>
      <c r="R47" s="1419" t="s">
        <v>818</v>
      </c>
    </row>
    <row r="48" spans="1:18" s="1383" customFormat="1" ht="28.5" thickBot="1">
      <c r="A48" s="1109" t="s">
        <v>438</v>
      </c>
      <c r="B48" s="299" t="s">
        <v>692</v>
      </c>
      <c r="C48" s="1358">
        <f ca="1">C49+C53+C55</f>
        <v>0</v>
      </c>
      <c r="D48" s="1111"/>
      <c r="E48" s="1112"/>
      <c r="F48" s="961"/>
      <c r="G48" s="721"/>
      <c r="H48" s="722"/>
      <c r="I48" s="1420" t="s">
        <v>819</v>
      </c>
      <c r="J48" s="1421" t="s">
        <v>3413</v>
      </c>
      <c r="K48" s="1422" t="s">
        <v>820</v>
      </c>
      <c r="L48" s="1423">
        <f ca="1">INDIRECT("'数据-取费表'!f"&amp;$G$1)</f>
        <v>47.01</v>
      </c>
      <c r="O48" s="1417" t="s">
        <v>404</v>
      </c>
      <c r="P48" s="1418" t="s">
        <v>821</v>
      </c>
      <c r="Q48" s="1419">
        <f ca="1">J60</f>
        <v>343</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25709</v>
      </c>
      <c r="R49" s="1419" t="s">
        <v>818</v>
      </c>
    </row>
    <row r="50" spans="1:18" s="1383" customFormat="1" ht="13.5" thickBot="1">
      <c r="A50" s="975"/>
      <c r="B50" s="978"/>
      <c r="C50" s="1117"/>
      <c r="D50" s="952"/>
      <c r="E50" s="1055" t="s">
        <v>697</v>
      </c>
      <c r="F50" s="1056">
        <f ca="1">F7</f>
        <v>31688.84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57</v>
      </c>
      <c r="K51" s="1433" t="s">
        <v>830</v>
      </c>
      <c r="L51" s="1434">
        <f ca="1">ROUND(-PV(INDIRECT("'数据-取费表'!h"&amp;$G$1),J51,(C39-C13*C76),0),0)</f>
        <v>118310</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47.01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47.01</v>
      </c>
      <c r="K53" s="3654" t="s">
        <v>837</v>
      </c>
      <c r="L53" s="3655"/>
      <c r="O53" s="1417" t="s">
        <v>409</v>
      </c>
      <c r="P53" s="1418" t="s">
        <v>838</v>
      </c>
      <c r="Q53" s="1419">
        <f ca="1">Q47+Q48</f>
        <v>196029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23138</v>
      </c>
      <c r="D56" s="1446"/>
      <c r="E56" s="1447"/>
      <c r="F56" s="1439"/>
      <c r="I56" s="1448" t="s">
        <v>842</v>
      </c>
      <c r="J56" s="1449" t="s">
        <v>3428</v>
      </c>
      <c r="K56" s="1420" t="s">
        <v>843</v>
      </c>
      <c r="L56" s="1423" t="str">
        <f ca="1">IF(L48&lt;J51,"——",L48-J53)</f>
        <v>——</v>
      </c>
      <c r="O56" s="1417" t="s">
        <v>403</v>
      </c>
      <c r="P56" s="1418" t="s">
        <v>817</v>
      </c>
      <c r="Q56" s="1419">
        <f ca="1">C40+J29</f>
        <v>195686</v>
      </c>
      <c r="R56" s="1419" t="s">
        <v>818</v>
      </c>
    </row>
    <row r="57" spans="1:18" s="1383" customFormat="1" ht="24.75" thickBot="1">
      <c r="A57" s="1450"/>
      <c r="B57" s="949" t="s">
        <v>767</v>
      </c>
      <c r="C57" s="237">
        <f ca="1">C29</f>
        <v>25709</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304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10284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343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12.33</v>
      </c>
      <c r="D62" s="964" t="s">
        <v>786</v>
      </c>
      <c r="E62" s="949" t="s">
        <v>787</v>
      </c>
      <c r="F62" s="324">
        <f t="shared" si="0"/>
        <v>24</v>
      </c>
      <c r="I62" s="1461" t="s">
        <v>858</v>
      </c>
      <c r="J62" s="1462" t="s">
        <v>859</v>
      </c>
      <c r="K62" s="1462" t="s">
        <v>860</v>
      </c>
      <c r="L62" s="1462" t="s">
        <v>861</v>
      </c>
      <c r="M62" s="1463" t="s">
        <v>862</v>
      </c>
      <c r="O62" s="1417" t="s">
        <v>409</v>
      </c>
      <c r="P62" s="1418" t="s">
        <v>863</v>
      </c>
      <c r="Q62" s="1419">
        <f ca="1">Q56+Q57</f>
        <v>195686</v>
      </c>
      <c r="R62" s="1419" t="s">
        <v>410</v>
      </c>
    </row>
    <row r="63" spans="1:18" s="1383" customFormat="1" ht="13.5" thickBot="1">
      <c r="A63" s="325"/>
      <c r="B63" s="955"/>
      <c r="C63" s="26"/>
      <c r="D63" s="965"/>
      <c r="E63" s="949" t="s">
        <v>788</v>
      </c>
      <c r="F63" s="302">
        <f t="shared" ca="1" si="0"/>
        <v>5135.43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257.08999999999997</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34.71</v>
      </c>
      <c r="D65" s="963" t="s">
        <v>743</v>
      </c>
      <c r="E65" s="949" t="s">
        <v>744</v>
      </c>
      <c r="F65" s="329">
        <f t="shared" ca="1" si="0"/>
        <v>1.5E-3</v>
      </c>
      <c r="I65" s="1461" t="s">
        <v>867</v>
      </c>
      <c r="J65" s="1462">
        <v>40</v>
      </c>
      <c r="K65" s="1462">
        <v>30</v>
      </c>
      <c r="L65" s="1462">
        <v>50</v>
      </c>
      <c r="M65" s="1464">
        <v>0.02</v>
      </c>
      <c r="O65" s="1417" t="s">
        <v>403</v>
      </c>
      <c r="P65" s="1418" t="s">
        <v>868</v>
      </c>
      <c r="Q65" s="1419">
        <f ca="1">C40+J29</f>
        <v>195686</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-304</v>
      </c>
      <c r="D67" s="962" t="s">
        <v>753</v>
      </c>
      <c r="E67" s="967"/>
      <c r="F67" s="968"/>
      <c r="O67" s="1427" t="s">
        <v>405</v>
      </c>
      <c r="P67" s="1418" t="s">
        <v>850</v>
      </c>
      <c r="Q67" s="1465">
        <f ca="1">L51</f>
        <v>118310</v>
      </c>
      <c r="R67" s="1419" t="s">
        <v>870</v>
      </c>
    </row>
    <row r="68" spans="1:18" s="1383" customFormat="1" ht="16.5" thickBot="1">
      <c r="A68" s="946" t="s">
        <v>395</v>
      </c>
      <c r="B68" s="947" t="s">
        <v>774</v>
      </c>
      <c r="C68" s="300">
        <f ca="1">ROUND(C67*(1-((1+F70)/(1+F68))^F69)/(F68-F70),0)</f>
        <v>-4739</v>
      </c>
      <c r="D68" s="964" t="s">
        <v>758</v>
      </c>
      <c r="E68" s="949" t="s">
        <v>759</v>
      </c>
      <c r="F68" s="311">
        <f ca="1">F40</f>
        <v>0.06</v>
      </c>
      <c r="O68" s="1427" t="s">
        <v>406</v>
      </c>
      <c r="P68" s="1466" t="s">
        <v>871</v>
      </c>
      <c r="Q68" s="1419">
        <f ca="1">ROUND(Q69-Q70*Q71,0)</f>
        <v>6306</v>
      </c>
      <c r="R68" s="1419" t="s">
        <v>414</v>
      </c>
    </row>
    <row r="69" spans="1:18" s="1383" customFormat="1" ht="13.5" thickBot="1">
      <c r="A69" s="950"/>
      <c r="B69" s="951"/>
      <c r="C69" s="305"/>
      <c r="D69" s="969" t="s">
        <v>762</v>
      </c>
      <c r="E69" s="949" t="s">
        <v>763</v>
      </c>
      <c r="F69" s="332">
        <f ca="1">F41</f>
        <v>47.01</v>
      </c>
      <c r="O69" s="1427" t="s">
        <v>411</v>
      </c>
      <c r="P69" s="1466" t="s">
        <v>872</v>
      </c>
      <c r="Q69" s="1419">
        <f ca="1">C39</f>
        <v>7926</v>
      </c>
      <c r="R69" s="1419" t="s">
        <v>818</v>
      </c>
    </row>
    <row r="70" spans="1:18" s="1383" customFormat="1" ht="13.5" thickBot="1">
      <c r="A70" s="953"/>
      <c r="B70" s="954"/>
      <c r="C70" s="309"/>
      <c r="D70" s="965"/>
      <c r="E70" s="949" t="s">
        <v>766</v>
      </c>
      <c r="F70" s="1053"/>
      <c r="O70" s="1427" t="s">
        <v>412</v>
      </c>
      <c r="P70" s="1466" t="s">
        <v>873</v>
      </c>
      <c r="Q70" s="1419">
        <f ca="1">C13</f>
        <v>23138</v>
      </c>
      <c r="R70" s="1419" t="s">
        <v>818</v>
      </c>
    </row>
    <row r="71" spans="1:18" s="1383" customFormat="1" ht="13.5" thickBot="1">
      <c r="A71" s="970" t="s">
        <v>396</v>
      </c>
      <c r="B71" s="971" t="s">
        <v>776</v>
      </c>
      <c r="C71" s="335">
        <f ca="1">ROUND(C68*10000/F71,0)</f>
        <v>-1495</v>
      </c>
      <c r="D71" s="972" t="s">
        <v>777</v>
      </c>
      <c r="E71" s="973" t="s">
        <v>778</v>
      </c>
      <c r="F71" s="338">
        <f ca="1">F43</f>
        <v>31688.84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1620</v>
      </c>
      <c r="D75" s="1383"/>
      <c r="E75" s="1383"/>
      <c r="F75" s="1383"/>
      <c r="K75" s="1401"/>
      <c r="L75" s="1383"/>
      <c r="O75" s="1417" t="s">
        <v>409</v>
      </c>
      <c r="P75" s="1418" t="s">
        <v>838</v>
      </c>
      <c r="Q75" s="1419">
        <f ca="1">Q65+Q66</f>
        <v>195686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0.79600000000000004</v>
      </c>
    </row>
    <row r="80" spans="1:18">
      <c r="B80" s="339" t="s">
        <v>800</v>
      </c>
      <c r="C80" s="273">
        <f ca="1">ROUND(C75/C39,3)</f>
        <v>0.20399999999999999</v>
      </c>
    </row>
    <row r="81" spans="2:3">
      <c r="B81" s="269" t="s">
        <v>801</v>
      </c>
      <c r="C81" s="237"/>
    </row>
    <row r="82" spans="2:3">
      <c r="B82" s="272" t="s">
        <v>802</v>
      </c>
      <c r="C82" s="274">
        <f ca="1">1-C83</f>
        <v>0.88200000000000001</v>
      </c>
    </row>
    <row r="83" spans="2:3">
      <c r="B83" s="272" t="s">
        <v>803</v>
      </c>
      <c r="C83" s="273">
        <f ca="1">ROUND(C13/C40,3)</f>
        <v>0.11799999999999999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 sqref="H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1" t="s">
        <v>694</v>
      </c>
      <c r="C6" s="1073">
        <f ca="1">ROUND(F6*F8*F7*(1-F9),0)</f>
        <v>0</v>
      </c>
      <c r="D6" s="154" t="s">
        <v>2106</v>
      </c>
      <c r="E6" s="301" t="s">
        <v>696</v>
      </c>
      <c r="F6" s="302">
        <f ca="1">INDIRECT("'数据-取费表'!u"&amp;$G$1)</f>
        <v>0</v>
      </c>
      <c r="G6" s="1383"/>
      <c r="H6" s="1068" t="s">
        <v>398</v>
      </c>
      <c r="I6" s="3651" t="s">
        <v>694</v>
      </c>
      <c r="J6" s="300">
        <f ca="1">ROUND(M6*M8*M7*(1-M9),0)</f>
        <v>0</v>
      </c>
      <c r="K6" s="1375" t="s">
        <v>2107</v>
      </c>
      <c r="L6" s="301" t="s">
        <v>696</v>
      </c>
      <c r="M6" s="302">
        <f ca="1">INDIRECT("'数据-取费表'!z"&amp;$G$1)</f>
        <v>0</v>
      </c>
    </row>
    <row r="7" spans="1:37" ht="18" customHeight="1">
      <c r="A7" s="1072"/>
      <c r="B7" s="3652"/>
      <c r="C7" s="1074"/>
      <c r="D7" s="306"/>
      <c r="E7" s="1075" t="s">
        <v>697</v>
      </c>
      <c r="F7" s="302">
        <f ca="1">IF(INDIRECT("'数据-取费表'!ah"&amp;$G$1)="",INDIRECT("'数据-取费表'!k"&amp;$G$1),INDIRECT("'数据-取费表'!ah"&amp;$G$1))</f>
        <v>0</v>
      </c>
      <c r="G7" s="1383"/>
      <c r="H7" s="303"/>
      <c r="I7" s="3652"/>
      <c r="J7" s="305"/>
      <c r="K7" s="306"/>
      <c r="L7" s="301" t="s">
        <v>697</v>
      </c>
      <c r="M7" s="302">
        <f ca="1">F7</f>
        <v>0</v>
      </c>
    </row>
    <row r="8" spans="1:37" ht="18" customHeight="1">
      <c r="A8" s="303"/>
      <c r="B8" s="3652"/>
      <c r="C8" s="305"/>
      <c r="D8" s="306"/>
      <c r="E8" s="301" t="s">
        <v>698</v>
      </c>
      <c r="F8" s="302">
        <f ca="1">INDIRECT("'数据-取费表'!ai"&amp;$G$1)</f>
        <v>0</v>
      </c>
      <c r="G8" s="1383"/>
      <c r="H8" s="303"/>
      <c r="I8" s="3652"/>
      <c r="J8" s="305"/>
      <c r="K8" s="306"/>
      <c r="L8" s="301" t="s">
        <v>698</v>
      </c>
      <c r="M8" s="302">
        <f ca="1">INDIRECT("'数据-取费表'!ai"&amp;$G$1)</f>
        <v>0</v>
      </c>
    </row>
    <row r="9" spans="1:37" ht="18" customHeight="1">
      <c r="A9" s="303"/>
      <c r="B9" s="3653"/>
      <c r="C9" s="305"/>
      <c r="D9" s="306"/>
      <c r="E9" s="301" t="s">
        <v>699</v>
      </c>
      <c r="F9" s="311">
        <f ca="1">INDIRECT("'数据-取费表'!w"&amp;$G$1)</f>
        <v>0</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3343</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2.5000000000000001E-2</v>
      </c>
      <c r="G20" s="1395"/>
      <c r="H20" s="981" t="s">
        <v>680</v>
      </c>
      <c r="I20" s="154" t="s">
        <v>730</v>
      </c>
      <c r="J20" s="22">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3359</v>
      </c>
      <c r="B45" s="1399"/>
      <c r="C45" s="1471" t="e">
        <f ca="1">ROUND((C68-C40)/10000,4)</f>
        <v>#DIV/0!</v>
      </c>
      <c r="D45" s="3431"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4" t="s">
        <v>837</v>
      </c>
      <c r="L53" s="365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3366</v>
      </c>
      <c r="E2" s="3443"/>
      <c r="F2" s="2845"/>
      <c r="G2" s="2846"/>
      <c r="H2" s="2847"/>
      <c r="I2" s="2848"/>
      <c r="J2" s="3656" t="s">
        <v>2320</v>
      </c>
      <c r="K2" s="365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8" t="s">
        <v>2330</v>
      </c>
      <c r="K3" s="365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8" t="s">
        <v>2332</v>
      </c>
      <c r="K4" s="365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0" t="s">
        <v>2336</v>
      </c>
      <c r="B6" s="3661"/>
      <c r="C6" s="3662"/>
      <c r="D6" s="2869"/>
      <c r="E6" s="2870"/>
      <c r="F6" s="2871"/>
      <c r="G6" s="2872"/>
      <c r="H6" s="2847"/>
      <c r="I6" s="2848"/>
      <c r="J6" s="3663">
        <v>1</v>
      </c>
      <c r="K6" s="366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3"/>
      <c r="K7" s="366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7" t="s">
        <v>2350</v>
      </c>
      <c r="C8" s="3668"/>
      <c r="D8" s="2888" t="s">
        <v>2351</v>
      </c>
      <c r="E8" s="2889" t="s">
        <v>2352</v>
      </c>
      <c r="F8" s="2890" t="s">
        <v>2353</v>
      </c>
      <c r="G8" s="2891"/>
      <c r="H8" s="2847"/>
      <c r="I8" s="2848"/>
      <c r="J8" s="3663"/>
      <c r="K8" s="366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7" t="s">
        <v>2356</v>
      </c>
      <c r="C9" s="3668"/>
      <c r="D9" s="2888">
        <f>ROUND(D6*E9,0)</f>
        <v>0</v>
      </c>
      <c r="E9" s="2892"/>
      <c r="F9" s="2893" t="s">
        <v>2357</v>
      </c>
      <c r="G9" s="2872"/>
      <c r="H9" s="2847"/>
      <c r="I9" s="2848"/>
      <c r="J9" s="3663"/>
      <c r="K9" s="3665"/>
      <c r="L9" s="2882" t="s">
        <v>2358</v>
      </c>
      <c r="M9" s="2883"/>
      <c r="N9" s="2859"/>
      <c r="O9" s="2884"/>
      <c r="P9" s="2884"/>
      <c r="Q9" s="2885">
        <v>365</v>
      </c>
      <c r="R9" s="2886">
        <f t="shared" si="0"/>
        <v>0</v>
      </c>
      <c r="S9" s="2840"/>
      <c r="T9" s="2840"/>
      <c r="U9" s="2840"/>
      <c r="V9" s="2848"/>
    </row>
    <row r="10" spans="1:22" s="2852" customFormat="1" ht="13.15" customHeight="1">
      <c r="A10" s="2887">
        <v>2</v>
      </c>
      <c r="B10" s="3667" t="s">
        <v>2359</v>
      </c>
      <c r="C10" s="3668"/>
      <c r="D10" s="2888">
        <f>ROUND(D6*E10,0)</f>
        <v>0</v>
      </c>
      <c r="E10" s="2892"/>
      <c r="F10" s="2893" t="s">
        <v>2360</v>
      </c>
      <c r="G10" s="2872"/>
      <c r="H10" s="2847"/>
      <c r="I10" s="2848"/>
      <c r="J10" s="3663"/>
      <c r="K10" s="3665"/>
      <c r="L10" s="2882" t="s">
        <v>2361</v>
      </c>
      <c r="M10" s="2883"/>
      <c r="N10" s="2859"/>
      <c r="O10" s="2884"/>
      <c r="P10" s="2884"/>
      <c r="Q10" s="2885">
        <v>365</v>
      </c>
      <c r="R10" s="2886">
        <f t="shared" si="0"/>
        <v>0</v>
      </c>
      <c r="S10" s="2840"/>
      <c r="T10" s="2840"/>
      <c r="U10" s="2840"/>
      <c r="V10" s="2848"/>
    </row>
    <row r="11" spans="1:22" s="2852" customFormat="1" ht="13.15" customHeight="1">
      <c r="A11" s="2887">
        <v>3</v>
      </c>
      <c r="B11" s="3667" t="s">
        <v>2362</v>
      </c>
      <c r="C11" s="3668"/>
      <c r="D11" s="2888">
        <f>D12+D14+D15+D16</f>
        <v>0</v>
      </c>
      <c r="E11" s="2894" t="e">
        <f>D11/D6</f>
        <v>#DIV/0!</v>
      </c>
      <c r="F11" s="2890"/>
      <c r="G11" s="2891"/>
      <c r="H11" s="2847"/>
      <c r="I11" s="2848"/>
      <c r="J11" s="3663"/>
      <c r="K11" s="366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9" t="s">
        <v>2365</v>
      </c>
      <c r="C12" s="3670"/>
      <c r="D12" s="2896">
        <f>ROUND(D13*1.2%*(1-30%),0)</f>
        <v>0</v>
      </c>
      <c r="E12" s="2897">
        <v>1.2E-2</v>
      </c>
      <c r="F12" s="2890" t="s">
        <v>2366</v>
      </c>
      <c r="G12" s="2891"/>
      <c r="H12" s="2847"/>
      <c r="I12" s="2848"/>
      <c r="J12" s="3663"/>
      <c r="K12" s="366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3"/>
      <c r="K13" s="366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9" t="s">
        <v>2371</v>
      </c>
      <c r="C14" s="3670"/>
      <c r="D14" s="2896">
        <f>ROUND(E14*B5/10000,0)</f>
        <v>0</v>
      </c>
      <c r="E14" s="2885"/>
      <c r="F14" s="2890" t="s">
        <v>2372</v>
      </c>
      <c r="G14" s="2891"/>
      <c r="H14" s="2847"/>
      <c r="I14" s="2848"/>
      <c r="J14" s="3663"/>
      <c r="K14" s="366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9" t="s">
        <v>2375</v>
      </c>
      <c r="C15" s="3670"/>
      <c r="D15" s="2896">
        <f>ROUND(D6*E15,0)</f>
        <v>0</v>
      </c>
      <c r="E15" s="2897">
        <v>5.5E-2</v>
      </c>
      <c r="F15" s="2890" t="s">
        <v>2376</v>
      </c>
      <c r="G15" s="2872"/>
      <c r="H15" s="2847"/>
      <c r="I15" s="2848"/>
      <c r="J15" s="3663">
        <v>2</v>
      </c>
      <c r="K15" s="366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9" t="s">
        <v>2384</v>
      </c>
      <c r="C16" s="3670"/>
      <c r="D16" s="2907">
        <f>D6*E16</f>
        <v>0</v>
      </c>
      <c r="E16" s="2908"/>
      <c r="F16" s="2893" t="s">
        <v>2385</v>
      </c>
      <c r="G16" s="2872"/>
      <c r="H16" s="2847"/>
      <c r="I16" s="2848"/>
      <c r="J16" s="3663"/>
      <c r="K16" s="366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71" t="s">
        <v>2387</v>
      </c>
      <c r="C17" s="3672"/>
      <c r="D17" s="2910">
        <f>ROUND(D6*E17,0)</f>
        <v>0</v>
      </c>
      <c r="E17" s="2911"/>
      <c r="F17" s="2912" t="s">
        <v>2388</v>
      </c>
      <c r="G17" s="2872"/>
      <c r="H17" s="2847"/>
      <c r="I17" s="2848"/>
      <c r="J17" s="3663"/>
      <c r="K17" s="366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3"/>
      <c r="K18" s="366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3"/>
      <c r="K19" s="366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3">
        <v>3</v>
      </c>
      <c r="K20" s="366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3"/>
      <c r="K21" s="366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3"/>
      <c r="K22" s="366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3"/>
      <c r="K23" s="366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3"/>
      <c r="K24" s="366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7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6" t="s">
        <v>2320</v>
      </c>
      <c r="K32" s="365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8" t="s">
        <v>2330</v>
      </c>
      <c r="K33" s="365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8" t="s">
        <v>2332</v>
      </c>
      <c r="K34" s="365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3">
        <v>1</v>
      </c>
      <c r="K36" s="366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3"/>
      <c r="K37" s="366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3"/>
      <c r="K38" s="366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3"/>
      <c r="K39" s="366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3"/>
      <c r="K40" s="366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36" sqref="M36"/>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198246</v>
      </c>
      <c r="C2" s="1871" t="s">
        <v>1651</v>
      </c>
      <c r="D2" s="1872" t="s">
        <v>1652</v>
      </c>
      <c r="E2" s="2606">
        <f>SUM(E6:E13)</f>
        <v>42466.65</v>
      </c>
      <c r="F2" s="2706"/>
      <c r="G2" s="1488"/>
      <c r="H2" s="1488"/>
      <c r="I2" s="1488"/>
      <c r="J2" s="1488"/>
      <c r="K2" s="1488"/>
      <c r="L2" s="1488"/>
      <c r="M2" s="1488"/>
      <c r="N2" s="1488"/>
      <c r="O2" s="1488"/>
      <c r="P2" s="1488"/>
      <c r="Q2" s="1488"/>
      <c r="R2" s="1488"/>
      <c r="S2" s="1488"/>
    </row>
    <row r="3" spans="1:22" ht="15.75">
      <c r="A3" s="1869" t="s">
        <v>686</v>
      </c>
      <c r="B3" s="2600">
        <f ca="1">ROUND(B2*10000/E2,0)</f>
        <v>46683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5" t="s">
        <v>1654</v>
      </c>
      <c r="C5" s="367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196029</v>
      </c>
      <c r="C6" s="1871" t="s">
        <v>1651</v>
      </c>
      <c r="D6" s="2708"/>
      <c r="E6" s="2605">
        <f>IF(OR(A6=0,F6="否"),0,'数据-取费表'!K6+'数据-取费表'!S6)</f>
        <v>32072.2</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2217</v>
      </c>
      <c r="C7" s="1871" t="s">
        <v>1651</v>
      </c>
      <c r="D7" s="2708"/>
      <c r="E7" s="2605">
        <f>IF(OR(A7=0,F7="否"),0,'数据-取费表'!K7+'数据-取费表'!S7)</f>
        <v>10394.449999999999</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42466.65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5" t="s">
        <v>1667</v>
      </c>
      <c r="D4" s="3696"/>
      <c r="E4" s="3697" t="s">
        <v>1668</v>
      </c>
      <c r="F4" s="3698"/>
      <c r="G4" s="3695" t="s">
        <v>1669</v>
      </c>
      <c r="H4" s="3696"/>
      <c r="I4" s="3695" t="s">
        <v>1670</v>
      </c>
      <c r="J4" s="3696"/>
      <c r="K4" s="1888" t="s">
        <v>1671</v>
      </c>
      <c r="L4" s="2714"/>
      <c r="M4" s="2715"/>
      <c r="N4" s="2715"/>
      <c r="O4" s="2715"/>
      <c r="P4" s="3699" t="s">
        <v>1672</v>
      </c>
      <c r="Q4" s="3700"/>
      <c r="R4" s="3682" t="s">
        <v>1668</v>
      </c>
      <c r="S4" s="3683"/>
      <c r="T4" s="3682" t="s">
        <v>1669</v>
      </c>
      <c r="U4" s="3683"/>
      <c r="V4" s="3707" t="s">
        <v>1670</v>
      </c>
      <c r="W4" s="3707"/>
      <c r="X4" s="1354"/>
      <c r="Y4" s="3682" t="s">
        <v>1672</v>
      </c>
      <c r="Z4" s="3683"/>
      <c r="AA4" s="3677" t="s">
        <v>1668</v>
      </c>
      <c r="AB4" s="3677" t="s">
        <v>1669</v>
      </c>
      <c r="AC4" s="3677" t="s">
        <v>1670</v>
      </c>
    </row>
    <row r="5" spans="1:29" ht="15">
      <c r="A5" s="357"/>
      <c r="B5" s="358"/>
      <c r="C5" s="3688" t="s">
        <v>1673</v>
      </c>
      <c r="D5" s="3689"/>
      <c r="E5" s="3686" t="s">
        <v>1674</v>
      </c>
      <c r="F5" s="3687"/>
      <c r="G5" s="3688" t="s">
        <v>1675</v>
      </c>
      <c r="H5" s="3689"/>
      <c r="I5" s="3688" t="s">
        <v>1676</v>
      </c>
      <c r="J5" s="3689"/>
      <c r="K5" s="1889"/>
      <c r="L5" s="2714"/>
      <c r="M5" s="2715"/>
      <c r="N5" s="2715"/>
      <c r="O5" s="2715"/>
      <c r="P5" s="3701"/>
      <c r="Q5" s="3702"/>
      <c r="R5" s="3684"/>
      <c r="S5" s="3685"/>
      <c r="T5" s="3684"/>
      <c r="U5" s="3685"/>
      <c r="V5" s="3707"/>
      <c r="W5" s="3707"/>
      <c r="X5" s="1354"/>
      <c r="Y5" s="3684"/>
      <c r="Z5" s="3685"/>
      <c r="AA5" s="3678"/>
      <c r="AB5" s="3678"/>
      <c r="AC5" s="3678"/>
    </row>
    <row r="6" spans="1:29" ht="15.75" thickBot="1">
      <c r="A6" s="359"/>
      <c r="B6" s="360"/>
      <c r="C6" s="3690" t="s">
        <v>1677</v>
      </c>
      <c r="D6" s="3691"/>
      <c r="E6" s="3692" t="s">
        <v>1677</v>
      </c>
      <c r="F6" s="3693"/>
      <c r="G6" s="3690" t="s">
        <v>1677</v>
      </c>
      <c r="H6" s="3691"/>
      <c r="I6" s="3690" t="s">
        <v>1677</v>
      </c>
      <c r="J6" s="3691"/>
      <c r="K6" s="1889" t="s">
        <v>1678</v>
      </c>
      <c r="L6" s="2714"/>
      <c r="M6" s="2715"/>
      <c r="N6" s="2715"/>
      <c r="O6" s="2715"/>
      <c r="P6" s="3703"/>
      <c r="Q6" s="3704"/>
      <c r="R6" s="3684"/>
      <c r="S6" s="3685"/>
      <c r="T6" s="3705"/>
      <c r="U6" s="3706"/>
      <c r="V6" s="3707"/>
      <c r="W6" s="3707"/>
      <c r="X6" s="1354"/>
      <c r="Y6" s="3705"/>
      <c r="Z6" s="3706"/>
      <c r="AA6" s="3679"/>
      <c r="AB6" s="3679"/>
      <c r="AC6" s="3679"/>
    </row>
    <row r="7" spans="1:29" s="108" customFormat="1" ht="15.75" thickBot="1">
      <c r="A7" s="361" t="s">
        <v>1679</v>
      </c>
      <c r="B7" s="362"/>
      <c r="C7" s="363">
        <f>'数据-取费表'!B2</f>
        <v>45023</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0" t="s">
        <v>1680</v>
      </c>
      <c r="Q7" s="3708"/>
      <c r="R7" s="700" t="s">
        <v>20</v>
      </c>
      <c r="S7" s="701">
        <f t="shared" ref="S7:S15" si="0">F7</f>
        <v>0</v>
      </c>
      <c r="T7" s="700" t="s">
        <v>20</v>
      </c>
      <c r="U7" s="701">
        <f t="shared" ref="U7:U15" si="1">H7</f>
        <v>0</v>
      </c>
      <c r="V7" s="700" t="s">
        <v>20</v>
      </c>
      <c r="W7" s="701">
        <f t="shared" ref="W7:W15" si="2">J7</f>
        <v>0</v>
      </c>
      <c r="X7" s="702"/>
      <c r="Y7" s="3680" t="s">
        <v>1680</v>
      </c>
      <c r="Z7" s="3681"/>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0" t="s">
        <v>1683</v>
      </c>
      <c r="Q8" s="3681"/>
      <c r="R8" s="700" t="s">
        <v>20</v>
      </c>
      <c r="S8" s="701">
        <f t="shared" si="0"/>
        <v>100</v>
      </c>
      <c r="T8" s="700" t="s">
        <v>20</v>
      </c>
      <c r="U8" s="701">
        <f t="shared" si="1"/>
        <v>100</v>
      </c>
      <c r="V8" s="700" t="s">
        <v>20</v>
      </c>
      <c r="W8" s="701">
        <f t="shared" si="2"/>
        <v>100</v>
      </c>
      <c r="X8" s="702"/>
      <c r="Y8" s="3680" t="s">
        <v>1683</v>
      </c>
      <c r="Z8" s="3681"/>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4"/>
      <c r="Q11" s="1342" t="str">
        <f t="shared" si="6"/>
        <v>容积率</v>
      </c>
      <c r="R11" s="700" t="s">
        <v>18</v>
      </c>
      <c r="S11" s="701" t="e">
        <f t="shared" si="0"/>
        <v>#N/A</v>
      </c>
      <c r="T11" s="700" t="s">
        <v>18</v>
      </c>
      <c r="U11" s="701" t="e">
        <f t="shared" si="1"/>
        <v>#N/A</v>
      </c>
      <c r="V11" s="700" t="s">
        <v>18</v>
      </c>
      <c r="W11" s="701" t="e">
        <f t="shared" si="2"/>
        <v>#N/A</v>
      </c>
      <c r="X11" s="702"/>
      <c r="Y11" s="3624"/>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4"/>
      <c r="Q12" s="1342">
        <f t="shared" si="6"/>
        <v>111</v>
      </c>
      <c r="R12" s="700" t="s">
        <v>18</v>
      </c>
      <c r="S12" s="701">
        <f t="shared" si="0"/>
        <v>100</v>
      </c>
      <c r="T12" s="700" t="s">
        <v>18</v>
      </c>
      <c r="U12" s="701">
        <f t="shared" si="1"/>
        <v>100</v>
      </c>
      <c r="V12" s="700" t="s">
        <v>18</v>
      </c>
      <c r="W12" s="701">
        <f t="shared" si="2"/>
        <v>100</v>
      </c>
      <c r="X12" s="702"/>
      <c r="Y12" s="362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4"/>
      <c r="Q13" s="1342">
        <f t="shared" si="6"/>
        <v>111</v>
      </c>
      <c r="R13" s="700" t="s">
        <v>18</v>
      </c>
      <c r="S13" s="701">
        <f t="shared" si="0"/>
        <v>100</v>
      </c>
      <c r="T13" s="700" t="s">
        <v>18</v>
      </c>
      <c r="U13" s="701">
        <f t="shared" si="1"/>
        <v>100</v>
      </c>
      <c r="V13" s="700" t="s">
        <v>18</v>
      </c>
      <c r="W13" s="701">
        <f t="shared" si="2"/>
        <v>100</v>
      </c>
      <c r="X13" s="702"/>
      <c r="Y13" s="3624"/>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4"/>
      <c r="Q14" s="1342">
        <f t="shared" si="6"/>
        <v>111</v>
      </c>
      <c r="R14" s="700" t="s">
        <v>18</v>
      </c>
      <c r="S14" s="701">
        <f t="shared" si="0"/>
        <v>100</v>
      </c>
      <c r="T14" s="700" t="s">
        <v>18</v>
      </c>
      <c r="U14" s="701">
        <f t="shared" si="1"/>
        <v>100</v>
      </c>
      <c r="V14" s="700" t="s">
        <v>18</v>
      </c>
      <c r="W14" s="701">
        <f t="shared" si="2"/>
        <v>100</v>
      </c>
      <c r="X14" s="702"/>
      <c r="Y14" s="3624"/>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21" t="s">
        <v>1691</v>
      </c>
      <c r="Q15" s="1351" t="str">
        <f t="shared" si="6"/>
        <v>居住社区成熟度</v>
      </c>
      <c r="R15" s="704" t="s">
        <v>18</v>
      </c>
      <c r="S15" s="705">
        <f t="shared" si="0"/>
        <v>100</v>
      </c>
      <c r="T15" s="704" t="s">
        <v>18</v>
      </c>
      <c r="U15" s="705">
        <f t="shared" si="1"/>
        <v>100</v>
      </c>
      <c r="V15" s="704" t="s">
        <v>18</v>
      </c>
      <c r="W15" s="705">
        <f t="shared" si="2"/>
        <v>100</v>
      </c>
      <c r="X15" s="1354"/>
      <c r="Y15" s="371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2"/>
      <c r="Q16" s="1351"/>
      <c r="R16" s="704"/>
      <c r="S16" s="705"/>
      <c r="T16" s="704"/>
      <c r="U16" s="705"/>
      <c r="V16" s="704"/>
      <c r="W16" s="705"/>
      <c r="X16" s="1354"/>
      <c r="Y16" s="371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2"/>
      <c r="Q17" s="1351" t="str">
        <f>B17</f>
        <v>交通便捷度</v>
      </c>
      <c r="R17" s="704" t="s">
        <v>18</v>
      </c>
      <c r="S17" s="705">
        <f>F17</f>
        <v>100</v>
      </c>
      <c r="T17" s="704" t="s">
        <v>18</v>
      </c>
      <c r="U17" s="705">
        <f>H17</f>
        <v>100</v>
      </c>
      <c r="V17" s="704" t="s">
        <v>18</v>
      </c>
      <c r="W17" s="705">
        <f>J17</f>
        <v>100</v>
      </c>
      <c r="X17" s="1354"/>
      <c r="Y17" s="371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2"/>
      <c r="Q18" s="1351"/>
      <c r="R18" s="704"/>
      <c r="S18" s="705"/>
      <c r="T18" s="704"/>
      <c r="U18" s="705"/>
      <c r="V18" s="704"/>
      <c r="W18" s="705"/>
      <c r="X18" s="1354"/>
      <c r="Y18" s="371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2"/>
      <c r="Q19" s="1351" t="str">
        <f>B19</f>
        <v>公共配套设施</v>
      </c>
      <c r="R19" s="704" t="s">
        <v>18</v>
      </c>
      <c r="S19" s="705">
        <f>F19</f>
        <v>100</v>
      </c>
      <c r="T19" s="704" t="s">
        <v>18</v>
      </c>
      <c r="U19" s="705">
        <f>H19</f>
        <v>100</v>
      </c>
      <c r="V19" s="704" t="s">
        <v>18</v>
      </c>
      <c r="W19" s="705">
        <f>J19</f>
        <v>100</v>
      </c>
      <c r="X19" s="1354"/>
      <c r="Y19" s="371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2"/>
      <c r="Q20" s="1351"/>
      <c r="R20" s="704"/>
      <c r="S20" s="705"/>
      <c r="T20" s="704"/>
      <c r="U20" s="705"/>
      <c r="V20" s="704"/>
      <c r="W20" s="705"/>
      <c r="X20" s="1354"/>
      <c r="Y20" s="371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2"/>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2"/>
      <c r="Q22" s="1351"/>
      <c r="R22" s="704"/>
      <c r="S22" s="705"/>
      <c r="T22" s="704"/>
      <c r="U22" s="705"/>
      <c r="V22" s="704"/>
      <c r="W22" s="705"/>
      <c r="X22" s="1354"/>
      <c r="Y22" s="371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2"/>
      <c r="Q23" s="1351" t="str">
        <f>B23</f>
        <v>自然及人文环境</v>
      </c>
      <c r="R23" s="704" t="s">
        <v>18</v>
      </c>
      <c r="S23" s="705">
        <f>F23</f>
        <v>100</v>
      </c>
      <c r="T23" s="704" t="s">
        <v>18</v>
      </c>
      <c r="U23" s="705">
        <f>H23</f>
        <v>100</v>
      </c>
      <c r="V23" s="704" t="s">
        <v>18</v>
      </c>
      <c r="W23" s="705">
        <f>J23</f>
        <v>100</v>
      </c>
      <c r="X23" s="1354"/>
      <c r="Y23" s="371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2"/>
      <c r="Q24" s="1351"/>
      <c r="R24" s="704"/>
      <c r="S24" s="705"/>
      <c r="T24" s="704"/>
      <c r="U24" s="705"/>
      <c r="V24" s="704"/>
      <c r="W24" s="705"/>
      <c r="X24" s="1354"/>
      <c r="Y24" s="371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2"/>
      <c r="Q26" s="1351" t="str">
        <f t="shared" si="11"/>
        <v>朝向</v>
      </c>
      <c r="R26" s="704" t="s">
        <v>18</v>
      </c>
      <c r="S26" s="705">
        <f t="shared" si="12"/>
        <v>100</v>
      </c>
      <c r="T26" s="704" t="s">
        <v>18</v>
      </c>
      <c r="U26" s="705">
        <f t="shared" si="13"/>
        <v>100</v>
      </c>
      <c r="V26" s="704" t="s">
        <v>18</v>
      </c>
      <c r="W26" s="705">
        <f t="shared" si="14"/>
        <v>100</v>
      </c>
      <c r="X26" s="1354"/>
      <c r="Y26" s="371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2"/>
      <c r="Q27" s="1342">
        <f t="shared" si="11"/>
        <v>111</v>
      </c>
      <c r="R27" s="700" t="s">
        <v>18</v>
      </c>
      <c r="S27" s="701">
        <f t="shared" si="12"/>
        <v>100</v>
      </c>
      <c r="T27" s="700" t="s">
        <v>18</v>
      </c>
      <c r="U27" s="701">
        <f t="shared" si="13"/>
        <v>100</v>
      </c>
      <c r="V27" s="700" t="s">
        <v>18</v>
      </c>
      <c r="W27" s="701">
        <f t="shared" si="14"/>
        <v>100</v>
      </c>
      <c r="X27" s="702"/>
      <c r="Y27" s="371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2"/>
      <c r="Q28" s="1351">
        <f t="shared" si="11"/>
        <v>111</v>
      </c>
      <c r="R28" s="704" t="s">
        <v>18</v>
      </c>
      <c r="S28" s="705">
        <f t="shared" si="12"/>
        <v>100</v>
      </c>
      <c r="T28" s="704" t="s">
        <v>18</v>
      </c>
      <c r="U28" s="705">
        <f t="shared" si="13"/>
        <v>100</v>
      </c>
      <c r="V28" s="704" t="s">
        <v>18</v>
      </c>
      <c r="W28" s="705">
        <f t="shared" si="14"/>
        <v>100</v>
      </c>
      <c r="X28" s="1354"/>
      <c r="Y28" s="371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2"/>
      <c r="Q29" s="1351">
        <f t="shared" si="11"/>
        <v>111</v>
      </c>
      <c r="R29" s="704" t="s">
        <v>18</v>
      </c>
      <c r="S29" s="705">
        <f t="shared" si="12"/>
        <v>100</v>
      </c>
      <c r="T29" s="704" t="s">
        <v>18</v>
      </c>
      <c r="U29" s="705">
        <f t="shared" si="13"/>
        <v>100</v>
      </c>
      <c r="V29" s="704" t="s">
        <v>18</v>
      </c>
      <c r="W29" s="705">
        <f t="shared" si="14"/>
        <v>100</v>
      </c>
      <c r="X29" s="1354"/>
      <c r="Y29" s="371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2"/>
      <c r="Q30" s="1351">
        <f t="shared" si="11"/>
        <v>111</v>
      </c>
      <c r="R30" s="704" t="s">
        <v>18</v>
      </c>
      <c r="S30" s="705">
        <f t="shared" si="12"/>
        <v>100</v>
      </c>
      <c r="T30" s="704" t="s">
        <v>18</v>
      </c>
      <c r="U30" s="705">
        <f t="shared" si="13"/>
        <v>100</v>
      </c>
      <c r="V30" s="704" t="s">
        <v>18</v>
      </c>
      <c r="W30" s="705">
        <f t="shared" si="14"/>
        <v>100</v>
      </c>
      <c r="X30" s="1354"/>
      <c r="Y30" s="371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2"/>
      <c r="Q31" s="1351">
        <f t="shared" si="11"/>
        <v>111</v>
      </c>
      <c r="R31" s="704" t="s">
        <v>18</v>
      </c>
      <c r="S31" s="705">
        <f t="shared" si="12"/>
        <v>100</v>
      </c>
      <c r="T31" s="704" t="s">
        <v>18</v>
      </c>
      <c r="U31" s="705">
        <f t="shared" si="13"/>
        <v>100</v>
      </c>
      <c r="V31" s="704" t="s">
        <v>18</v>
      </c>
      <c r="W31" s="705">
        <f t="shared" si="14"/>
        <v>100</v>
      </c>
      <c r="X31" s="1354"/>
      <c r="Y31" s="3715"/>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6" t="s">
        <v>1696</v>
      </c>
      <c r="Q32" s="1351" t="str">
        <f t="shared" si="11"/>
        <v>建筑类型</v>
      </c>
      <c r="R32" s="704" t="s">
        <v>18</v>
      </c>
      <c r="S32" s="705">
        <f t="shared" si="12"/>
        <v>100</v>
      </c>
      <c r="T32" s="704" t="s">
        <v>18</v>
      </c>
      <c r="U32" s="705">
        <f t="shared" si="13"/>
        <v>100</v>
      </c>
      <c r="V32" s="704" t="s">
        <v>18</v>
      </c>
      <c r="W32" s="705">
        <f t="shared" si="14"/>
        <v>100</v>
      </c>
      <c r="X32" s="1354"/>
      <c r="Y32" s="371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7"/>
      <c r="Q33" s="706" t="str">
        <f t="shared" si="11"/>
        <v>项目建筑规模</v>
      </c>
      <c r="R33" s="707" t="s">
        <v>18</v>
      </c>
      <c r="S33" s="708" t="e">
        <f t="shared" si="12"/>
        <v>#N/A</v>
      </c>
      <c r="T33" s="707" t="s">
        <v>18</v>
      </c>
      <c r="U33" s="708" t="e">
        <f t="shared" si="13"/>
        <v>#N/A</v>
      </c>
      <c r="V33" s="707" t="s">
        <v>18</v>
      </c>
      <c r="W33" s="708" t="e">
        <f t="shared" si="14"/>
        <v>#N/A</v>
      </c>
      <c r="X33" s="709"/>
      <c r="Y33" s="371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7"/>
      <c r="Q34" s="1351" t="str">
        <f t="shared" si="11"/>
        <v>建筑结构</v>
      </c>
      <c r="R34" s="704" t="s">
        <v>18</v>
      </c>
      <c r="S34" s="705">
        <f t="shared" si="12"/>
        <v>100</v>
      </c>
      <c r="T34" s="704" t="s">
        <v>18</v>
      </c>
      <c r="U34" s="705">
        <f t="shared" si="13"/>
        <v>100</v>
      </c>
      <c r="V34" s="704" t="s">
        <v>18</v>
      </c>
      <c r="W34" s="705">
        <f t="shared" si="14"/>
        <v>100</v>
      </c>
      <c r="X34" s="1354"/>
      <c r="Y34" s="371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7"/>
      <c r="Q35" s="1351" t="str">
        <f t="shared" si="11"/>
        <v>建筑品质</v>
      </c>
      <c r="R35" s="704" t="s">
        <v>18</v>
      </c>
      <c r="S35" s="705">
        <f t="shared" si="12"/>
        <v>100</v>
      </c>
      <c r="T35" s="704" t="s">
        <v>18</v>
      </c>
      <c r="U35" s="705">
        <f t="shared" si="13"/>
        <v>100</v>
      </c>
      <c r="V35" s="704" t="s">
        <v>18</v>
      </c>
      <c r="W35" s="705">
        <f t="shared" si="14"/>
        <v>100</v>
      </c>
      <c r="X35" s="1354"/>
      <c r="Y35" s="371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7"/>
      <c r="Q36" s="1351" t="str">
        <f t="shared" si="11"/>
        <v>公共部分装修</v>
      </c>
      <c r="R36" s="704" t="s">
        <v>18</v>
      </c>
      <c r="S36" s="705">
        <f t="shared" si="12"/>
        <v>100</v>
      </c>
      <c r="T36" s="704" t="s">
        <v>18</v>
      </c>
      <c r="U36" s="705">
        <f t="shared" si="13"/>
        <v>100</v>
      </c>
      <c r="V36" s="704" t="s">
        <v>18</v>
      </c>
      <c r="W36" s="705">
        <f t="shared" si="14"/>
        <v>100</v>
      </c>
      <c r="X36" s="1354"/>
      <c r="Y36" s="3719"/>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7"/>
      <c r="Q37" s="1342" t="str">
        <f t="shared" si="11"/>
        <v>成新度</v>
      </c>
      <c r="R37" s="700" t="s">
        <v>18</v>
      </c>
      <c r="S37" s="701" t="e">
        <f t="shared" si="12"/>
        <v>#N/A</v>
      </c>
      <c r="T37" s="700" t="s">
        <v>18</v>
      </c>
      <c r="U37" s="701" t="e">
        <f t="shared" si="13"/>
        <v>#N/A</v>
      </c>
      <c r="V37" s="700" t="s">
        <v>18</v>
      </c>
      <c r="W37" s="701" t="e">
        <f t="shared" si="14"/>
        <v>#N/A</v>
      </c>
      <c r="X37" s="702"/>
      <c r="Y37" s="3719"/>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7" t="s">
        <v>1696</v>
      </c>
      <c r="Q38" s="1351" t="str">
        <f t="shared" si="11"/>
        <v>物业管理</v>
      </c>
      <c r="R38" s="704" t="s">
        <v>18</v>
      </c>
      <c r="S38" s="705">
        <f t="shared" si="12"/>
        <v>100</v>
      </c>
      <c r="T38" s="704" t="s">
        <v>18</v>
      </c>
      <c r="U38" s="705">
        <f t="shared" si="13"/>
        <v>100</v>
      </c>
      <c r="V38" s="704" t="s">
        <v>18</v>
      </c>
      <c r="W38" s="705">
        <f t="shared" si="14"/>
        <v>100</v>
      </c>
      <c r="X38" s="1354"/>
      <c r="Y38" s="371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7"/>
      <c r="Q39" s="1351" t="str">
        <f t="shared" si="11"/>
        <v>市政基础设施</v>
      </c>
      <c r="R39" s="704" t="s">
        <v>18</v>
      </c>
      <c r="S39" s="705">
        <f t="shared" si="12"/>
        <v>100</v>
      </c>
      <c r="T39" s="704" t="s">
        <v>18</v>
      </c>
      <c r="U39" s="705">
        <f t="shared" si="13"/>
        <v>100</v>
      </c>
      <c r="V39" s="704" t="s">
        <v>18</v>
      </c>
      <c r="W39" s="705">
        <f t="shared" si="14"/>
        <v>100</v>
      </c>
      <c r="X39" s="1354"/>
      <c r="Y39" s="371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7"/>
      <c r="Q40" s="1351" t="str">
        <f t="shared" si="11"/>
        <v>房型</v>
      </c>
      <c r="R40" s="704" t="s">
        <v>18</v>
      </c>
      <c r="S40" s="705">
        <f t="shared" si="12"/>
        <v>100</v>
      </c>
      <c r="T40" s="704" t="s">
        <v>18</v>
      </c>
      <c r="U40" s="705">
        <f t="shared" si="13"/>
        <v>100</v>
      </c>
      <c r="V40" s="704" t="s">
        <v>18</v>
      </c>
      <c r="W40" s="705">
        <f t="shared" si="14"/>
        <v>100</v>
      </c>
      <c r="X40" s="1354"/>
      <c r="Y40" s="371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7"/>
      <c r="Q41" s="706" t="str">
        <f t="shared" si="11"/>
        <v>单套/主力户型建筑面积</v>
      </c>
      <c r="R41" s="707" t="s">
        <v>18</v>
      </c>
      <c r="S41" s="708">
        <f t="shared" si="12"/>
        <v>100</v>
      </c>
      <c r="T41" s="707" t="s">
        <v>18</v>
      </c>
      <c r="U41" s="708">
        <f t="shared" si="13"/>
        <v>100</v>
      </c>
      <c r="V41" s="707" t="s">
        <v>18</v>
      </c>
      <c r="W41" s="708">
        <f t="shared" si="14"/>
        <v>100</v>
      </c>
      <c r="X41" s="709"/>
      <c r="Y41" s="371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7"/>
      <c r="Q42" s="1351" t="str">
        <f t="shared" si="11"/>
        <v>内部装修</v>
      </c>
      <c r="R42" s="704" t="s">
        <v>18</v>
      </c>
      <c r="S42" s="705">
        <f t="shared" si="12"/>
        <v>100</v>
      </c>
      <c r="T42" s="704" t="s">
        <v>18</v>
      </c>
      <c r="U42" s="705">
        <f t="shared" si="13"/>
        <v>100</v>
      </c>
      <c r="V42" s="704" t="s">
        <v>18</v>
      </c>
      <c r="W42" s="705">
        <f t="shared" si="14"/>
        <v>100</v>
      </c>
      <c r="X42" s="1354"/>
      <c r="Y42" s="371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7"/>
      <c r="Q43" s="1351" t="str">
        <f t="shared" si="11"/>
        <v>内部装修维护情况</v>
      </c>
      <c r="R43" s="704" t="s">
        <v>18</v>
      </c>
      <c r="S43" s="705">
        <f t="shared" si="12"/>
        <v>100</v>
      </c>
      <c r="T43" s="704" t="s">
        <v>18</v>
      </c>
      <c r="U43" s="705">
        <f t="shared" si="13"/>
        <v>100</v>
      </c>
      <c r="V43" s="704" t="s">
        <v>18</v>
      </c>
      <c r="W43" s="705">
        <f t="shared" si="14"/>
        <v>100</v>
      </c>
      <c r="X43" s="1354"/>
      <c r="Y43" s="371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7"/>
      <c r="Q44" s="1342">
        <f t="shared" si="11"/>
        <v>111</v>
      </c>
      <c r="R44" s="700" t="s">
        <v>18</v>
      </c>
      <c r="S44" s="701">
        <f t="shared" si="12"/>
        <v>100</v>
      </c>
      <c r="T44" s="700" t="s">
        <v>18</v>
      </c>
      <c r="U44" s="701">
        <f t="shared" si="13"/>
        <v>100</v>
      </c>
      <c r="V44" s="700" t="s">
        <v>18</v>
      </c>
      <c r="W44" s="701">
        <f t="shared" si="14"/>
        <v>100</v>
      </c>
      <c r="X44" s="702"/>
      <c r="Y44" s="371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7"/>
      <c r="Q45" s="1351">
        <f t="shared" si="11"/>
        <v>111</v>
      </c>
      <c r="R45" s="704" t="s">
        <v>18</v>
      </c>
      <c r="S45" s="705">
        <f t="shared" si="12"/>
        <v>100</v>
      </c>
      <c r="T45" s="704" t="s">
        <v>18</v>
      </c>
      <c r="U45" s="705">
        <f t="shared" si="13"/>
        <v>100</v>
      </c>
      <c r="V45" s="704" t="s">
        <v>18</v>
      </c>
      <c r="W45" s="705">
        <f t="shared" si="14"/>
        <v>100</v>
      </c>
      <c r="X45" s="1354"/>
      <c r="Y45" s="371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8"/>
      <c r="Q46" s="1351">
        <f t="shared" si="11"/>
        <v>111</v>
      </c>
      <c r="R46" s="704" t="s">
        <v>17</v>
      </c>
      <c r="S46" s="705">
        <f t="shared" si="12"/>
        <v>100</v>
      </c>
      <c r="T46" s="704" t="s">
        <v>17</v>
      </c>
      <c r="U46" s="705">
        <f t="shared" si="13"/>
        <v>100</v>
      </c>
      <c r="V46" s="704" t="s">
        <v>17</v>
      </c>
      <c r="W46" s="705">
        <f t="shared" si="14"/>
        <v>100</v>
      </c>
      <c r="X46" s="1354"/>
      <c r="Y46" s="372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12" t="str">
        <f>A47</f>
        <v>成交单价（元/平方米）</v>
      </c>
      <c r="Q47" s="3712"/>
      <c r="R47" s="3713">
        <f>E47</f>
        <v>0</v>
      </c>
      <c r="S47" s="3713"/>
      <c r="T47" s="3713">
        <f>G47</f>
        <v>0</v>
      </c>
      <c r="U47" s="3713"/>
      <c r="V47" s="3713">
        <f>I47</f>
        <v>0</v>
      </c>
      <c r="W47" s="3713"/>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42466.65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5" t="s">
        <v>1770</v>
      </c>
      <c r="D4" s="3696"/>
      <c r="E4" s="3697" t="s">
        <v>1771</v>
      </c>
      <c r="F4" s="3698"/>
      <c r="G4" s="3695" t="s">
        <v>1772</v>
      </c>
      <c r="H4" s="3696"/>
      <c r="I4" s="3695" t="s">
        <v>1773</v>
      </c>
      <c r="J4" s="3696"/>
      <c r="K4" s="558" t="s">
        <v>1774</v>
      </c>
      <c r="L4" s="2714"/>
      <c r="M4" s="2715"/>
      <c r="N4" s="2715"/>
      <c r="O4" s="2715"/>
      <c r="P4" s="3699" t="s">
        <v>1775</v>
      </c>
      <c r="Q4" s="3700"/>
      <c r="R4" s="3682" t="s">
        <v>1771</v>
      </c>
      <c r="S4" s="3683"/>
      <c r="T4" s="3682" t="s">
        <v>1772</v>
      </c>
      <c r="U4" s="3683"/>
      <c r="V4" s="3707" t="s">
        <v>1773</v>
      </c>
      <c r="W4" s="3707"/>
      <c r="X4" s="1354"/>
      <c r="Y4" s="3682" t="s">
        <v>1775</v>
      </c>
      <c r="Z4" s="3683"/>
      <c r="AA4" s="3677" t="s">
        <v>1771</v>
      </c>
      <c r="AB4" s="3707" t="s">
        <v>1772</v>
      </c>
      <c r="AC4" s="3677" t="s">
        <v>1773</v>
      </c>
    </row>
    <row r="5" spans="1:29" ht="15">
      <c r="A5" s="357"/>
      <c r="B5" s="358"/>
      <c r="C5" s="3688" t="s">
        <v>1673</v>
      </c>
      <c r="D5" s="3689"/>
      <c r="E5" s="3686" t="s">
        <v>1674</v>
      </c>
      <c r="F5" s="3687"/>
      <c r="G5" s="3688" t="s">
        <v>1675</v>
      </c>
      <c r="H5" s="3689"/>
      <c r="I5" s="3688" t="s">
        <v>1676</v>
      </c>
      <c r="J5" s="3689"/>
      <c r="K5" s="558"/>
      <c r="L5" s="2714"/>
      <c r="M5" s="2715"/>
      <c r="N5" s="2715"/>
      <c r="O5" s="2715"/>
      <c r="P5" s="3701"/>
      <c r="Q5" s="3702"/>
      <c r="R5" s="3684"/>
      <c r="S5" s="3685"/>
      <c r="T5" s="3684"/>
      <c r="U5" s="3685"/>
      <c r="V5" s="3707"/>
      <c r="W5" s="3707"/>
      <c r="X5" s="1354"/>
      <c r="Y5" s="3684"/>
      <c r="Z5" s="3685"/>
      <c r="AA5" s="3678"/>
      <c r="AB5" s="3707"/>
      <c r="AC5" s="3678"/>
    </row>
    <row r="6" spans="1:29" ht="15.75" thickBot="1">
      <c r="A6" s="359"/>
      <c r="B6" s="360"/>
      <c r="C6" s="3690" t="s">
        <v>1677</v>
      </c>
      <c r="D6" s="3691"/>
      <c r="E6" s="3692" t="s">
        <v>1677</v>
      </c>
      <c r="F6" s="3693"/>
      <c r="G6" s="3690" t="s">
        <v>1677</v>
      </c>
      <c r="H6" s="3691"/>
      <c r="I6" s="3690" t="s">
        <v>1677</v>
      </c>
      <c r="J6" s="3691"/>
      <c r="K6" s="558" t="s">
        <v>1678</v>
      </c>
      <c r="L6" s="2714"/>
      <c r="M6" s="2715"/>
      <c r="N6" s="2715"/>
      <c r="O6" s="2715"/>
      <c r="P6" s="3703"/>
      <c r="Q6" s="3704"/>
      <c r="R6" s="3684"/>
      <c r="S6" s="3685"/>
      <c r="T6" s="3705"/>
      <c r="U6" s="3706"/>
      <c r="V6" s="3707"/>
      <c r="W6" s="3707"/>
      <c r="X6" s="1354"/>
      <c r="Y6" s="3705"/>
      <c r="Z6" s="3706"/>
      <c r="AA6" s="3679"/>
      <c r="AB6" s="3707"/>
      <c r="AC6" s="3679"/>
    </row>
    <row r="7" spans="1:29" s="108" customFormat="1" ht="15.75" thickBot="1">
      <c r="A7" s="361" t="s">
        <v>1679</v>
      </c>
      <c r="B7" s="362"/>
      <c r="C7" s="363">
        <f>'数据-取费表'!B2</f>
        <v>45023</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0" t="s">
        <v>1680</v>
      </c>
      <c r="Q7" s="3708"/>
      <c r="R7" s="700" t="s">
        <v>14</v>
      </c>
      <c r="S7" s="701">
        <f t="shared" ref="S7:S15" si="0">F7</f>
        <v>0</v>
      </c>
      <c r="T7" s="700" t="s">
        <v>14</v>
      </c>
      <c r="U7" s="701">
        <f t="shared" ref="U7:U15" si="1">H7</f>
        <v>0</v>
      </c>
      <c r="V7" s="700" t="s">
        <v>14</v>
      </c>
      <c r="W7" s="701">
        <f t="shared" ref="W7:W15" si="2">J7</f>
        <v>0</v>
      </c>
      <c r="X7" s="702"/>
      <c r="Y7" s="3680" t="s">
        <v>1680</v>
      </c>
      <c r="Z7" s="3681"/>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0" t="s">
        <v>1683</v>
      </c>
      <c r="Q8" s="3681"/>
      <c r="R8" s="700" t="s">
        <v>14</v>
      </c>
      <c r="S8" s="701">
        <f t="shared" si="0"/>
        <v>100</v>
      </c>
      <c r="T8" s="700" t="s">
        <v>14</v>
      </c>
      <c r="U8" s="701">
        <f t="shared" si="1"/>
        <v>100</v>
      </c>
      <c r="V8" s="700" t="s">
        <v>14</v>
      </c>
      <c r="W8" s="701">
        <f t="shared" si="2"/>
        <v>100</v>
      </c>
      <c r="X8" s="702"/>
      <c r="Y8" s="3680" t="s">
        <v>1683</v>
      </c>
      <c r="Z8" s="3681"/>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4"/>
      <c r="Q11" s="1342" t="str">
        <f t="shared" si="6"/>
        <v>容积率</v>
      </c>
      <c r="R11" s="700" t="s">
        <v>14</v>
      </c>
      <c r="S11" s="701" t="e">
        <f t="shared" si="0"/>
        <v>#N/A</v>
      </c>
      <c r="T11" s="700" t="s">
        <v>14</v>
      </c>
      <c r="U11" s="701" t="e">
        <f t="shared" si="1"/>
        <v>#N/A</v>
      </c>
      <c r="V11" s="700" t="s">
        <v>14</v>
      </c>
      <c r="W11" s="701" t="e">
        <f t="shared" si="2"/>
        <v>#N/A</v>
      </c>
      <c r="X11" s="702"/>
      <c r="Y11" s="3624"/>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21" t="s">
        <v>1691</v>
      </c>
      <c r="Q15" s="1351" t="str">
        <f t="shared" si="6"/>
        <v>商业繁华度</v>
      </c>
      <c r="R15" s="704" t="s">
        <v>14</v>
      </c>
      <c r="S15" s="705">
        <f t="shared" si="0"/>
        <v>100</v>
      </c>
      <c r="T15" s="704" t="s">
        <v>14</v>
      </c>
      <c r="U15" s="705">
        <f t="shared" si="1"/>
        <v>100</v>
      </c>
      <c r="V15" s="704" t="s">
        <v>14</v>
      </c>
      <c r="W15" s="705">
        <f t="shared" si="2"/>
        <v>100</v>
      </c>
      <c r="X15" s="1354"/>
      <c r="Y15" s="371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2"/>
      <c r="Q16" s="1351"/>
      <c r="R16" s="704"/>
      <c r="S16" s="705"/>
      <c r="T16" s="704"/>
      <c r="U16" s="705"/>
      <c r="V16" s="704"/>
      <c r="W16" s="705"/>
      <c r="X16" s="1354"/>
      <c r="Y16" s="371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2"/>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2"/>
      <c r="Q18" s="1351"/>
      <c r="R18" s="704"/>
      <c r="S18" s="705"/>
      <c r="T18" s="704"/>
      <c r="U18" s="705"/>
      <c r="V18" s="704"/>
      <c r="W18" s="705"/>
      <c r="X18" s="1354"/>
      <c r="Y18" s="371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2"/>
      <c r="Q19" s="1351" t="str">
        <f>B19</f>
        <v>公共配套设施</v>
      </c>
      <c r="R19" s="704" t="s">
        <v>14</v>
      </c>
      <c r="S19" s="705">
        <f>F19</f>
        <v>100</v>
      </c>
      <c r="T19" s="704" t="s">
        <v>14</v>
      </c>
      <c r="U19" s="705">
        <f>H19</f>
        <v>100</v>
      </c>
      <c r="V19" s="704" t="s">
        <v>14</v>
      </c>
      <c r="W19" s="705">
        <f>J19</f>
        <v>100</v>
      </c>
      <c r="X19" s="1354"/>
      <c r="Y19" s="371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2"/>
      <c r="Q20" s="1351"/>
      <c r="R20" s="704"/>
      <c r="S20" s="705"/>
      <c r="T20" s="704"/>
      <c r="U20" s="705"/>
      <c r="V20" s="704"/>
      <c r="W20" s="705"/>
      <c r="X20" s="1354"/>
      <c r="Y20" s="371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2"/>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2"/>
      <c r="Q22" s="1351"/>
      <c r="R22" s="704"/>
      <c r="S22" s="705"/>
      <c r="T22" s="704"/>
      <c r="U22" s="705"/>
      <c r="V22" s="704"/>
      <c r="W22" s="705"/>
      <c r="X22" s="1354"/>
      <c r="Y22" s="371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2"/>
      <c r="Q23" s="1351" t="str">
        <f>B23</f>
        <v>自然及人文环境</v>
      </c>
      <c r="R23" s="704" t="s">
        <v>14</v>
      </c>
      <c r="S23" s="705">
        <f>F23</f>
        <v>100</v>
      </c>
      <c r="T23" s="704" t="s">
        <v>14</v>
      </c>
      <c r="U23" s="705">
        <f>H23</f>
        <v>100</v>
      </c>
      <c r="V23" s="704" t="s">
        <v>14</v>
      </c>
      <c r="W23" s="705">
        <f>J23</f>
        <v>100</v>
      </c>
      <c r="X23" s="1354"/>
      <c r="Y23" s="371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2"/>
      <c r="Q24" s="1351"/>
      <c r="R24" s="704"/>
      <c r="S24" s="705"/>
      <c r="T24" s="704"/>
      <c r="U24" s="705"/>
      <c r="V24" s="704"/>
      <c r="W24" s="705"/>
      <c r="X24" s="1354"/>
      <c r="Y24" s="3715"/>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2"/>
      <c r="Q25" s="1351" t="str">
        <f t="shared" ref="Q25:Q46" si="11">B25</f>
        <v>临街状况</v>
      </c>
      <c r="R25" s="704" t="s">
        <v>14</v>
      </c>
      <c r="S25" s="705">
        <f>F25</f>
        <v>100</v>
      </c>
      <c r="T25" s="704" t="s">
        <v>14</v>
      </c>
      <c r="U25" s="705">
        <f>H25</f>
        <v>100</v>
      </c>
      <c r="V25" s="704" t="s">
        <v>14</v>
      </c>
      <c r="W25" s="705">
        <f>J25</f>
        <v>100</v>
      </c>
      <c r="X25" s="1354"/>
      <c r="Y25" s="3715"/>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2"/>
      <c r="Q26" s="1351" t="str">
        <f t="shared" si="11"/>
        <v>平面位置/可视性</v>
      </c>
      <c r="R26" s="704" t="s">
        <v>14</v>
      </c>
      <c r="S26" s="705">
        <f>F26</f>
        <v>100</v>
      </c>
      <c r="T26" s="704" t="s">
        <v>14</v>
      </c>
      <c r="U26" s="705">
        <f>H26</f>
        <v>100</v>
      </c>
      <c r="V26" s="704" t="s">
        <v>14</v>
      </c>
      <c r="W26" s="705">
        <f>J26</f>
        <v>100</v>
      </c>
      <c r="X26" s="1354"/>
      <c r="Y26" s="3715"/>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2"/>
      <c r="Q27" s="1342" t="str">
        <f t="shared" si="11"/>
        <v>人流量</v>
      </c>
      <c r="R27" s="700" t="s">
        <v>14</v>
      </c>
      <c r="S27" s="701">
        <f>F27</f>
        <v>100</v>
      </c>
      <c r="T27" s="700" t="s">
        <v>14</v>
      </c>
      <c r="U27" s="701">
        <f>H27</f>
        <v>100</v>
      </c>
      <c r="V27" s="700" t="s">
        <v>14</v>
      </c>
      <c r="W27" s="701">
        <f>J27</f>
        <v>100</v>
      </c>
      <c r="X27" s="702"/>
      <c r="Y27" s="3715"/>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2"/>
      <c r="Q29" s="1351">
        <f t="shared" si="11"/>
        <v>111</v>
      </c>
      <c r="R29" s="704" t="s">
        <v>14</v>
      </c>
      <c r="S29" s="705">
        <f t="shared" si="12"/>
        <v>100</v>
      </c>
      <c r="T29" s="704" t="s">
        <v>14</v>
      </c>
      <c r="U29" s="705">
        <f t="shared" si="13"/>
        <v>100</v>
      </c>
      <c r="V29" s="704" t="s">
        <v>14</v>
      </c>
      <c r="W29" s="705">
        <f t="shared" si="14"/>
        <v>100</v>
      </c>
      <c r="X29" s="1354"/>
      <c r="Y29" s="371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2"/>
      <c r="Q30" s="1351">
        <f t="shared" si="11"/>
        <v>111</v>
      </c>
      <c r="R30" s="704" t="s">
        <v>14</v>
      </c>
      <c r="S30" s="705">
        <f t="shared" si="12"/>
        <v>100</v>
      </c>
      <c r="T30" s="704" t="s">
        <v>14</v>
      </c>
      <c r="U30" s="705">
        <f t="shared" si="13"/>
        <v>100</v>
      </c>
      <c r="V30" s="704" t="s">
        <v>14</v>
      </c>
      <c r="W30" s="705">
        <f t="shared" si="14"/>
        <v>100</v>
      </c>
      <c r="X30" s="1354"/>
      <c r="Y30" s="371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2"/>
      <c r="Q31" s="1351">
        <f t="shared" si="11"/>
        <v>111</v>
      </c>
      <c r="R31" s="704" t="s">
        <v>14</v>
      </c>
      <c r="S31" s="705">
        <f t="shared" si="12"/>
        <v>100</v>
      </c>
      <c r="T31" s="704" t="s">
        <v>14</v>
      </c>
      <c r="U31" s="705">
        <f t="shared" si="13"/>
        <v>100</v>
      </c>
      <c r="V31" s="704" t="s">
        <v>14</v>
      </c>
      <c r="W31" s="705">
        <f t="shared" si="14"/>
        <v>100</v>
      </c>
      <c r="X31" s="1354"/>
      <c r="Y31" s="3715"/>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6" t="s">
        <v>1696</v>
      </c>
      <c r="Q32" s="1351" t="str">
        <f t="shared" si="11"/>
        <v>商业类型</v>
      </c>
      <c r="R32" s="704" t="s">
        <v>14</v>
      </c>
      <c r="S32" s="705">
        <f t="shared" si="12"/>
        <v>100</v>
      </c>
      <c r="T32" s="704" t="s">
        <v>14</v>
      </c>
      <c r="U32" s="705">
        <f t="shared" si="13"/>
        <v>100</v>
      </c>
      <c r="V32" s="704" t="s">
        <v>14</v>
      </c>
      <c r="W32" s="705">
        <f t="shared" si="14"/>
        <v>100</v>
      </c>
      <c r="X32" s="1354"/>
      <c r="Y32" s="3719"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7"/>
      <c r="Q33" s="706" t="str">
        <f t="shared" si="11"/>
        <v>项目建筑规模</v>
      </c>
      <c r="R33" s="707" t="s">
        <v>14</v>
      </c>
      <c r="S33" s="708" t="e">
        <f t="shared" si="12"/>
        <v>#N/A</v>
      </c>
      <c r="T33" s="707" t="s">
        <v>14</v>
      </c>
      <c r="U33" s="708" t="e">
        <f t="shared" si="13"/>
        <v>#N/A</v>
      </c>
      <c r="V33" s="707" t="s">
        <v>14</v>
      </c>
      <c r="W33" s="708" t="e">
        <f t="shared" si="14"/>
        <v>#N/A</v>
      </c>
      <c r="X33" s="709"/>
      <c r="Y33" s="3719"/>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7"/>
      <c r="Q34" s="1351" t="str">
        <f t="shared" si="11"/>
        <v>建筑结构</v>
      </c>
      <c r="R34" s="704" t="s">
        <v>14</v>
      </c>
      <c r="S34" s="705">
        <f t="shared" si="12"/>
        <v>100</v>
      </c>
      <c r="T34" s="704" t="s">
        <v>14</v>
      </c>
      <c r="U34" s="705">
        <f t="shared" si="13"/>
        <v>100</v>
      </c>
      <c r="V34" s="704" t="s">
        <v>14</v>
      </c>
      <c r="W34" s="705">
        <f t="shared" si="14"/>
        <v>100</v>
      </c>
      <c r="X34" s="1354"/>
      <c r="Y34" s="371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7"/>
      <c r="Q35" s="1351" t="str">
        <f t="shared" si="11"/>
        <v>公共部分装修</v>
      </c>
      <c r="R35" s="704" t="s">
        <v>14</v>
      </c>
      <c r="S35" s="705">
        <f t="shared" si="12"/>
        <v>100</v>
      </c>
      <c r="T35" s="704" t="s">
        <v>14</v>
      </c>
      <c r="U35" s="705">
        <f t="shared" si="13"/>
        <v>100</v>
      </c>
      <c r="V35" s="704" t="s">
        <v>14</v>
      </c>
      <c r="W35" s="705">
        <f t="shared" si="14"/>
        <v>100</v>
      </c>
      <c r="X35" s="1354"/>
      <c r="Y35" s="3719"/>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7"/>
      <c r="Q36" s="1351" t="str">
        <f t="shared" si="11"/>
        <v>成新度</v>
      </c>
      <c r="R36" s="704" t="s">
        <v>14</v>
      </c>
      <c r="S36" s="705" t="e">
        <f t="shared" si="12"/>
        <v>#N/A</v>
      </c>
      <c r="T36" s="704" t="s">
        <v>14</v>
      </c>
      <c r="U36" s="705" t="e">
        <f t="shared" si="13"/>
        <v>#N/A</v>
      </c>
      <c r="V36" s="704" t="s">
        <v>14</v>
      </c>
      <c r="W36" s="705" t="e">
        <f t="shared" si="14"/>
        <v>#N/A</v>
      </c>
      <c r="X36" s="1354"/>
      <c r="Y36" s="3719"/>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7"/>
      <c r="Q37" s="1342" t="str">
        <f t="shared" si="11"/>
        <v>市政基础设施</v>
      </c>
      <c r="R37" s="700" t="s">
        <v>14</v>
      </c>
      <c r="S37" s="701">
        <f t="shared" si="12"/>
        <v>100</v>
      </c>
      <c r="T37" s="700" t="s">
        <v>14</v>
      </c>
      <c r="U37" s="701">
        <f t="shared" si="13"/>
        <v>100</v>
      </c>
      <c r="V37" s="700" t="s">
        <v>14</v>
      </c>
      <c r="W37" s="701">
        <f t="shared" si="14"/>
        <v>100</v>
      </c>
      <c r="X37" s="702"/>
      <c r="Y37" s="3719"/>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7" t="s">
        <v>1696</v>
      </c>
      <c r="Q38" s="1351" t="str">
        <f t="shared" si="11"/>
        <v>业态</v>
      </c>
      <c r="R38" s="704" t="s">
        <v>14</v>
      </c>
      <c r="S38" s="705">
        <f t="shared" si="12"/>
        <v>100</v>
      </c>
      <c r="T38" s="704" t="s">
        <v>14</v>
      </c>
      <c r="U38" s="705">
        <f t="shared" si="13"/>
        <v>100</v>
      </c>
      <c r="V38" s="704" t="s">
        <v>14</v>
      </c>
      <c r="W38" s="705">
        <f t="shared" si="14"/>
        <v>100</v>
      </c>
      <c r="X38" s="1354"/>
      <c r="Y38" s="371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7"/>
      <c r="Q39" s="1351" t="str">
        <f t="shared" si="11"/>
        <v>层高</v>
      </c>
      <c r="R39" s="704" t="s">
        <v>14</v>
      </c>
      <c r="S39" s="705">
        <f t="shared" si="12"/>
        <v>100</v>
      </c>
      <c r="T39" s="704" t="s">
        <v>14</v>
      </c>
      <c r="U39" s="705">
        <f t="shared" si="13"/>
        <v>100</v>
      </c>
      <c r="V39" s="704" t="s">
        <v>14</v>
      </c>
      <c r="W39" s="705">
        <f t="shared" si="14"/>
        <v>100</v>
      </c>
      <c r="X39" s="1354"/>
      <c r="Y39" s="371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7"/>
      <c r="Q40" s="1351" t="str">
        <f t="shared" si="11"/>
        <v>单套建筑面积</v>
      </c>
      <c r="R40" s="704" t="s">
        <v>14</v>
      </c>
      <c r="S40" s="705">
        <f t="shared" si="12"/>
        <v>100</v>
      </c>
      <c r="T40" s="704" t="s">
        <v>14</v>
      </c>
      <c r="U40" s="705">
        <f t="shared" si="13"/>
        <v>100</v>
      </c>
      <c r="V40" s="704" t="s">
        <v>14</v>
      </c>
      <c r="W40" s="705">
        <f t="shared" si="14"/>
        <v>100</v>
      </c>
      <c r="X40" s="1354"/>
      <c r="Y40" s="371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7"/>
      <c r="Q41" s="706" t="str">
        <f t="shared" si="11"/>
        <v>进深比</v>
      </c>
      <c r="R41" s="707" t="s">
        <v>14</v>
      </c>
      <c r="S41" s="708">
        <f t="shared" si="12"/>
        <v>100</v>
      </c>
      <c r="T41" s="707" t="s">
        <v>14</v>
      </c>
      <c r="U41" s="708">
        <f t="shared" si="13"/>
        <v>100</v>
      </c>
      <c r="V41" s="707" t="s">
        <v>14</v>
      </c>
      <c r="W41" s="708">
        <f t="shared" si="14"/>
        <v>100</v>
      </c>
      <c r="X41" s="709"/>
      <c r="Y41" s="371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7"/>
      <c r="Q42" s="1351" t="str">
        <f t="shared" si="11"/>
        <v>内部装修</v>
      </c>
      <c r="R42" s="704" t="s">
        <v>14</v>
      </c>
      <c r="S42" s="705">
        <f t="shared" si="12"/>
        <v>100</v>
      </c>
      <c r="T42" s="704" t="s">
        <v>14</v>
      </c>
      <c r="U42" s="705">
        <f t="shared" si="13"/>
        <v>100</v>
      </c>
      <c r="V42" s="704" t="s">
        <v>14</v>
      </c>
      <c r="W42" s="705">
        <f t="shared" si="14"/>
        <v>100</v>
      </c>
      <c r="X42" s="1354"/>
      <c r="Y42" s="371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7"/>
      <c r="Q43" s="1351" t="str">
        <f t="shared" si="11"/>
        <v>内部装修维护情况</v>
      </c>
      <c r="R43" s="704" t="s">
        <v>14</v>
      </c>
      <c r="S43" s="705">
        <f t="shared" si="12"/>
        <v>100</v>
      </c>
      <c r="T43" s="704" t="s">
        <v>14</v>
      </c>
      <c r="U43" s="705">
        <f t="shared" si="13"/>
        <v>100</v>
      </c>
      <c r="V43" s="704" t="s">
        <v>14</v>
      </c>
      <c r="W43" s="705">
        <f t="shared" si="14"/>
        <v>100</v>
      </c>
      <c r="X43" s="1354"/>
      <c r="Y43" s="371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7"/>
      <c r="Q44" s="1342">
        <f t="shared" si="11"/>
        <v>111</v>
      </c>
      <c r="R44" s="700" t="s">
        <v>14</v>
      </c>
      <c r="S44" s="701">
        <f t="shared" si="12"/>
        <v>100</v>
      </c>
      <c r="T44" s="700" t="s">
        <v>14</v>
      </c>
      <c r="U44" s="701">
        <f t="shared" si="13"/>
        <v>100</v>
      </c>
      <c r="V44" s="700" t="s">
        <v>14</v>
      </c>
      <c r="W44" s="701">
        <f t="shared" si="14"/>
        <v>100</v>
      </c>
      <c r="X44" s="702"/>
      <c r="Y44" s="371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7"/>
      <c r="Q45" s="1351">
        <f t="shared" si="11"/>
        <v>111</v>
      </c>
      <c r="R45" s="704" t="s">
        <v>14</v>
      </c>
      <c r="S45" s="705">
        <f t="shared" si="12"/>
        <v>100</v>
      </c>
      <c r="T45" s="704" t="s">
        <v>14</v>
      </c>
      <c r="U45" s="705">
        <f t="shared" si="13"/>
        <v>100</v>
      </c>
      <c r="V45" s="704" t="s">
        <v>14</v>
      </c>
      <c r="W45" s="705">
        <f t="shared" si="14"/>
        <v>100</v>
      </c>
      <c r="X45" s="1354"/>
      <c r="Y45" s="371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8"/>
      <c r="Q46" s="1351">
        <f t="shared" si="11"/>
        <v>111</v>
      </c>
      <c r="R46" s="704" t="s">
        <v>14</v>
      </c>
      <c r="S46" s="705">
        <f t="shared" si="12"/>
        <v>100</v>
      </c>
      <c r="T46" s="704" t="s">
        <v>14</v>
      </c>
      <c r="U46" s="705">
        <f t="shared" si="13"/>
        <v>100</v>
      </c>
      <c r="V46" s="704" t="s">
        <v>14</v>
      </c>
      <c r="W46" s="705">
        <f t="shared" si="14"/>
        <v>100</v>
      </c>
      <c r="X46" s="1354"/>
      <c r="Y46" s="3720"/>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12" t="str">
        <f>A47</f>
        <v>成交单价（元/平方米）</v>
      </c>
      <c r="Q47" s="3712"/>
      <c r="R47" s="3707">
        <f>E47</f>
        <v>0</v>
      </c>
      <c r="S47" s="3707"/>
      <c r="T47" s="3707">
        <f>G47</f>
        <v>0</v>
      </c>
      <c r="U47" s="3707"/>
      <c r="V47" s="3707">
        <f>I47</f>
        <v>0</v>
      </c>
      <c r="W47" s="3707"/>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2023年4月7日（评估专业人员实地查勘之日）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42466.65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5" t="s">
        <v>1770</v>
      </c>
      <c r="D4" s="3696"/>
      <c r="E4" s="3697" t="s">
        <v>1771</v>
      </c>
      <c r="F4" s="3698"/>
      <c r="G4" s="3695" t="s">
        <v>1772</v>
      </c>
      <c r="H4" s="3696"/>
      <c r="I4" s="3695" t="s">
        <v>1773</v>
      </c>
      <c r="J4" s="3696"/>
      <c r="K4" s="558" t="s">
        <v>1774</v>
      </c>
      <c r="L4" s="2714"/>
      <c r="M4" s="2715"/>
      <c r="N4" s="2715"/>
      <c r="O4" s="2715"/>
      <c r="P4" s="3729" t="s">
        <v>1775</v>
      </c>
      <c r="Q4" s="3730"/>
      <c r="R4" s="3724" t="s">
        <v>1771</v>
      </c>
      <c r="S4" s="3725"/>
      <c r="T4" s="3724" t="s">
        <v>1772</v>
      </c>
      <c r="U4" s="3725"/>
      <c r="V4" s="3733" t="s">
        <v>1773</v>
      </c>
      <c r="W4" s="3733"/>
      <c r="X4" s="1957"/>
      <c r="Y4" s="3724" t="s">
        <v>1775</v>
      </c>
      <c r="Z4" s="3725"/>
      <c r="AA4" s="3723" t="s">
        <v>1771</v>
      </c>
      <c r="AB4" s="3723" t="s">
        <v>1772</v>
      </c>
      <c r="AC4" s="3726" t="s">
        <v>1773</v>
      </c>
    </row>
    <row r="5" spans="1:29" ht="15">
      <c r="A5" s="357"/>
      <c r="B5" s="358"/>
      <c r="C5" s="3688" t="s">
        <v>1673</v>
      </c>
      <c r="D5" s="3689"/>
      <c r="E5" s="3686" t="s">
        <v>1674</v>
      </c>
      <c r="F5" s="3687"/>
      <c r="G5" s="3688" t="s">
        <v>1675</v>
      </c>
      <c r="H5" s="3689"/>
      <c r="I5" s="3688" t="s">
        <v>1676</v>
      </c>
      <c r="J5" s="3689"/>
      <c r="K5" s="558"/>
      <c r="L5" s="2714"/>
      <c r="M5" s="2715"/>
      <c r="N5" s="2715"/>
      <c r="O5" s="2715"/>
      <c r="P5" s="3731"/>
      <c r="Q5" s="3702"/>
      <c r="R5" s="3684"/>
      <c r="S5" s="3685"/>
      <c r="T5" s="3684"/>
      <c r="U5" s="3685"/>
      <c r="V5" s="3707"/>
      <c r="W5" s="3707"/>
      <c r="X5" s="1354"/>
      <c r="Y5" s="3684"/>
      <c r="Z5" s="3685"/>
      <c r="AA5" s="3678"/>
      <c r="AB5" s="3678"/>
      <c r="AC5" s="3727"/>
    </row>
    <row r="6" spans="1:29" ht="15.75" thickBot="1">
      <c r="A6" s="359"/>
      <c r="B6" s="360"/>
      <c r="C6" s="3690" t="s">
        <v>1677</v>
      </c>
      <c r="D6" s="3691"/>
      <c r="E6" s="3692" t="s">
        <v>1677</v>
      </c>
      <c r="F6" s="3693"/>
      <c r="G6" s="3690" t="s">
        <v>1677</v>
      </c>
      <c r="H6" s="3691"/>
      <c r="I6" s="3690" t="s">
        <v>1677</v>
      </c>
      <c r="J6" s="3691"/>
      <c r="K6" s="558" t="s">
        <v>1678</v>
      </c>
      <c r="L6" s="2714"/>
      <c r="M6" s="2715"/>
      <c r="N6" s="2715"/>
      <c r="O6" s="2715"/>
      <c r="P6" s="3732"/>
      <c r="Q6" s="3704"/>
      <c r="R6" s="3684"/>
      <c r="S6" s="3685"/>
      <c r="T6" s="3705"/>
      <c r="U6" s="3706"/>
      <c r="V6" s="3707"/>
      <c r="W6" s="3707"/>
      <c r="X6" s="1354"/>
      <c r="Y6" s="3705"/>
      <c r="Z6" s="3706"/>
      <c r="AA6" s="3679"/>
      <c r="AB6" s="3679"/>
      <c r="AC6" s="3728"/>
    </row>
    <row r="7" spans="1:29" s="108" customFormat="1" ht="15.75" thickBot="1">
      <c r="A7" s="361" t="s">
        <v>1679</v>
      </c>
      <c r="B7" s="362"/>
      <c r="C7" s="363">
        <f>'数据-取费表'!B2</f>
        <v>45023</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4" t="s">
        <v>1680</v>
      </c>
      <c r="Q7" s="3708"/>
      <c r="R7" s="700" t="s">
        <v>14</v>
      </c>
      <c r="S7" s="701">
        <f t="shared" ref="S7:S15" si="0">F7</f>
        <v>0</v>
      </c>
      <c r="T7" s="700" t="s">
        <v>14</v>
      </c>
      <c r="U7" s="701">
        <f t="shared" ref="U7:U15" si="1">H7</f>
        <v>0</v>
      </c>
      <c r="V7" s="700" t="s">
        <v>14</v>
      </c>
      <c r="W7" s="701">
        <f t="shared" ref="W7:W15" si="2">J7</f>
        <v>0</v>
      </c>
      <c r="X7" s="702"/>
      <c r="Y7" s="3680" t="s">
        <v>1680</v>
      </c>
      <c r="Z7" s="3681"/>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4" t="s">
        <v>1683</v>
      </c>
      <c r="Q8" s="3681"/>
      <c r="R8" s="700" t="s">
        <v>14</v>
      </c>
      <c r="S8" s="701">
        <f t="shared" si="0"/>
        <v>100</v>
      </c>
      <c r="T8" s="700" t="s">
        <v>14</v>
      </c>
      <c r="U8" s="701">
        <f t="shared" si="1"/>
        <v>100</v>
      </c>
      <c r="V8" s="700" t="s">
        <v>14</v>
      </c>
      <c r="W8" s="701">
        <f t="shared" si="2"/>
        <v>100</v>
      </c>
      <c r="X8" s="702"/>
      <c r="Y8" s="3680" t="s">
        <v>1683</v>
      </c>
      <c r="Z8" s="3681"/>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624"/>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21" t="s">
        <v>1691</v>
      </c>
      <c r="Q15" s="1351" t="str">
        <f t="shared" si="6"/>
        <v>办公集聚程度</v>
      </c>
      <c r="R15" s="704" t="s">
        <v>14</v>
      </c>
      <c r="S15" s="705">
        <f t="shared" si="0"/>
        <v>100</v>
      </c>
      <c r="T15" s="704" t="s">
        <v>14</v>
      </c>
      <c r="U15" s="705">
        <f t="shared" si="1"/>
        <v>100</v>
      </c>
      <c r="V15" s="704" t="s">
        <v>14</v>
      </c>
      <c r="W15" s="705">
        <f t="shared" si="2"/>
        <v>100</v>
      </c>
      <c r="X15" s="1354"/>
      <c r="Y15" s="3714"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22"/>
      <c r="Q16" s="1351"/>
      <c r="R16" s="704"/>
      <c r="S16" s="705"/>
      <c r="T16" s="704"/>
      <c r="U16" s="705"/>
      <c r="V16" s="704"/>
      <c r="W16" s="705"/>
      <c r="X16" s="1354"/>
      <c r="Y16" s="371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22"/>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22"/>
      <c r="Q18" s="1351"/>
      <c r="R18" s="704"/>
      <c r="S18" s="705"/>
      <c r="T18" s="704"/>
      <c r="U18" s="705"/>
      <c r="V18" s="704"/>
      <c r="W18" s="705"/>
      <c r="X18" s="1354"/>
      <c r="Y18" s="371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22"/>
      <c r="Q19" s="1351" t="str">
        <f>B19</f>
        <v>公共配套设施</v>
      </c>
      <c r="R19" s="704" t="s">
        <v>14</v>
      </c>
      <c r="S19" s="705">
        <f>F19</f>
        <v>100</v>
      </c>
      <c r="T19" s="704" t="s">
        <v>14</v>
      </c>
      <c r="U19" s="705">
        <f>H19</f>
        <v>100</v>
      </c>
      <c r="V19" s="704" t="s">
        <v>14</v>
      </c>
      <c r="W19" s="705">
        <f>J19</f>
        <v>100</v>
      </c>
      <c r="X19" s="1354"/>
      <c r="Y19" s="371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22"/>
      <c r="Q20" s="1351"/>
      <c r="R20" s="704"/>
      <c r="S20" s="705"/>
      <c r="T20" s="704"/>
      <c r="U20" s="705"/>
      <c r="V20" s="704"/>
      <c r="W20" s="705"/>
      <c r="X20" s="1354"/>
      <c r="Y20" s="371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22"/>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2"/>
      <c r="Q22" s="1351"/>
      <c r="R22" s="704"/>
      <c r="S22" s="705"/>
      <c r="T22" s="704"/>
      <c r="U22" s="705"/>
      <c r="V22" s="704"/>
      <c r="W22" s="705"/>
      <c r="X22" s="1354"/>
      <c r="Y22" s="371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22"/>
      <c r="Q23" s="1351" t="str">
        <f>B23</f>
        <v>环境质量</v>
      </c>
      <c r="R23" s="704" t="s">
        <v>14</v>
      </c>
      <c r="S23" s="705">
        <f>F23</f>
        <v>100</v>
      </c>
      <c r="T23" s="704" t="s">
        <v>14</v>
      </c>
      <c r="U23" s="705">
        <f>H23</f>
        <v>100</v>
      </c>
      <c r="V23" s="704" t="s">
        <v>14</v>
      </c>
      <c r="W23" s="705">
        <f>J23</f>
        <v>100</v>
      </c>
      <c r="X23" s="1354"/>
      <c r="Y23" s="371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22"/>
      <c r="Q24" s="1351"/>
      <c r="R24" s="704"/>
      <c r="S24" s="705"/>
      <c r="T24" s="704"/>
      <c r="U24" s="705"/>
      <c r="V24" s="704"/>
      <c r="W24" s="705"/>
      <c r="X24" s="1354"/>
      <c r="Y24" s="371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22"/>
      <c r="Q25" s="1351" t="str">
        <f>B25</f>
        <v>毗邻道路的类型与等级</v>
      </c>
      <c r="R25" s="704" t="s">
        <v>14</v>
      </c>
      <c r="S25" s="705">
        <f>F25</f>
        <v>100</v>
      </c>
      <c r="T25" s="704" t="s">
        <v>14</v>
      </c>
      <c r="U25" s="705">
        <f>H25</f>
        <v>100</v>
      </c>
      <c r="V25" s="704" t="s">
        <v>14</v>
      </c>
      <c r="W25" s="705">
        <f>J25</f>
        <v>100</v>
      </c>
      <c r="X25" s="1354"/>
      <c r="Y25" s="371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2"/>
      <c r="Q26" s="1351"/>
      <c r="R26" s="704"/>
      <c r="S26" s="705"/>
      <c r="T26" s="704"/>
      <c r="U26" s="705"/>
      <c r="V26" s="704"/>
      <c r="W26" s="705"/>
      <c r="X26" s="1354"/>
      <c r="Y26" s="3715"/>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22"/>
      <c r="Q27" s="1351" t="str">
        <f t="shared" ref="Q27:Q47" si="11">B27</f>
        <v>楼层</v>
      </c>
      <c r="R27" s="704" t="s">
        <v>14</v>
      </c>
      <c r="S27" s="705">
        <f>F27</f>
        <v>100</v>
      </c>
      <c r="T27" s="704" t="s">
        <v>14</v>
      </c>
      <c r="U27" s="705">
        <f>H27</f>
        <v>100</v>
      </c>
      <c r="V27" s="704" t="s">
        <v>14</v>
      </c>
      <c r="W27" s="705">
        <f>J27</f>
        <v>100</v>
      </c>
      <c r="X27" s="1354"/>
      <c r="Y27" s="3715"/>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2"/>
      <c r="Q28" s="1342" t="str">
        <f t="shared" si="11"/>
        <v>朝向</v>
      </c>
      <c r="R28" s="700" t="s">
        <v>14</v>
      </c>
      <c r="S28" s="701">
        <f>F28</f>
        <v>100</v>
      </c>
      <c r="T28" s="700" t="s">
        <v>14</v>
      </c>
      <c r="U28" s="701">
        <f>H28</f>
        <v>100</v>
      </c>
      <c r="V28" s="700" t="s">
        <v>14</v>
      </c>
      <c r="W28" s="701">
        <f>J28</f>
        <v>100</v>
      </c>
      <c r="X28" s="702"/>
      <c r="Y28" s="371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2"/>
      <c r="Q29" s="1351">
        <f t="shared" si="11"/>
        <v>111</v>
      </c>
      <c r="R29" s="704" t="s">
        <v>14</v>
      </c>
      <c r="S29" s="705">
        <f t="shared" ref="S29:S47" si="12">F29</f>
        <v>100</v>
      </c>
      <c r="T29" s="704" t="s">
        <v>14</v>
      </c>
      <c r="U29" s="705">
        <f t="shared" ref="U29:U47" si="13">H29</f>
        <v>100</v>
      </c>
      <c r="V29" s="704" t="s">
        <v>14</v>
      </c>
      <c r="W29" s="705">
        <f t="shared" ref="W29:W47" si="14">J29</f>
        <v>100</v>
      </c>
      <c r="X29" s="1354"/>
      <c r="Y29" s="371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2"/>
      <c r="Q30" s="1351">
        <f t="shared" si="11"/>
        <v>111</v>
      </c>
      <c r="R30" s="704" t="s">
        <v>14</v>
      </c>
      <c r="S30" s="705">
        <f t="shared" si="12"/>
        <v>100</v>
      </c>
      <c r="T30" s="704" t="s">
        <v>14</v>
      </c>
      <c r="U30" s="705">
        <f t="shared" si="13"/>
        <v>100</v>
      </c>
      <c r="V30" s="704" t="s">
        <v>14</v>
      </c>
      <c r="W30" s="705">
        <f t="shared" si="14"/>
        <v>100</v>
      </c>
      <c r="X30" s="1354"/>
      <c r="Y30" s="371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2"/>
      <c r="Q31" s="1351">
        <f t="shared" si="11"/>
        <v>111</v>
      </c>
      <c r="R31" s="704" t="s">
        <v>14</v>
      </c>
      <c r="S31" s="705">
        <f t="shared" si="12"/>
        <v>100</v>
      </c>
      <c r="T31" s="704" t="s">
        <v>14</v>
      </c>
      <c r="U31" s="705">
        <f t="shared" si="13"/>
        <v>100</v>
      </c>
      <c r="V31" s="704" t="s">
        <v>14</v>
      </c>
      <c r="W31" s="705">
        <f t="shared" si="14"/>
        <v>100</v>
      </c>
      <c r="X31" s="1354"/>
      <c r="Y31" s="371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2"/>
      <c r="Q32" s="1351">
        <f t="shared" si="11"/>
        <v>111</v>
      </c>
      <c r="R32" s="704" t="s">
        <v>14</v>
      </c>
      <c r="S32" s="705">
        <f t="shared" si="12"/>
        <v>100</v>
      </c>
      <c r="T32" s="704" t="s">
        <v>14</v>
      </c>
      <c r="U32" s="705">
        <f t="shared" si="13"/>
        <v>100</v>
      </c>
      <c r="V32" s="704" t="s">
        <v>14</v>
      </c>
      <c r="W32" s="705">
        <f t="shared" si="14"/>
        <v>100</v>
      </c>
      <c r="X32" s="1354"/>
      <c r="Y32" s="3715"/>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16" t="s">
        <v>1696</v>
      </c>
      <c r="Q33" s="1351" t="str">
        <f t="shared" si="11"/>
        <v>建筑类型</v>
      </c>
      <c r="R33" s="704" t="s">
        <v>14</v>
      </c>
      <c r="S33" s="705">
        <f t="shared" si="12"/>
        <v>100</v>
      </c>
      <c r="T33" s="704" t="s">
        <v>14</v>
      </c>
      <c r="U33" s="705">
        <f t="shared" si="13"/>
        <v>100</v>
      </c>
      <c r="V33" s="704" t="s">
        <v>14</v>
      </c>
      <c r="W33" s="705">
        <f t="shared" si="14"/>
        <v>100</v>
      </c>
      <c r="X33" s="1354"/>
      <c r="Y33" s="3719"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17"/>
      <c r="Q34" s="706" t="str">
        <f t="shared" si="11"/>
        <v>项目建筑规模</v>
      </c>
      <c r="R34" s="707" t="s">
        <v>14</v>
      </c>
      <c r="S34" s="708" t="e">
        <f t="shared" si="12"/>
        <v>#N/A</v>
      </c>
      <c r="T34" s="707" t="s">
        <v>14</v>
      </c>
      <c r="U34" s="708" t="e">
        <f t="shared" si="13"/>
        <v>#N/A</v>
      </c>
      <c r="V34" s="707" t="s">
        <v>14</v>
      </c>
      <c r="W34" s="708" t="e">
        <f t="shared" si="14"/>
        <v>#N/A</v>
      </c>
      <c r="X34" s="709"/>
      <c r="Y34" s="3719"/>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17"/>
      <c r="Q35" s="1351" t="str">
        <f t="shared" si="11"/>
        <v>建筑结构</v>
      </c>
      <c r="R35" s="704" t="s">
        <v>14</v>
      </c>
      <c r="S35" s="705">
        <f t="shared" si="12"/>
        <v>100</v>
      </c>
      <c r="T35" s="704" t="s">
        <v>14</v>
      </c>
      <c r="U35" s="705">
        <f t="shared" si="13"/>
        <v>100</v>
      </c>
      <c r="V35" s="704" t="s">
        <v>14</v>
      </c>
      <c r="W35" s="705">
        <f t="shared" si="14"/>
        <v>100</v>
      </c>
      <c r="X35" s="1354"/>
      <c r="Y35" s="3719"/>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17"/>
      <c r="Q36" s="1351" t="str">
        <f t="shared" si="11"/>
        <v>公共部分装修</v>
      </c>
      <c r="R36" s="704" t="s">
        <v>14</v>
      </c>
      <c r="S36" s="705">
        <f t="shared" si="12"/>
        <v>100</v>
      </c>
      <c r="T36" s="704" t="s">
        <v>14</v>
      </c>
      <c r="U36" s="705">
        <f t="shared" si="13"/>
        <v>100</v>
      </c>
      <c r="V36" s="704" t="s">
        <v>14</v>
      </c>
      <c r="W36" s="705">
        <f t="shared" si="14"/>
        <v>100</v>
      </c>
      <c r="X36" s="1354"/>
      <c r="Y36" s="3719"/>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17"/>
      <c r="Q37" s="1351" t="str">
        <f t="shared" si="11"/>
        <v>成新度</v>
      </c>
      <c r="R37" s="704" t="s">
        <v>14</v>
      </c>
      <c r="S37" s="705" t="e">
        <f t="shared" si="12"/>
        <v>#N/A</v>
      </c>
      <c r="T37" s="704" t="s">
        <v>14</v>
      </c>
      <c r="U37" s="705" t="e">
        <f t="shared" si="13"/>
        <v>#N/A</v>
      </c>
      <c r="V37" s="704" t="s">
        <v>14</v>
      </c>
      <c r="W37" s="705" t="e">
        <f t="shared" si="14"/>
        <v>#N/A</v>
      </c>
      <c r="X37" s="1354"/>
      <c r="Y37" s="3719"/>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7"/>
      <c r="Q38" s="1342" t="str">
        <f t="shared" si="11"/>
        <v>写字楼等级</v>
      </c>
      <c r="R38" s="700" t="s">
        <v>14</v>
      </c>
      <c r="S38" s="701">
        <f t="shared" si="12"/>
        <v>100</v>
      </c>
      <c r="T38" s="700" t="s">
        <v>14</v>
      </c>
      <c r="U38" s="701">
        <f t="shared" si="13"/>
        <v>100</v>
      </c>
      <c r="V38" s="700" t="s">
        <v>14</v>
      </c>
      <c r="W38" s="701">
        <f t="shared" si="14"/>
        <v>100</v>
      </c>
      <c r="X38" s="702"/>
      <c r="Y38" s="3719"/>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17" t="s">
        <v>1696</v>
      </c>
      <c r="Q39" s="1351" t="str">
        <f t="shared" si="11"/>
        <v>物业管理</v>
      </c>
      <c r="R39" s="704" t="s">
        <v>14</v>
      </c>
      <c r="S39" s="705">
        <f t="shared" si="12"/>
        <v>100</v>
      </c>
      <c r="T39" s="704" t="s">
        <v>14</v>
      </c>
      <c r="U39" s="705">
        <f t="shared" si="13"/>
        <v>100</v>
      </c>
      <c r="V39" s="704" t="s">
        <v>14</v>
      </c>
      <c r="W39" s="705">
        <f t="shared" si="14"/>
        <v>100</v>
      </c>
      <c r="X39" s="1354"/>
      <c r="Y39" s="3719"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7"/>
      <c r="Q40" s="1351" t="str">
        <f t="shared" si="11"/>
        <v>市政基础设施</v>
      </c>
      <c r="R40" s="704" t="s">
        <v>14</v>
      </c>
      <c r="S40" s="705">
        <f t="shared" si="12"/>
        <v>100</v>
      </c>
      <c r="T40" s="704" t="s">
        <v>14</v>
      </c>
      <c r="U40" s="705">
        <f t="shared" si="13"/>
        <v>100</v>
      </c>
      <c r="V40" s="704" t="s">
        <v>14</v>
      </c>
      <c r="W40" s="705">
        <f t="shared" si="14"/>
        <v>100</v>
      </c>
      <c r="X40" s="1354"/>
      <c r="Y40" s="3719"/>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7"/>
      <c r="Q41" s="1351" t="str">
        <f t="shared" si="11"/>
        <v>层高</v>
      </c>
      <c r="R41" s="704" t="s">
        <v>14</v>
      </c>
      <c r="S41" s="705">
        <f t="shared" si="12"/>
        <v>100</v>
      </c>
      <c r="T41" s="704" t="s">
        <v>14</v>
      </c>
      <c r="U41" s="705">
        <f t="shared" si="13"/>
        <v>100</v>
      </c>
      <c r="V41" s="704" t="s">
        <v>14</v>
      </c>
      <c r="W41" s="705">
        <f t="shared" si="14"/>
        <v>100</v>
      </c>
      <c r="X41" s="1354"/>
      <c r="Y41" s="3719"/>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7"/>
      <c r="Q42" s="706" t="str">
        <f t="shared" si="11"/>
        <v>单套建筑面积</v>
      </c>
      <c r="R42" s="707" t="s">
        <v>14</v>
      </c>
      <c r="S42" s="708">
        <f t="shared" si="12"/>
        <v>100</v>
      </c>
      <c r="T42" s="707" t="s">
        <v>14</v>
      </c>
      <c r="U42" s="708">
        <f t="shared" si="13"/>
        <v>100</v>
      </c>
      <c r="V42" s="707" t="s">
        <v>14</v>
      </c>
      <c r="W42" s="708">
        <f t="shared" si="14"/>
        <v>100</v>
      </c>
      <c r="X42" s="709"/>
      <c r="Y42" s="3719"/>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17"/>
      <c r="Q43" s="1351" t="str">
        <f t="shared" si="11"/>
        <v>内部装修</v>
      </c>
      <c r="R43" s="704" t="s">
        <v>14</v>
      </c>
      <c r="S43" s="705">
        <f t="shared" si="12"/>
        <v>100</v>
      </c>
      <c r="T43" s="704" t="s">
        <v>14</v>
      </c>
      <c r="U43" s="705">
        <f t="shared" si="13"/>
        <v>100</v>
      </c>
      <c r="V43" s="704" t="s">
        <v>14</v>
      </c>
      <c r="W43" s="705">
        <f t="shared" si="14"/>
        <v>100</v>
      </c>
      <c r="X43" s="1354"/>
      <c r="Y43" s="3719"/>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17"/>
      <c r="Q44" s="1351" t="str">
        <f t="shared" si="11"/>
        <v>内部装修维护情况</v>
      </c>
      <c r="R44" s="704" t="s">
        <v>14</v>
      </c>
      <c r="S44" s="705">
        <f t="shared" si="12"/>
        <v>100</v>
      </c>
      <c r="T44" s="704" t="s">
        <v>14</v>
      </c>
      <c r="U44" s="705">
        <f t="shared" si="13"/>
        <v>100</v>
      </c>
      <c r="V44" s="704" t="s">
        <v>14</v>
      </c>
      <c r="W44" s="705">
        <f t="shared" si="14"/>
        <v>100</v>
      </c>
      <c r="X44" s="1354"/>
      <c r="Y44" s="3719"/>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7"/>
      <c r="Q45" s="1342">
        <f t="shared" si="11"/>
        <v>111</v>
      </c>
      <c r="R45" s="700" t="s">
        <v>14</v>
      </c>
      <c r="S45" s="701">
        <f t="shared" si="12"/>
        <v>100</v>
      </c>
      <c r="T45" s="700" t="s">
        <v>14</v>
      </c>
      <c r="U45" s="701">
        <f t="shared" si="13"/>
        <v>100</v>
      </c>
      <c r="V45" s="700" t="s">
        <v>14</v>
      </c>
      <c r="W45" s="701">
        <f t="shared" si="14"/>
        <v>100</v>
      </c>
      <c r="X45" s="702"/>
      <c r="Y45" s="371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7"/>
      <c r="Q46" s="1351">
        <f t="shared" si="11"/>
        <v>111</v>
      </c>
      <c r="R46" s="704" t="s">
        <v>14</v>
      </c>
      <c r="S46" s="705">
        <f t="shared" si="12"/>
        <v>100</v>
      </c>
      <c r="T46" s="704" t="s">
        <v>14</v>
      </c>
      <c r="U46" s="705">
        <f t="shared" si="13"/>
        <v>100</v>
      </c>
      <c r="V46" s="704" t="s">
        <v>14</v>
      </c>
      <c r="W46" s="705">
        <f t="shared" si="14"/>
        <v>100</v>
      </c>
      <c r="X46" s="1354"/>
      <c r="Y46" s="371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8"/>
      <c r="Q47" s="1351">
        <f t="shared" si="11"/>
        <v>111</v>
      </c>
      <c r="R47" s="704" t="s">
        <v>14</v>
      </c>
      <c r="S47" s="705">
        <f t="shared" si="12"/>
        <v>100</v>
      </c>
      <c r="T47" s="704" t="s">
        <v>14</v>
      </c>
      <c r="U47" s="705">
        <f t="shared" si="13"/>
        <v>100</v>
      </c>
      <c r="V47" s="704" t="s">
        <v>14</v>
      </c>
      <c r="W47" s="705">
        <f t="shared" si="14"/>
        <v>100</v>
      </c>
      <c r="X47" s="1354"/>
      <c r="Y47" s="3720"/>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4" t="str">
        <f>A48</f>
        <v>成交单价（元/平方米）</v>
      </c>
      <c r="Q48" s="3712"/>
      <c r="R48" s="3713">
        <f>E48</f>
        <v>0</v>
      </c>
      <c r="S48" s="3713"/>
      <c r="T48" s="3713">
        <f>G48</f>
        <v>0</v>
      </c>
      <c r="U48" s="3713"/>
      <c r="V48" s="3713">
        <f>I48</f>
        <v>0</v>
      </c>
      <c r="W48" s="3713"/>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4"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42466.65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5" t="s">
        <v>1770</v>
      </c>
      <c r="D4" s="3696"/>
      <c r="E4" s="3697" t="s">
        <v>1771</v>
      </c>
      <c r="F4" s="3698"/>
      <c r="G4" s="3695" t="s">
        <v>1772</v>
      </c>
      <c r="H4" s="3696"/>
      <c r="I4" s="3695" t="s">
        <v>1773</v>
      </c>
      <c r="J4" s="3696"/>
      <c r="K4" s="558" t="s">
        <v>1774</v>
      </c>
      <c r="L4" s="912"/>
      <c r="M4" s="913"/>
      <c r="N4" s="913"/>
      <c r="O4" s="913"/>
      <c r="P4" s="3699" t="s">
        <v>1775</v>
      </c>
      <c r="Q4" s="3700"/>
      <c r="R4" s="3682" t="s">
        <v>1771</v>
      </c>
      <c r="S4" s="3683"/>
      <c r="T4" s="3682" t="s">
        <v>1772</v>
      </c>
      <c r="U4" s="3683"/>
      <c r="V4" s="3707" t="s">
        <v>1773</v>
      </c>
      <c r="W4" s="3707"/>
      <c r="X4" s="1354"/>
      <c r="Y4" s="3682" t="s">
        <v>1775</v>
      </c>
      <c r="Z4" s="3683"/>
      <c r="AA4" s="3677" t="s">
        <v>1771</v>
      </c>
      <c r="AB4" s="3678" t="s">
        <v>1772</v>
      </c>
      <c r="AC4" s="3677" t="s">
        <v>1773</v>
      </c>
    </row>
    <row r="5" spans="1:29" ht="15">
      <c r="A5" s="357"/>
      <c r="B5" s="358"/>
      <c r="C5" s="3688" t="s">
        <v>1673</v>
      </c>
      <c r="D5" s="3689"/>
      <c r="E5" s="3686" t="s">
        <v>1674</v>
      </c>
      <c r="F5" s="3687"/>
      <c r="G5" s="3688" t="s">
        <v>1675</v>
      </c>
      <c r="H5" s="3689"/>
      <c r="I5" s="3688" t="s">
        <v>1676</v>
      </c>
      <c r="J5" s="3689"/>
      <c r="K5" s="558"/>
      <c r="L5" s="912"/>
      <c r="M5" s="913"/>
      <c r="N5" s="913"/>
      <c r="O5" s="913"/>
      <c r="P5" s="3701"/>
      <c r="Q5" s="3702"/>
      <c r="R5" s="3684"/>
      <c r="S5" s="3685"/>
      <c r="T5" s="3684"/>
      <c r="U5" s="3685"/>
      <c r="V5" s="3707"/>
      <c r="W5" s="3707"/>
      <c r="X5" s="1354"/>
      <c r="Y5" s="3684"/>
      <c r="Z5" s="3685"/>
      <c r="AA5" s="3678"/>
      <c r="AB5" s="3678"/>
      <c r="AC5" s="3678"/>
    </row>
    <row r="6" spans="1:29" ht="15.75" thickBot="1">
      <c r="A6" s="359"/>
      <c r="B6" s="360"/>
      <c r="C6" s="3690" t="s">
        <v>1677</v>
      </c>
      <c r="D6" s="3691"/>
      <c r="E6" s="3692" t="s">
        <v>1677</v>
      </c>
      <c r="F6" s="3693"/>
      <c r="G6" s="3690" t="s">
        <v>1677</v>
      </c>
      <c r="H6" s="3691"/>
      <c r="I6" s="3690" t="s">
        <v>1677</v>
      </c>
      <c r="J6" s="3691"/>
      <c r="K6" s="558" t="s">
        <v>1678</v>
      </c>
      <c r="L6" s="912"/>
      <c r="M6" s="913"/>
      <c r="N6" s="913"/>
      <c r="O6" s="913"/>
      <c r="P6" s="3703"/>
      <c r="Q6" s="3704"/>
      <c r="R6" s="3684"/>
      <c r="S6" s="3685"/>
      <c r="T6" s="3705"/>
      <c r="U6" s="3706"/>
      <c r="V6" s="3707"/>
      <c r="W6" s="3707"/>
      <c r="X6" s="1354"/>
      <c r="Y6" s="3705"/>
      <c r="Z6" s="3706"/>
      <c r="AA6" s="3679"/>
      <c r="AB6" s="3679"/>
      <c r="AC6" s="3679"/>
    </row>
    <row r="7" spans="1:29" s="108" customFormat="1" ht="15.75" thickBot="1">
      <c r="A7" s="361" t="s">
        <v>1679</v>
      </c>
      <c r="B7" s="362"/>
      <c r="C7" s="363">
        <f>'数据-取费表'!B2</f>
        <v>45023</v>
      </c>
      <c r="D7" s="364">
        <v>100</v>
      </c>
      <c r="E7" s="365"/>
      <c r="F7" s="366">
        <f>SUMIF(52:52,YEAR(E7)&amp;"-"&amp;MONTH(E7),53:53)</f>
        <v>0</v>
      </c>
      <c r="G7" s="365"/>
      <c r="H7" s="364">
        <f>SUMIF(52:52,YEAR(G7)&amp;"-"&amp;MONTH(G7),53:53)</f>
        <v>0</v>
      </c>
      <c r="I7" s="365"/>
      <c r="J7" s="364">
        <f>SUMIF(52:52,YEAR(I7)&amp;"-"&amp;MONTH(I7),53:53)</f>
        <v>0</v>
      </c>
      <c r="K7" s="559"/>
      <c r="L7" s="914"/>
      <c r="M7" s="915"/>
      <c r="N7" s="915"/>
      <c r="O7" s="915"/>
      <c r="P7" s="3680" t="s">
        <v>1680</v>
      </c>
      <c r="Q7" s="3708"/>
      <c r="R7" s="700" t="s">
        <v>14</v>
      </c>
      <c r="S7" s="701">
        <f t="shared" ref="S7:S15" si="0">F7</f>
        <v>0</v>
      </c>
      <c r="T7" s="700" t="s">
        <v>14</v>
      </c>
      <c r="U7" s="701">
        <f t="shared" ref="U7:U15" si="1">H7</f>
        <v>0</v>
      </c>
      <c r="V7" s="700" t="s">
        <v>14</v>
      </c>
      <c r="W7" s="701">
        <f t="shared" ref="W7:W15" si="2">J7</f>
        <v>0</v>
      </c>
      <c r="X7" s="702"/>
      <c r="Y7" s="3680" t="s">
        <v>1680</v>
      </c>
      <c r="Z7" s="3681"/>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0" t="s">
        <v>1683</v>
      </c>
      <c r="Q8" s="3681"/>
      <c r="R8" s="700" t="s">
        <v>14</v>
      </c>
      <c r="S8" s="701">
        <f t="shared" si="0"/>
        <v>100</v>
      </c>
      <c r="T8" s="700" t="s">
        <v>14</v>
      </c>
      <c r="U8" s="701">
        <f t="shared" si="1"/>
        <v>100</v>
      </c>
      <c r="V8" s="700" t="s">
        <v>14</v>
      </c>
      <c r="W8" s="701">
        <f t="shared" si="2"/>
        <v>100</v>
      </c>
      <c r="X8" s="702"/>
      <c r="Y8" s="3680" t="s">
        <v>1683</v>
      </c>
      <c r="Z8" s="3681"/>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2" t="s">
        <v>1686</v>
      </c>
      <c r="Q9" s="1342"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12"/>
      <c r="Q10" s="1342"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2"/>
      <c r="Q11" s="1342" t="str">
        <f t="shared" si="6"/>
        <v>容积率</v>
      </c>
      <c r="R11" s="700" t="s">
        <v>14</v>
      </c>
      <c r="S11" s="701">
        <f t="shared" si="0"/>
        <v>100</v>
      </c>
      <c r="T11" s="700" t="s">
        <v>14</v>
      </c>
      <c r="U11" s="701">
        <f t="shared" si="1"/>
        <v>100</v>
      </c>
      <c r="V11" s="700" t="s">
        <v>14</v>
      </c>
      <c r="W11" s="701">
        <f t="shared" si="2"/>
        <v>100</v>
      </c>
      <c r="X11" s="702"/>
      <c r="Y11" s="3624"/>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12"/>
      <c r="Q12" s="1342">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12"/>
      <c r="Q13" s="1342">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12"/>
      <c r="Q14" s="1342">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4" t="s">
        <v>1691</v>
      </c>
      <c r="Q15" s="1351" t="str">
        <f t="shared" si="6"/>
        <v>产业集聚程度</v>
      </c>
      <c r="R15" s="704" t="s">
        <v>14</v>
      </c>
      <c r="S15" s="705">
        <f t="shared" si="0"/>
        <v>100</v>
      </c>
      <c r="T15" s="704" t="s">
        <v>14</v>
      </c>
      <c r="U15" s="705">
        <f t="shared" si="1"/>
        <v>100</v>
      </c>
      <c r="V15" s="704" t="s">
        <v>14</v>
      </c>
      <c r="W15" s="705">
        <f t="shared" si="2"/>
        <v>100</v>
      </c>
      <c r="X15" s="1354"/>
      <c r="Y15" s="3714"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5"/>
      <c r="Q16" s="1351"/>
      <c r="R16" s="704"/>
      <c r="S16" s="705"/>
      <c r="T16" s="704"/>
      <c r="U16" s="705"/>
      <c r="V16" s="704"/>
      <c r="W16" s="705"/>
      <c r="X16" s="1354"/>
      <c r="Y16" s="371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5"/>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5"/>
      <c r="Q18" s="1351"/>
      <c r="R18" s="704"/>
      <c r="S18" s="705"/>
      <c r="T18" s="704"/>
      <c r="U18" s="705"/>
      <c r="V18" s="704"/>
      <c r="W18" s="705"/>
      <c r="X18" s="1354"/>
      <c r="Y18" s="371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5"/>
      <c r="Q19" s="1351" t="str">
        <f>B19</f>
        <v>公共配套设施</v>
      </c>
      <c r="R19" s="704" t="s">
        <v>14</v>
      </c>
      <c r="S19" s="705">
        <f>F19</f>
        <v>100</v>
      </c>
      <c r="T19" s="704" t="s">
        <v>14</v>
      </c>
      <c r="U19" s="705">
        <f>H19</f>
        <v>100</v>
      </c>
      <c r="V19" s="704" t="s">
        <v>14</v>
      </c>
      <c r="W19" s="705">
        <f>J19</f>
        <v>100</v>
      </c>
      <c r="X19" s="1354"/>
      <c r="Y19" s="371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5"/>
      <c r="Q20" s="1351"/>
      <c r="R20" s="704"/>
      <c r="S20" s="705"/>
      <c r="T20" s="704"/>
      <c r="U20" s="705"/>
      <c r="V20" s="704"/>
      <c r="W20" s="705"/>
      <c r="X20" s="1354"/>
      <c r="Y20" s="371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5"/>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5"/>
      <c r="Q22" s="1351"/>
      <c r="R22" s="704"/>
      <c r="S22" s="705"/>
      <c r="T22" s="704"/>
      <c r="U22" s="705"/>
      <c r="V22" s="704"/>
      <c r="W22" s="705"/>
      <c r="X22" s="1354"/>
      <c r="Y22" s="371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5"/>
      <c r="Q23" s="1351" t="str">
        <f>B23</f>
        <v>环境质量</v>
      </c>
      <c r="R23" s="704" t="s">
        <v>14</v>
      </c>
      <c r="S23" s="705">
        <f>F23</f>
        <v>100</v>
      </c>
      <c r="T23" s="704" t="s">
        <v>14</v>
      </c>
      <c r="U23" s="705">
        <f>H23</f>
        <v>100</v>
      </c>
      <c r="V23" s="704" t="s">
        <v>14</v>
      </c>
      <c r="W23" s="705">
        <f>J23</f>
        <v>100</v>
      </c>
      <c r="X23" s="1354"/>
      <c r="Y23" s="371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5"/>
      <c r="Q24" s="1351"/>
      <c r="R24" s="704"/>
      <c r="S24" s="705"/>
      <c r="T24" s="704"/>
      <c r="U24" s="705"/>
      <c r="V24" s="704"/>
      <c r="W24" s="705"/>
      <c r="X24" s="1354"/>
      <c r="Y24" s="371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5"/>
      <c r="Q25" s="1351">
        <f>B25</f>
        <v>111</v>
      </c>
      <c r="R25" s="704" t="s">
        <v>14</v>
      </c>
      <c r="S25" s="705">
        <f>F25</f>
        <v>100</v>
      </c>
      <c r="T25" s="704" t="s">
        <v>14</v>
      </c>
      <c r="U25" s="705">
        <f>H25</f>
        <v>100</v>
      </c>
      <c r="V25" s="704" t="s">
        <v>14</v>
      </c>
      <c r="W25" s="705">
        <f>J25</f>
        <v>100</v>
      </c>
      <c r="X25" s="1354"/>
      <c r="Y25" s="371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5"/>
      <c r="Q26" s="1351">
        <f t="shared" ref="Q26:Q40" si="11">B26</f>
        <v>111</v>
      </c>
      <c r="R26" s="704" t="s">
        <v>14</v>
      </c>
      <c r="S26" s="705">
        <f>F26</f>
        <v>100</v>
      </c>
      <c r="T26" s="704" t="s">
        <v>14</v>
      </c>
      <c r="U26" s="705">
        <f>H26</f>
        <v>100</v>
      </c>
      <c r="V26" s="704" t="s">
        <v>14</v>
      </c>
      <c r="W26" s="705">
        <f>J26</f>
        <v>100</v>
      </c>
      <c r="X26" s="1354"/>
      <c r="Y26" s="371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5"/>
      <c r="Q27" s="1342">
        <f t="shared" si="11"/>
        <v>111</v>
      </c>
      <c r="R27" s="700" t="s">
        <v>14</v>
      </c>
      <c r="S27" s="701">
        <f>F27</f>
        <v>100</v>
      </c>
      <c r="T27" s="700" t="s">
        <v>14</v>
      </c>
      <c r="U27" s="701">
        <f>H27</f>
        <v>100</v>
      </c>
      <c r="V27" s="700" t="s">
        <v>14</v>
      </c>
      <c r="W27" s="701">
        <f>J27</f>
        <v>100</v>
      </c>
      <c r="X27" s="702"/>
      <c r="Y27" s="371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5"/>
      <c r="Q28" s="1351">
        <f t="shared" si="11"/>
        <v>111</v>
      </c>
      <c r="R28" s="704" t="s">
        <v>14</v>
      </c>
      <c r="S28" s="705">
        <f t="shared" ref="S28:S40" si="12">F28</f>
        <v>100</v>
      </c>
      <c r="T28" s="704" t="s">
        <v>14</v>
      </c>
      <c r="U28" s="705">
        <f t="shared" ref="U28:U40" si="13">H28</f>
        <v>100</v>
      </c>
      <c r="V28" s="704" t="s">
        <v>14</v>
      </c>
      <c r="W28" s="705">
        <f t="shared" ref="W28:W40" si="14">J28</f>
        <v>100</v>
      </c>
      <c r="X28" s="1354"/>
      <c r="Y28" s="3715"/>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8" t="s">
        <v>1696</v>
      </c>
      <c r="Q29" s="1351" t="str">
        <f t="shared" si="11"/>
        <v>建筑类型</v>
      </c>
      <c r="R29" s="704" t="s">
        <v>14</v>
      </c>
      <c r="S29" s="705">
        <f t="shared" si="12"/>
        <v>100</v>
      </c>
      <c r="T29" s="704" t="s">
        <v>14</v>
      </c>
      <c r="U29" s="705">
        <f t="shared" si="13"/>
        <v>100</v>
      </c>
      <c r="V29" s="704" t="s">
        <v>14</v>
      </c>
      <c r="W29" s="705">
        <f t="shared" si="14"/>
        <v>100</v>
      </c>
      <c r="X29" s="1354"/>
      <c r="Y29" s="3719"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9"/>
      <c r="Q30" s="706" t="str">
        <f t="shared" si="11"/>
        <v>项目建筑规模</v>
      </c>
      <c r="R30" s="707" t="s">
        <v>14</v>
      </c>
      <c r="S30" s="708" t="e">
        <f t="shared" si="12"/>
        <v>#N/A</v>
      </c>
      <c r="T30" s="707" t="s">
        <v>14</v>
      </c>
      <c r="U30" s="708" t="e">
        <f t="shared" si="13"/>
        <v>#N/A</v>
      </c>
      <c r="V30" s="707" t="s">
        <v>14</v>
      </c>
      <c r="W30" s="708" t="e">
        <f t="shared" si="14"/>
        <v>#N/A</v>
      </c>
      <c r="X30" s="709"/>
      <c r="Y30" s="3719"/>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9"/>
      <c r="Q31" s="1351" t="str">
        <f t="shared" si="11"/>
        <v>建筑结构</v>
      </c>
      <c r="R31" s="704" t="s">
        <v>14</v>
      </c>
      <c r="S31" s="705">
        <f t="shared" si="12"/>
        <v>100</v>
      </c>
      <c r="T31" s="704" t="s">
        <v>14</v>
      </c>
      <c r="U31" s="705">
        <f t="shared" si="13"/>
        <v>100</v>
      </c>
      <c r="V31" s="704" t="s">
        <v>14</v>
      </c>
      <c r="W31" s="705">
        <f t="shared" si="14"/>
        <v>100</v>
      </c>
      <c r="X31" s="1354"/>
      <c r="Y31" s="371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9"/>
      <c r="Q32" s="1351" t="str">
        <f t="shared" si="11"/>
        <v>公共部分装修</v>
      </c>
      <c r="R32" s="704" t="s">
        <v>14</v>
      </c>
      <c r="S32" s="705">
        <f t="shared" si="12"/>
        <v>100</v>
      </c>
      <c r="T32" s="704" t="s">
        <v>14</v>
      </c>
      <c r="U32" s="705">
        <f t="shared" si="13"/>
        <v>100</v>
      </c>
      <c r="V32" s="704" t="s">
        <v>14</v>
      </c>
      <c r="W32" s="705">
        <f t="shared" si="14"/>
        <v>100</v>
      </c>
      <c r="X32" s="1354"/>
      <c r="Y32" s="3719"/>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9"/>
      <c r="Q33" s="1351" t="str">
        <f t="shared" si="11"/>
        <v>成新度</v>
      </c>
      <c r="R33" s="704" t="s">
        <v>14</v>
      </c>
      <c r="S33" s="705" t="e">
        <f t="shared" si="12"/>
        <v>#N/A</v>
      </c>
      <c r="T33" s="704" t="s">
        <v>14</v>
      </c>
      <c r="U33" s="705" t="e">
        <f t="shared" si="13"/>
        <v>#N/A</v>
      </c>
      <c r="V33" s="704" t="s">
        <v>14</v>
      </c>
      <c r="W33" s="705" t="e">
        <f t="shared" si="14"/>
        <v>#N/A</v>
      </c>
      <c r="X33" s="1354"/>
      <c r="Y33" s="3719"/>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9"/>
      <c r="Q34" s="1342" t="str">
        <f t="shared" si="11"/>
        <v>物业管理</v>
      </c>
      <c r="R34" s="700" t="s">
        <v>14</v>
      </c>
      <c r="S34" s="701">
        <f t="shared" si="12"/>
        <v>100</v>
      </c>
      <c r="T34" s="700" t="s">
        <v>14</v>
      </c>
      <c r="U34" s="701">
        <f t="shared" si="13"/>
        <v>100</v>
      </c>
      <c r="V34" s="700" t="s">
        <v>14</v>
      </c>
      <c r="W34" s="701">
        <f t="shared" si="14"/>
        <v>100</v>
      </c>
      <c r="X34" s="702"/>
      <c r="Y34" s="371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9" t="s">
        <v>1696</v>
      </c>
      <c r="Q35" s="1351" t="str">
        <f t="shared" si="11"/>
        <v>市政基础设施</v>
      </c>
      <c r="R35" s="704" t="s">
        <v>14</v>
      </c>
      <c r="S35" s="705">
        <f t="shared" si="12"/>
        <v>100</v>
      </c>
      <c r="T35" s="704" t="s">
        <v>14</v>
      </c>
      <c r="U35" s="705">
        <f t="shared" si="13"/>
        <v>100</v>
      </c>
      <c r="V35" s="704" t="s">
        <v>14</v>
      </c>
      <c r="W35" s="705">
        <f t="shared" si="14"/>
        <v>100</v>
      </c>
      <c r="X35" s="1354"/>
      <c r="Y35" s="3719"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9"/>
      <c r="Q36" s="1351" t="str">
        <f t="shared" si="11"/>
        <v>内部装修</v>
      </c>
      <c r="R36" s="704" t="s">
        <v>14</v>
      </c>
      <c r="S36" s="705">
        <f t="shared" si="12"/>
        <v>100</v>
      </c>
      <c r="T36" s="704" t="s">
        <v>14</v>
      </c>
      <c r="U36" s="705">
        <f t="shared" si="13"/>
        <v>100</v>
      </c>
      <c r="V36" s="704" t="s">
        <v>14</v>
      </c>
      <c r="W36" s="705">
        <f t="shared" si="14"/>
        <v>100</v>
      </c>
      <c r="X36" s="1354"/>
      <c r="Y36" s="3719"/>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9"/>
      <c r="Q37" s="1351" t="str">
        <f t="shared" si="11"/>
        <v>内部装修状况</v>
      </c>
      <c r="R37" s="704" t="s">
        <v>14</v>
      </c>
      <c r="S37" s="705">
        <f t="shared" si="12"/>
        <v>100</v>
      </c>
      <c r="T37" s="704" t="s">
        <v>14</v>
      </c>
      <c r="U37" s="705">
        <f t="shared" si="13"/>
        <v>100</v>
      </c>
      <c r="V37" s="704" t="s">
        <v>14</v>
      </c>
      <c r="W37" s="705">
        <f t="shared" si="14"/>
        <v>100</v>
      </c>
      <c r="X37" s="1354"/>
      <c r="Y37" s="371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9"/>
      <c r="Q38" s="706">
        <f t="shared" si="11"/>
        <v>111</v>
      </c>
      <c r="R38" s="707" t="s">
        <v>14</v>
      </c>
      <c r="S38" s="708">
        <f t="shared" si="12"/>
        <v>100</v>
      </c>
      <c r="T38" s="707" t="s">
        <v>14</v>
      </c>
      <c r="U38" s="708">
        <f t="shared" si="13"/>
        <v>100</v>
      </c>
      <c r="V38" s="707" t="s">
        <v>14</v>
      </c>
      <c r="W38" s="708">
        <f t="shared" si="14"/>
        <v>100</v>
      </c>
      <c r="X38" s="709"/>
      <c r="Y38" s="371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9"/>
      <c r="Q39" s="1351">
        <f t="shared" si="11"/>
        <v>111</v>
      </c>
      <c r="R39" s="704" t="s">
        <v>14</v>
      </c>
      <c r="S39" s="705">
        <f t="shared" si="12"/>
        <v>100</v>
      </c>
      <c r="T39" s="704" t="s">
        <v>14</v>
      </c>
      <c r="U39" s="705">
        <f t="shared" si="13"/>
        <v>100</v>
      </c>
      <c r="V39" s="704" t="s">
        <v>14</v>
      </c>
      <c r="W39" s="705">
        <f t="shared" si="14"/>
        <v>100</v>
      </c>
      <c r="X39" s="1354"/>
      <c r="Y39" s="371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20"/>
      <c r="Q40" s="1351">
        <f t="shared" si="11"/>
        <v>111</v>
      </c>
      <c r="R40" s="704" t="s">
        <v>14</v>
      </c>
      <c r="S40" s="705">
        <f t="shared" si="12"/>
        <v>100</v>
      </c>
      <c r="T40" s="704" t="s">
        <v>14</v>
      </c>
      <c r="U40" s="705">
        <f t="shared" si="13"/>
        <v>100</v>
      </c>
      <c r="V40" s="704" t="s">
        <v>14</v>
      </c>
      <c r="W40" s="705">
        <f t="shared" si="14"/>
        <v>100</v>
      </c>
      <c r="X40" s="1354"/>
      <c r="Y40" s="3720"/>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12" t="str">
        <f>A41</f>
        <v>成交单价（元/平方米）</v>
      </c>
      <c r="Q41" s="3712"/>
      <c r="R41" s="3713">
        <f>E41</f>
        <v>0</v>
      </c>
      <c r="S41" s="3713"/>
      <c r="T41" s="3713">
        <f>G41</f>
        <v>0</v>
      </c>
      <c r="U41" s="3713"/>
      <c r="V41" s="3713">
        <f>I41</f>
        <v>0</v>
      </c>
      <c r="W41" s="3713"/>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3340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5" t="s">
        <v>1770</v>
      </c>
      <c r="D4" s="3696"/>
      <c r="E4" s="3697" t="s">
        <v>1771</v>
      </c>
      <c r="F4" s="3698"/>
      <c r="G4" s="3695" t="s">
        <v>1772</v>
      </c>
      <c r="H4" s="3696"/>
      <c r="I4" s="3695" t="s">
        <v>1773</v>
      </c>
      <c r="J4" s="3696"/>
      <c r="K4" s="558" t="s">
        <v>1774</v>
      </c>
      <c r="L4" s="2714"/>
      <c r="M4" s="2715"/>
      <c r="N4" s="2715"/>
      <c r="O4" s="2715"/>
      <c r="P4" s="3699" t="s">
        <v>1775</v>
      </c>
      <c r="Q4" s="3700"/>
      <c r="R4" s="3682" t="s">
        <v>1771</v>
      </c>
      <c r="S4" s="3683"/>
      <c r="T4" s="3682" t="s">
        <v>1772</v>
      </c>
      <c r="U4" s="3683"/>
      <c r="V4" s="3707" t="s">
        <v>1773</v>
      </c>
      <c r="W4" s="3707"/>
      <c r="X4" s="1354"/>
      <c r="Y4" s="3682" t="s">
        <v>1775</v>
      </c>
      <c r="Z4" s="3683"/>
      <c r="AA4" s="3677" t="s">
        <v>1771</v>
      </c>
      <c r="AB4" s="3678" t="s">
        <v>1772</v>
      </c>
      <c r="AC4" s="3677" t="s">
        <v>1773</v>
      </c>
    </row>
    <row r="5" spans="1:29" ht="15">
      <c r="A5" s="357"/>
      <c r="B5" s="358"/>
      <c r="C5" s="3688" t="s">
        <v>1673</v>
      </c>
      <c r="D5" s="3689"/>
      <c r="E5" s="3686" t="s">
        <v>1674</v>
      </c>
      <c r="F5" s="3687"/>
      <c r="G5" s="3688" t="s">
        <v>1675</v>
      </c>
      <c r="H5" s="3689"/>
      <c r="I5" s="3688" t="s">
        <v>1676</v>
      </c>
      <c r="J5" s="3689"/>
      <c r="K5" s="558"/>
      <c r="L5" s="2714"/>
      <c r="M5" s="2715"/>
      <c r="N5" s="2715"/>
      <c r="O5" s="2715"/>
      <c r="P5" s="3701"/>
      <c r="Q5" s="3702"/>
      <c r="R5" s="3684"/>
      <c r="S5" s="3685"/>
      <c r="T5" s="3684"/>
      <c r="U5" s="3685"/>
      <c r="V5" s="3707"/>
      <c r="W5" s="3707"/>
      <c r="X5" s="1354"/>
      <c r="Y5" s="3684"/>
      <c r="Z5" s="3685"/>
      <c r="AA5" s="3678"/>
      <c r="AB5" s="3678"/>
      <c r="AC5" s="3678"/>
    </row>
    <row r="6" spans="1:29" ht="15.75" thickBot="1">
      <c r="A6" s="359"/>
      <c r="B6" s="360"/>
      <c r="C6" s="3690" t="s">
        <v>1677</v>
      </c>
      <c r="D6" s="3691"/>
      <c r="E6" s="3692" t="s">
        <v>1677</v>
      </c>
      <c r="F6" s="3693"/>
      <c r="G6" s="3690" t="s">
        <v>1677</v>
      </c>
      <c r="H6" s="3691"/>
      <c r="I6" s="3690" t="s">
        <v>1677</v>
      </c>
      <c r="J6" s="3691"/>
      <c r="K6" s="558" t="s">
        <v>1678</v>
      </c>
      <c r="L6" s="2714"/>
      <c r="M6" s="2715"/>
      <c r="N6" s="2715"/>
      <c r="O6" s="2715"/>
      <c r="P6" s="3703"/>
      <c r="Q6" s="3704"/>
      <c r="R6" s="3684"/>
      <c r="S6" s="3685"/>
      <c r="T6" s="3705"/>
      <c r="U6" s="3706"/>
      <c r="V6" s="3707"/>
      <c r="W6" s="3707"/>
      <c r="X6" s="1354"/>
      <c r="Y6" s="3705"/>
      <c r="Z6" s="3706"/>
      <c r="AA6" s="3679"/>
      <c r="AB6" s="3679"/>
      <c r="AC6" s="3679"/>
    </row>
    <row r="7" spans="1:29" s="108" customFormat="1" ht="15.75" thickBot="1">
      <c r="A7" s="361" t="s">
        <v>1679</v>
      </c>
      <c r="B7" s="362"/>
      <c r="C7" s="363">
        <f>'数据-取费表'!B2</f>
        <v>45023</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0" t="s">
        <v>1680</v>
      </c>
      <c r="Q7" s="3708"/>
      <c r="R7" s="700" t="s">
        <v>14</v>
      </c>
      <c r="S7" s="701">
        <f t="shared" ref="S7:S14" si="0">F7</f>
        <v>0</v>
      </c>
      <c r="T7" s="700" t="s">
        <v>14</v>
      </c>
      <c r="U7" s="701">
        <f t="shared" ref="U7:U14" si="1">H7</f>
        <v>0</v>
      </c>
      <c r="V7" s="700" t="s">
        <v>14</v>
      </c>
      <c r="W7" s="701">
        <f t="shared" ref="W7:W14" si="2">J7</f>
        <v>0</v>
      </c>
      <c r="X7" s="702"/>
      <c r="Y7" s="3680" t="s">
        <v>1680</v>
      </c>
      <c r="Z7" s="3681"/>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0" t="s">
        <v>1683</v>
      </c>
      <c r="Q8" s="3681"/>
      <c r="R8" s="700" t="s">
        <v>14</v>
      </c>
      <c r="S8" s="701">
        <f t="shared" si="0"/>
        <v>100</v>
      </c>
      <c r="T8" s="700" t="s">
        <v>14</v>
      </c>
      <c r="U8" s="701">
        <f t="shared" si="1"/>
        <v>100</v>
      </c>
      <c r="V8" s="700" t="s">
        <v>14</v>
      </c>
      <c r="W8" s="701">
        <f t="shared" si="2"/>
        <v>100</v>
      </c>
      <c r="X8" s="702"/>
      <c r="Y8" s="3680" t="s">
        <v>1683</v>
      </c>
      <c r="Z8" s="3681"/>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12" t="s">
        <v>1686</v>
      </c>
      <c r="Q9" s="1342" t="str">
        <f t="shared" ref="Q9:Q14" si="6">B9</f>
        <v>用途</v>
      </c>
      <c r="R9" s="700" t="s">
        <v>14</v>
      </c>
      <c r="S9" s="701">
        <f t="shared" si="0"/>
        <v>100</v>
      </c>
      <c r="T9" s="700" t="s">
        <v>14</v>
      </c>
      <c r="U9" s="701">
        <f t="shared" si="1"/>
        <v>100</v>
      </c>
      <c r="V9" s="700" t="s">
        <v>14</v>
      </c>
      <c r="W9" s="701">
        <f t="shared" si="2"/>
        <v>100</v>
      </c>
      <c r="X9" s="702"/>
      <c r="Y9" s="3624"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12"/>
      <c r="Q11" s="1342">
        <f t="shared" si="6"/>
        <v>111</v>
      </c>
      <c r="R11" s="700" t="s">
        <v>14</v>
      </c>
      <c r="S11" s="701">
        <f t="shared" si="0"/>
        <v>100</v>
      </c>
      <c r="T11" s="700" t="s">
        <v>14</v>
      </c>
      <c r="U11" s="701">
        <f t="shared" si="1"/>
        <v>100</v>
      </c>
      <c r="V11" s="700" t="s">
        <v>14</v>
      </c>
      <c r="W11" s="701">
        <f t="shared" si="2"/>
        <v>100</v>
      </c>
      <c r="X11" s="702"/>
      <c r="Y11" s="3624"/>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4" t="s">
        <v>1691</v>
      </c>
      <c r="Q14" s="1351" t="str">
        <f t="shared" si="6"/>
        <v>交通便捷度</v>
      </c>
      <c r="R14" s="704" t="s">
        <v>14</v>
      </c>
      <c r="S14" s="705">
        <f t="shared" si="0"/>
        <v>100</v>
      </c>
      <c r="T14" s="704" t="s">
        <v>14</v>
      </c>
      <c r="U14" s="705">
        <f t="shared" si="1"/>
        <v>100</v>
      </c>
      <c r="V14" s="704" t="s">
        <v>14</v>
      </c>
      <c r="W14" s="705">
        <f t="shared" si="2"/>
        <v>100</v>
      </c>
      <c r="X14" s="1354"/>
      <c r="Y14" s="371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5"/>
      <c r="Q15" s="1351"/>
      <c r="R15" s="704"/>
      <c r="S15" s="705"/>
      <c r="T15" s="704"/>
      <c r="U15" s="705"/>
      <c r="V15" s="704"/>
      <c r="W15" s="705"/>
      <c r="X15" s="1354"/>
      <c r="Y15" s="371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5"/>
      <c r="Q16" s="1351" t="str">
        <f>B16</f>
        <v>公共配套设施</v>
      </c>
      <c r="R16" s="704" t="s">
        <v>14</v>
      </c>
      <c r="S16" s="705">
        <f>F16</f>
        <v>100</v>
      </c>
      <c r="T16" s="704" t="s">
        <v>14</v>
      </c>
      <c r="U16" s="705">
        <f>H16</f>
        <v>100</v>
      </c>
      <c r="V16" s="704" t="s">
        <v>14</v>
      </c>
      <c r="W16" s="705">
        <f>J16</f>
        <v>100</v>
      </c>
      <c r="X16" s="1354"/>
      <c r="Y16" s="371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5"/>
      <c r="Q17" s="1351"/>
      <c r="R17" s="704"/>
      <c r="S17" s="705"/>
      <c r="T17" s="704"/>
      <c r="U17" s="705"/>
      <c r="V17" s="704"/>
      <c r="W17" s="705"/>
      <c r="X17" s="1354"/>
      <c r="Y17" s="371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5"/>
      <c r="Q18" s="1351" t="str">
        <f>B18</f>
        <v>基础设施水平</v>
      </c>
      <c r="R18" s="704" t="s">
        <v>14</v>
      </c>
      <c r="S18" s="705">
        <f>F18</f>
        <v>100</v>
      </c>
      <c r="T18" s="704" t="s">
        <v>14</v>
      </c>
      <c r="U18" s="705">
        <f>H18</f>
        <v>100</v>
      </c>
      <c r="V18" s="704" t="s">
        <v>14</v>
      </c>
      <c r="W18" s="705">
        <f>J18</f>
        <v>100</v>
      </c>
      <c r="X18" s="1354"/>
      <c r="Y18" s="371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5"/>
      <c r="Q19" s="1351"/>
      <c r="R19" s="704"/>
      <c r="S19" s="705"/>
      <c r="T19" s="704"/>
      <c r="U19" s="705"/>
      <c r="V19" s="704"/>
      <c r="W19" s="705"/>
      <c r="X19" s="1354"/>
      <c r="Y19" s="371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5"/>
      <c r="Q20" s="1351" t="str">
        <f>B20</f>
        <v>自然及人文环境</v>
      </c>
      <c r="R20" s="704" t="s">
        <v>14</v>
      </c>
      <c r="S20" s="705">
        <f>F20</f>
        <v>100</v>
      </c>
      <c r="T20" s="704" t="s">
        <v>14</v>
      </c>
      <c r="U20" s="705">
        <f>H20</f>
        <v>100</v>
      </c>
      <c r="V20" s="704" t="s">
        <v>14</v>
      </c>
      <c r="W20" s="705">
        <f>J20</f>
        <v>100</v>
      </c>
      <c r="X20" s="1354"/>
      <c r="Y20" s="371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5"/>
      <c r="Q21" s="1351"/>
      <c r="R21" s="704"/>
      <c r="S21" s="705"/>
      <c r="T21" s="704"/>
      <c r="U21" s="705"/>
      <c r="V21" s="704"/>
      <c r="W21" s="705"/>
      <c r="X21" s="1354"/>
      <c r="Y21" s="371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5"/>
      <c r="Q22" s="1351" t="str">
        <f>B22</f>
        <v>楼层</v>
      </c>
      <c r="R22" s="704" t="s">
        <v>14</v>
      </c>
      <c r="S22" s="705">
        <f>F22</f>
        <v>100</v>
      </c>
      <c r="T22" s="704" t="s">
        <v>14</v>
      </c>
      <c r="U22" s="705">
        <f>H22</f>
        <v>100</v>
      </c>
      <c r="V22" s="704" t="s">
        <v>14</v>
      </c>
      <c r="W22" s="705">
        <f>J22</f>
        <v>100</v>
      </c>
      <c r="X22" s="1354"/>
      <c r="Y22" s="371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5"/>
      <c r="Q23" s="1351">
        <f>B23</f>
        <v>111</v>
      </c>
      <c r="R23" s="704" t="s">
        <v>14</v>
      </c>
      <c r="S23" s="705">
        <f>F23</f>
        <v>100</v>
      </c>
      <c r="T23" s="704" t="s">
        <v>14</v>
      </c>
      <c r="U23" s="705">
        <f>H23</f>
        <v>100</v>
      </c>
      <c r="V23" s="704" t="s">
        <v>14</v>
      </c>
      <c r="W23" s="705">
        <f>J23</f>
        <v>100</v>
      </c>
      <c r="X23" s="1354"/>
      <c r="Y23" s="371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5"/>
      <c r="Q24" s="1351">
        <f t="shared" ref="Q24:Q36" si="11">B24</f>
        <v>111</v>
      </c>
      <c r="R24" s="704" t="s">
        <v>14</v>
      </c>
      <c r="S24" s="705">
        <f>F24</f>
        <v>100</v>
      </c>
      <c r="T24" s="704" t="s">
        <v>14</v>
      </c>
      <c r="U24" s="705">
        <f>H24</f>
        <v>100</v>
      </c>
      <c r="V24" s="704" t="s">
        <v>14</v>
      </c>
      <c r="W24" s="705">
        <f>J24</f>
        <v>100</v>
      </c>
      <c r="X24" s="1354"/>
      <c r="Y24" s="371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5"/>
      <c r="Q25" s="1342">
        <f t="shared" si="11"/>
        <v>111</v>
      </c>
      <c r="R25" s="700" t="s">
        <v>14</v>
      </c>
      <c r="S25" s="701">
        <f>F25</f>
        <v>100</v>
      </c>
      <c r="T25" s="700" t="s">
        <v>14</v>
      </c>
      <c r="U25" s="701">
        <f>H25</f>
        <v>100</v>
      </c>
      <c r="V25" s="700" t="s">
        <v>14</v>
      </c>
      <c r="W25" s="701">
        <f>J25</f>
        <v>100</v>
      </c>
      <c r="X25" s="702"/>
      <c r="Y25" s="3715"/>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9"/>
      <c r="Q27" s="706" t="str">
        <f t="shared" si="11"/>
        <v>项目停车位配比</v>
      </c>
      <c r="R27" s="707" t="s">
        <v>14</v>
      </c>
      <c r="S27" s="708">
        <f t="shared" si="12"/>
        <v>100</v>
      </c>
      <c r="T27" s="707" t="s">
        <v>14</v>
      </c>
      <c r="U27" s="708">
        <f t="shared" si="13"/>
        <v>100</v>
      </c>
      <c r="V27" s="707" t="s">
        <v>14</v>
      </c>
      <c r="W27" s="708">
        <f t="shared" si="14"/>
        <v>100</v>
      </c>
      <c r="X27" s="709"/>
      <c r="Y27" s="371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9"/>
      <c r="Q28" s="1351" t="str">
        <f t="shared" si="11"/>
        <v>公共部分装修</v>
      </c>
      <c r="R28" s="704" t="s">
        <v>14</v>
      </c>
      <c r="S28" s="705">
        <f t="shared" si="12"/>
        <v>100</v>
      </c>
      <c r="T28" s="704" t="s">
        <v>14</v>
      </c>
      <c r="U28" s="705">
        <f t="shared" si="13"/>
        <v>100</v>
      </c>
      <c r="V28" s="704" t="s">
        <v>14</v>
      </c>
      <c r="W28" s="705">
        <f t="shared" si="14"/>
        <v>100</v>
      </c>
      <c r="X28" s="1354"/>
      <c r="Y28" s="371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9"/>
      <c r="Q29" s="1351" t="str">
        <f t="shared" si="11"/>
        <v>成新率</v>
      </c>
      <c r="R29" s="704" t="s">
        <v>14</v>
      </c>
      <c r="S29" s="705" t="e">
        <f t="shared" si="12"/>
        <v>#N/A</v>
      </c>
      <c r="T29" s="704" t="s">
        <v>14</v>
      </c>
      <c r="U29" s="705" t="e">
        <f t="shared" si="13"/>
        <v>#N/A</v>
      </c>
      <c r="V29" s="704" t="s">
        <v>14</v>
      </c>
      <c r="W29" s="705" t="e">
        <f t="shared" si="14"/>
        <v>#N/A</v>
      </c>
      <c r="X29" s="1354"/>
      <c r="Y29" s="371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9"/>
      <c r="Q30" s="1351" t="str">
        <f t="shared" si="11"/>
        <v>物业等级</v>
      </c>
      <c r="R30" s="704" t="s">
        <v>14</v>
      </c>
      <c r="S30" s="705">
        <f t="shared" si="12"/>
        <v>100</v>
      </c>
      <c r="T30" s="704" t="s">
        <v>14</v>
      </c>
      <c r="U30" s="705">
        <f t="shared" si="13"/>
        <v>100</v>
      </c>
      <c r="V30" s="704" t="s">
        <v>14</v>
      </c>
      <c r="W30" s="705">
        <f t="shared" si="14"/>
        <v>100</v>
      </c>
      <c r="X30" s="1354"/>
      <c r="Y30" s="3719"/>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9"/>
      <c r="Q31" s="1342" t="str">
        <f t="shared" si="11"/>
        <v>停车位面积</v>
      </c>
      <c r="R31" s="700" t="s">
        <v>14</v>
      </c>
      <c r="S31" s="701" t="e">
        <f t="shared" si="12"/>
        <v>#N/A</v>
      </c>
      <c r="T31" s="700" t="s">
        <v>14</v>
      </c>
      <c r="U31" s="701" t="e">
        <f t="shared" si="13"/>
        <v>#N/A</v>
      </c>
      <c r="V31" s="700" t="s">
        <v>14</v>
      </c>
      <c r="W31" s="701" t="e">
        <f t="shared" si="14"/>
        <v>#N/A</v>
      </c>
      <c r="X31" s="702"/>
      <c r="Y31" s="371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9" t="s">
        <v>1696</v>
      </c>
      <c r="Q32" s="1351" t="str">
        <f t="shared" si="11"/>
        <v>车位类型</v>
      </c>
      <c r="R32" s="704" t="s">
        <v>14</v>
      </c>
      <c r="S32" s="705">
        <f t="shared" si="12"/>
        <v>100</v>
      </c>
      <c r="T32" s="704" t="s">
        <v>14</v>
      </c>
      <c r="U32" s="705">
        <f t="shared" si="13"/>
        <v>100</v>
      </c>
      <c r="V32" s="704" t="s">
        <v>14</v>
      </c>
      <c r="W32" s="705">
        <f t="shared" si="14"/>
        <v>100</v>
      </c>
      <c r="X32" s="1354"/>
      <c r="Y32" s="371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9"/>
      <c r="Q33" s="1351" t="str">
        <f t="shared" si="11"/>
        <v>是否直接入户</v>
      </c>
      <c r="R33" s="704" t="s">
        <v>14</v>
      </c>
      <c r="S33" s="705">
        <f t="shared" si="12"/>
        <v>100</v>
      </c>
      <c r="T33" s="704" t="s">
        <v>14</v>
      </c>
      <c r="U33" s="705">
        <f t="shared" si="13"/>
        <v>100</v>
      </c>
      <c r="V33" s="704" t="s">
        <v>14</v>
      </c>
      <c r="W33" s="705">
        <f t="shared" si="14"/>
        <v>100</v>
      </c>
      <c r="X33" s="1354"/>
      <c r="Y33" s="371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9"/>
      <c r="Q34" s="1351">
        <f t="shared" si="11"/>
        <v>111</v>
      </c>
      <c r="R34" s="704" t="s">
        <v>14</v>
      </c>
      <c r="S34" s="705">
        <f t="shared" si="12"/>
        <v>100</v>
      </c>
      <c r="T34" s="704" t="s">
        <v>14</v>
      </c>
      <c r="U34" s="705">
        <f t="shared" si="13"/>
        <v>100</v>
      </c>
      <c r="V34" s="704" t="s">
        <v>14</v>
      </c>
      <c r="W34" s="705">
        <f t="shared" si="14"/>
        <v>100</v>
      </c>
      <c r="X34" s="1354"/>
      <c r="Y34" s="371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9"/>
      <c r="Q35" s="706">
        <f t="shared" si="11"/>
        <v>111</v>
      </c>
      <c r="R35" s="707" t="s">
        <v>14</v>
      </c>
      <c r="S35" s="708">
        <f t="shared" si="12"/>
        <v>100</v>
      </c>
      <c r="T35" s="707" t="s">
        <v>14</v>
      </c>
      <c r="U35" s="708">
        <f t="shared" si="13"/>
        <v>100</v>
      </c>
      <c r="V35" s="707" t="s">
        <v>14</v>
      </c>
      <c r="W35" s="708">
        <f t="shared" si="14"/>
        <v>100</v>
      </c>
      <c r="X35" s="709"/>
      <c r="Y35" s="371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9"/>
      <c r="Q36" s="1351">
        <f t="shared" si="11"/>
        <v>111</v>
      </c>
      <c r="R36" s="704" t="s">
        <v>14</v>
      </c>
      <c r="S36" s="705">
        <f t="shared" si="12"/>
        <v>100</v>
      </c>
      <c r="T36" s="704" t="s">
        <v>14</v>
      </c>
      <c r="U36" s="705">
        <f t="shared" si="13"/>
        <v>100</v>
      </c>
      <c r="V36" s="704" t="s">
        <v>14</v>
      </c>
      <c r="W36" s="705">
        <f t="shared" si="14"/>
        <v>100</v>
      </c>
      <c r="X36" s="1354"/>
      <c r="Y36" s="3719"/>
      <c r="Z36" s="1355">
        <f t="shared" si="15"/>
        <v>111</v>
      </c>
      <c r="AA36" s="1352">
        <f t="shared" si="3"/>
        <v>1</v>
      </c>
      <c r="AB36" s="1352">
        <f t="shared" si="4"/>
        <v>1</v>
      </c>
      <c r="AC36" s="1352">
        <f t="shared" si="5"/>
        <v>1</v>
      </c>
    </row>
    <row r="37" spans="1:29" ht="15">
      <c r="A37" s="429" t="s">
        <v>1844</v>
      </c>
      <c r="B37" s="1972" t="s">
        <v>3361</v>
      </c>
      <c r="C37" s="1153" t="s">
        <v>0</v>
      </c>
      <c r="D37" s="1154"/>
      <c r="E37" s="1155"/>
      <c r="F37" s="1156"/>
      <c r="G37" s="1157"/>
      <c r="H37" s="1158"/>
      <c r="I37" s="1155"/>
      <c r="J37" s="1158"/>
      <c r="K37" s="567"/>
      <c r="L37" s="2723"/>
      <c r="M37" s="2724"/>
      <c r="N37" s="2715"/>
      <c r="O37" s="2724"/>
      <c r="P37" s="3712" t="str">
        <f>A37</f>
        <v>成交单价</v>
      </c>
      <c r="Q37" s="3712"/>
      <c r="R37" s="3713">
        <f>E37</f>
        <v>0</v>
      </c>
      <c r="S37" s="3713"/>
      <c r="T37" s="3713">
        <f>G37</f>
        <v>0</v>
      </c>
      <c r="U37" s="3713"/>
      <c r="V37" s="3713">
        <f>I37</f>
        <v>0</v>
      </c>
      <c r="W37" s="3713"/>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09" t="str">
        <f>A39</f>
        <v>估价对象XX用房的比较价值（楼面单价，元/平方米）</v>
      </c>
      <c r="Q39" s="3710"/>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3341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5" t="s">
        <v>1770</v>
      </c>
      <c r="D4" s="3696"/>
      <c r="E4" s="3697" t="s">
        <v>1771</v>
      </c>
      <c r="F4" s="3698"/>
      <c r="G4" s="3695" t="s">
        <v>1772</v>
      </c>
      <c r="H4" s="3696"/>
      <c r="I4" s="3695" t="s">
        <v>1773</v>
      </c>
      <c r="J4" s="3696"/>
      <c r="K4" s="558" t="s">
        <v>1774</v>
      </c>
      <c r="L4" s="2714"/>
      <c r="M4" s="2715"/>
      <c r="N4" s="2715"/>
      <c r="O4" s="2715"/>
      <c r="P4" s="3699" t="s">
        <v>1775</v>
      </c>
      <c r="Q4" s="3700"/>
      <c r="R4" s="3682" t="s">
        <v>1771</v>
      </c>
      <c r="S4" s="3683"/>
      <c r="T4" s="3682" t="s">
        <v>1772</v>
      </c>
      <c r="U4" s="3683"/>
      <c r="V4" s="3707" t="s">
        <v>1773</v>
      </c>
      <c r="W4" s="3707"/>
      <c r="X4" s="1354"/>
      <c r="Y4" s="3682" t="s">
        <v>1775</v>
      </c>
      <c r="Z4" s="3683"/>
      <c r="AA4" s="3677" t="s">
        <v>1771</v>
      </c>
      <c r="AB4" s="3678" t="s">
        <v>1772</v>
      </c>
      <c r="AC4" s="3677" t="s">
        <v>1773</v>
      </c>
    </row>
    <row r="5" spans="1:29" ht="15">
      <c r="A5" s="357"/>
      <c r="B5" s="358"/>
      <c r="C5" s="3688" t="s">
        <v>1673</v>
      </c>
      <c r="D5" s="3689"/>
      <c r="E5" s="3686" t="s">
        <v>1674</v>
      </c>
      <c r="F5" s="3687"/>
      <c r="G5" s="3688" t="s">
        <v>1675</v>
      </c>
      <c r="H5" s="3689"/>
      <c r="I5" s="3688" t="s">
        <v>1676</v>
      </c>
      <c r="J5" s="3689"/>
      <c r="K5" s="558"/>
      <c r="L5" s="2714"/>
      <c r="M5" s="2715"/>
      <c r="N5" s="2715"/>
      <c r="O5" s="2715"/>
      <c r="P5" s="3701"/>
      <c r="Q5" s="3702"/>
      <c r="R5" s="3684"/>
      <c r="S5" s="3685"/>
      <c r="T5" s="3684"/>
      <c r="U5" s="3685"/>
      <c r="V5" s="3707"/>
      <c r="W5" s="3707"/>
      <c r="X5" s="1354"/>
      <c r="Y5" s="3684"/>
      <c r="Z5" s="3685"/>
      <c r="AA5" s="3678"/>
      <c r="AB5" s="3678"/>
      <c r="AC5" s="3678"/>
    </row>
    <row r="6" spans="1:29" ht="15.75" thickBot="1">
      <c r="A6" s="359"/>
      <c r="B6" s="360"/>
      <c r="C6" s="3690" t="s">
        <v>1677</v>
      </c>
      <c r="D6" s="3691"/>
      <c r="E6" s="3692" t="s">
        <v>1677</v>
      </c>
      <c r="F6" s="3693"/>
      <c r="G6" s="3690" t="s">
        <v>1677</v>
      </c>
      <c r="H6" s="3691"/>
      <c r="I6" s="3690" t="s">
        <v>1677</v>
      </c>
      <c r="J6" s="3691"/>
      <c r="K6" s="558" t="s">
        <v>1678</v>
      </c>
      <c r="L6" s="2714"/>
      <c r="M6" s="2715"/>
      <c r="N6" s="2715"/>
      <c r="O6" s="2715"/>
      <c r="P6" s="3703"/>
      <c r="Q6" s="3704"/>
      <c r="R6" s="3684"/>
      <c r="S6" s="3685"/>
      <c r="T6" s="3705"/>
      <c r="U6" s="3706"/>
      <c r="V6" s="3707"/>
      <c r="W6" s="3707"/>
      <c r="X6" s="1354"/>
      <c r="Y6" s="3705"/>
      <c r="Z6" s="3706"/>
      <c r="AA6" s="3679"/>
      <c r="AB6" s="3679"/>
      <c r="AC6" s="3679"/>
    </row>
    <row r="7" spans="1:29" s="108" customFormat="1" ht="15.75" thickBot="1">
      <c r="A7" s="361" t="s">
        <v>1679</v>
      </c>
      <c r="B7" s="362"/>
      <c r="C7" s="363">
        <f>'数据-取费表'!B2</f>
        <v>45023</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0" t="s">
        <v>1680</v>
      </c>
      <c r="Q7" s="3708"/>
      <c r="R7" s="700" t="s">
        <v>14</v>
      </c>
      <c r="S7" s="701">
        <f t="shared" ref="S7:S14" si="0">F7</f>
        <v>0</v>
      </c>
      <c r="T7" s="700" t="s">
        <v>14</v>
      </c>
      <c r="U7" s="701">
        <f t="shared" ref="U7:U14" si="1">H7</f>
        <v>0</v>
      </c>
      <c r="V7" s="700" t="s">
        <v>14</v>
      </c>
      <c r="W7" s="701">
        <f t="shared" ref="W7:W14" si="2">J7</f>
        <v>0</v>
      </c>
      <c r="X7" s="702"/>
      <c r="Y7" s="3680" t="s">
        <v>1680</v>
      </c>
      <c r="Z7" s="3681"/>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0" t="s">
        <v>1683</v>
      </c>
      <c r="Q8" s="3681"/>
      <c r="R8" s="700" t="s">
        <v>14</v>
      </c>
      <c r="S8" s="701">
        <f t="shared" si="0"/>
        <v>100</v>
      </c>
      <c r="T8" s="700" t="s">
        <v>14</v>
      </c>
      <c r="U8" s="701">
        <f t="shared" si="1"/>
        <v>100</v>
      </c>
      <c r="V8" s="700" t="s">
        <v>14</v>
      </c>
      <c r="W8" s="701">
        <f t="shared" si="2"/>
        <v>100</v>
      </c>
      <c r="X8" s="702"/>
      <c r="Y8" s="3680" t="s">
        <v>1683</v>
      </c>
      <c r="Z8" s="3681"/>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12" t="s">
        <v>1686</v>
      </c>
      <c r="Q9" s="1342" t="str">
        <f t="shared" ref="Q9:Q14" si="6">B9</f>
        <v>用途</v>
      </c>
      <c r="R9" s="700" t="s">
        <v>14</v>
      </c>
      <c r="S9" s="701">
        <f t="shared" si="0"/>
        <v>100</v>
      </c>
      <c r="T9" s="700" t="s">
        <v>14</v>
      </c>
      <c r="U9" s="701">
        <f t="shared" si="1"/>
        <v>100</v>
      </c>
      <c r="V9" s="700" t="s">
        <v>14</v>
      </c>
      <c r="W9" s="701">
        <f t="shared" si="2"/>
        <v>100</v>
      </c>
      <c r="X9" s="702"/>
      <c r="Y9" s="3624"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12"/>
      <c r="Q10" s="1342"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12"/>
      <c r="Q11" s="1342">
        <f t="shared" si="6"/>
        <v>111</v>
      </c>
      <c r="R11" s="700" t="s">
        <v>14</v>
      </c>
      <c r="S11" s="701">
        <f t="shared" si="0"/>
        <v>100</v>
      </c>
      <c r="T11" s="700" t="s">
        <v>14</v>
      </c>
      <c r="U11" s="701">
        <f t="shared" si="1"/>
        <v>100</v>
      </c>
      <c r="V11" s="700" t="s">
        <v>14</v>
      </c>
      <c r="W11" s="701">
        <f t="shared" si="2"/>
        <v>100</v>
      </c>
      <c r="X11" s="702"/>
      <c r="Y11" s="3624"/>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12"/>
      <c r="Q12" s="1342">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12"/>
      <c r="Q13" s="1342">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4" t="s">
        <v>1691</v>
      </c>
      <c r="Q14" s="1351" t="str">
        <f t="shared" si="6"/>
        <v>交通便捷度</v>
      </c>
      <c r="R14" s="704" t="s">
        <v>14</v>
      </c>
      <c r="S14" s="705">
        <f t="shared" si="0"/>
        <v>100</v>
      </c>
      <c r="T14" s="704" t="s">
        <v>14</v>
      </c>
      <c r="U14" s="705">
        <f t="shared" si="1"/>
        <v>100</v>
      </c>
      <c r="V14" s="704" t="s">
        <v>14</v>
      </c>
      <c r="W14" s="705">
        <f t="shared" si="2"/>
        <v>100</v>
      </c>
      <c r="X14" s="1354"/>
      <c r="Y14" s="371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5"/>
      <c r="Q15" s="1351"/>
      <c r="R15" s="704"/>
      <c r="S15" s="705"/>
      <c r="T15" s="704"/>
      <c r="U15" s="705"/>
      <c r="V15" s="704"/>
      <c r="W15" s="705"/>
      <c r="X15" s="1354"/>
      <c r="Y15" s="371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5"/>
      <c r="Q16" s="1351" t="str">
        <f>B16</f>
        <v>公共配套设施</v>
      </c>
      <c r="R16" s="704" t="s">
        <v>14</v>
      </c>
      <c r="S16" s="705">
        <f>F16</f>
        <v>100</v>
      </c>
      <c r="T16" s="704" t="s">
        <v>14</v>
      </c>
      <c r="U16" s="705">
        <f>H16</f>
        <v>100</v>
      </c>
      <c r="V16" s="704" t="s">
        <v>14</v>
      </c>
      <c r="W16" s="705">
        <f>J16</f>
        <v>100</v>
      </c>
      <c r="X16" s="1354"/>
      <c r="Y16" s="371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5"/>
      <c r="Q17" s="1351"/>
      <c r="R17" s="704"/>
      <c r="S17" s="705"/>
      <c r="T17" s="704"/>
      <c r="U17" s="705"/>
      <c r="V17" s="704"/>
      <c r="W17" s="705"/>
      <c r="X17" s="1354"/>
      <c r="Y17" s="371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5"/>
      <c r="Q18" s="1351" t="str">
        <f>B18</f>
        <v>基础设施水平</v>
      </c>
      <c r="R18" s="704" t="s">
        <v>14</v>
      </c>
      <c r="S18" s="705">
        <f>F18</f>
        <v>100</v>
      </c>
      <c r="T18" s="704" t="s">
        <v>14</v>
      </c>
      <c r="U18" s="705">
        <f>H18</f>
        <v>100</v>
      </c>
      <c r="V18" s="704" t="s">
        <v>14</v>
      </c>
      <c r="W18" s="705">
        <f>J18</f>
        <v>100</v>
      </c>
      <c r="X18" s="1354"/>
      <c r="Y18" s="371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5"/>
      <c r="Q19" s="1351"/>
      <c r="R19" s="704"/>
      <c r="S19" s="705"/>
      <c r="T19" s="704"/>
      <c r="U19" s="705"/>
      <c r="V19" s="704"/>
      <c r="W19" s="705"/>
      <c r="X19" s="1354"/>
      <c r="Y19" s="371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5"/>
      <c r="Q20" s="1351" t="str">
        <f>B20</f>
        <v>自然及人文环境</v>
      </c>
      <c r="R20" s="704" t="s">
        <v>14</v>
      </c>
      <c r="S20" s="705">
        <f>F20</f>
        <v>100</v>
      </c>
      <c r="T20" s="704" t="s">
        <v>14</v>
      </c>
      <c r="U20" s="705">
        <f>H20</f>
        <v>100</v>
      </c>
      <c r="V20" s="704" t="s">
        <v>14</v>
      </c>
      <c r="W20" s="705">
        <f>J20</f>
        <v>100</v>
      </c>
      <c r="X20" s="1354"/>
      <c r="Y20" s="371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5"/>
      <c r="Q21" s="1351"/>
      <c r="R21" s="704"/>
      <c r="S21" s="705"/>
      <c r="T21" s="704"/>
      <c r="U21" s="705"/>
      <c r="V21" s="704"/>
      <c r="W21" s="705"/>
      <c r="X21" s="1354"/>
      <c r="Y21" s="371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5"/>
      <c r="Q22" s="1351" t="str">
        <f>B22</f>
        <v>楼层</v>
      </c>
      <c r="R22" s="704" t="s">
        <v>14</v>
      </c>
      <c r="S22" s="705">
        <f>F22</f>
        <v>100</v>
      </c>
      <c r="T22" s="704" t="s">
        <v>14</v>
      </c>
      <c r="U22" s="705">
        <f>H22</f>
        <v>100</v>
      </c>
      <c r="V22" s="704" t="s">
        <v>14</v>
      </c>
      <c r="W22" s="705">
        <f>J22</f>
        <v>100</v>
      </c>
      <c r="X22" s="1354"/>
      <c r="Y22" s="371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5"/>
      <c r="Q23" s="1351">
        <f>B23</f>
        <v>111</v>
      </c>
      <c r="R23" s="704" t="s">
        <v>14</v>
      </c>
      <c r="S23" s="705">
        <f>F23</f>
        <v>100</v>
      </c>
      <c r="T23" s="704" t="s">
        <v>14</v>
      </c>
      <c r="U23" s="705">
        <f>H23</f>
        <v>100</v>
      </c>
      <c r="V23" s="704" t="s">
        <v>14</v>
      </c>
      <c r="W23" s="705">
        <f>J23</f>
        <v>100</v>
      </c>
      <c r="X23" s="1354"/>
      <c r="Y23" s="371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5"/>
      <c r="Q24" s="1351">
        <f t="shared" ref="Q24:Q34" si="11">B24</f>
        <v>111</v>
      </c>
      <c r="R24" s="704" t="s">
        <v>14</v>
      </c>
      <c r="S24" s="705">
        <f>F24</f>
        <v>100</v>
      </c>
      <c r="T24" s="704" t="s">
        <v>14</v>
      </c>
      <c r="U24" s="705">
        <f>H24</f>
        <v>100</v>
      </c>
      <c r="V24" s="704" t="s">
        <v>14</v>
      </c>
      <c r="W24" s="705">
        <f>J24</f>
        <v>100</v>
      </c>
      <c r="X24" s="1354"/>
      <c r="Y24" s="371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5"/>
      <c r="Q25" s="1342">
        <f t="shared" si="11"/>
        <v>111</v>
      </c>
      <c r="R25" s="700" t="s">
        <v>14</v>
      </c>
      <c r="S25" s="701">
        <f>F25</f>
        <v>100</v>
      </c>
      <c r="T25" s="700" t="s">
        <v>14</v>
      </c>
      <c r="U25" s="701">
        <f>H25</f>
        <v>100</v>
      </c>
      <c r="V25" s="700" t="s">
        <v>14</v>
      </c>
      <c r="W25" s="701">
        <f>J25</f>
        <v>100</v>
      </c>
      <c r="X25" s="702"/>
      <c r="Y25" s="3715"/>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9"/>
      <c r="Q27" s="706" t="str">
        <f t="shared" si="11"/>
        <v>成新率</v>
      </c>
      <c r="R27" s="707" t="s">
        <v>14</v>
      </c>
      <c r="S27" s="708" t="e">
        <f t="shared" si="12"/>
        <v>#N/A</v>
      </c>
      <c r="T27" s="707" t="s">
        <v>14</v>
      </c>
      <c r="U27" s="708" t="e">
        <f t="shared" si="13"/>
        <v>#N/A</v>
      </c>
      <c r="V27" s="707" t="s">
        <v>14</v>
      </c>
      <c r="W27" s="708" t="e">
        <f t="shared" si="14"/>
        <v>#N/A</v>
      </c>
      <c r="X27" s="709"/>
      <c r="Y27" s="371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9"/>
      <c r="Q28" s="1351" t="str">
        <f t="shared" si="11"/>
        <v>物业等级</v>
      </c>
      <c r="R28" s="704" t="s">
        <v>14</v>
      </c>
      <c r="S28" s="705">
        <f t="shared" si="12"/>
        <v>100</v>
      </c>
      <c r="T28" s="704" t="s">
        <v>14</v>
      </c>
      <c r="U28" s="705">
        <f t="shared" si="13"/>
        <v>100</v>
      </c>
      <c r="V28" s="704" t="s">
        <v>14</v>
      </c>
      <c r="W28" s="705">
        <f t="shared" si="14"/>
        <v>100</v>
      </c>
      <c r="X28" s="1354"/>
      <c r="Y28" s="371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9"/>
      <c r="Q29" s="1351" t="str">
        <f t="shared" si="11"/>
        <v>有无电梯</v>
      </c>
      <c r="R29" s="704" t="s">
        <v>14</v>
      </c>
      <c r="S29" s="705">
        <f t="shared" si="12"/>
        <v>100</v>
      </c>
      <c r="T29" s="704" t="s">
        <v>14</v>
      </c>
      <c r="U29" s="705">
        <f t="shared" si="13"/>
        <v>100</v>
      </c>
      <c r="V29" s="704" t="s">
        <v>14</v>
      </c>
      <c r="W29" s="705">
        <f t="shared" si="14"/>
        <v>100</v>
      </c>
      <c r="X29" s="1354"/>
      <c r="Y29" s="371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9"/>
      <c r="Q30" s="1351" t="str">
        <f t="shared" si="11"/>
        <v>建筑面积</v>
      </c>
      <c r="R30" s="704" t="s">
        <v>14</v>
      </c>
      <c r="S30" s="705" t="e">
        <f t="shared" si="12"/>
        <v>#N/A</v>
      </c>
      <c r="T30" s="704" t="s">
        <v>14</v>
      </c>
      <c r="U30" s="705" t="e">
        <f t="shared" si="13"/>
        <v>#N/A</v>
      </c>
      <c r="V30" s="704" t="s">
        <v>14</v>
      </c>
      <c r="W30" s="705" t="e">
        <f t="shared" si="14"/>
        <v>#N/A</v>
      </c>
      <c r="X30" s="1354"/>
      <c r="Y30" s="3719"/>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9"/>
      <c r="Q31" s="1342" t="str">
        <f t="shared" si="11"/>
        <v>是否封闭</v>
      </c>
      <c r="R31" s="700" t="s">
        <v>14</v>
      </c>
      <c r="S31" s="701">
        <f t="shared" si="12"/>
        <v>100</v>
      </c>
      <c r="T31" s="700" t="s">
        <v>14</v>
      </c>
      <c r="U31" s="701">
        <f t="shared" si="13"/>
        <v>100</v>
      </c>
      <c r="V31" s="700" t="s">
        <v>14</v>
      </c>
      <c r="W31" s="701">
        <f t="shared" si="14"/>
        <v>100</v>
      </c>
      <c r="X31" s="702"/>
      <c r="Y31" s="371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9" t="s">
        <v>1696</v>
      </c>
      <c r="Q32" s="1351">
        <f t="shared" si="11"/>
        <v>111</v>
      </c>
      <c r="R32" s="704" t="s">
        <v>14</v>
      </c>
      <c r="S32" s="705">
        <f t="shared" si="12"/>
        <v>100</v>
      </c>
      <c r="T32" s="704" t="s">
        <v>14</v>
      </c>
      <c r="U32" s="705">
        <f t="shared" si="13"/>
        <v>100</v>
      </c>
      <c r="V32" s="704" t="s">
        <v>14</v>
      </c>
      <c r="W32" s="705">
        <f t="shared" si="14"/>
        <v>100</v>
      </c>
      <c r="X32" s="1354"/>
      <c r="Y32" s="371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9"/>
      <c r="Q33" s="1351">
        <f t="shared" si="11"/>
        <v>111</v>
      </c>
      <c r="R33" s="704" t="s">
        <v>14</v>
      </c>
      <c r="S33" s="705">
        <f t="shared" si="12"/>
        <v>100</v>
      </c>
      <c r="T33" s="704" t="s">
        <v>14</v>
      </c>
      <c r="U33" s="705">
        <f t="shared" si="13"/>
        <v>100</v>
      </c>
      <c r="V33" s="704" t="s">
        <v>14</v>
      </c>
      <c r="W33" s="705">
        <f t="shared" si="14"/>
        <v>100</v>
      </c>
      <c r="X33" s="1354"/>
      <c r="Y33" s="371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9"/>
      <c r="Q34" s="1351">
        <f t="shared" si="11"/>
        <v>111</v>
      </c>
      <c r="R34" s="704" t="s">
        <v>14</v>
      </c>
      <c r="S34" s="705">
        <f t="shared" si="12"/>
        <v>100</v>
      </c>
      <c r="T34" s="704" t="s">
        <v>14</v>
      </c>
      <c r="U34" s="705">
        <f t="shared" si="13"/>
        <v>100</v>
      </c>
      <c r="V34" s="704" t="s">
        <v>14</v>
      </c>
      <c r="W34" s="705">
        <f t="shared" si="14"/>
        <v>100</v>
      </c>
      <c r="X34" s="1354"/>
      <c r="Y34" s="371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12" t="str">
        <f>A35</f>
        <v>成交单价（元/平方米）</v>
      </c>
      <c r="Q35" s="3712"/>
      <c r="R35" s="3713">
        <f>E35</f>
        <v>0</v>
      </c>
      <c r="S35" s="3713"/>
      <c r="T35" s="3713">
        <f>G35</f>
        <v>0</v>
      </c>
      <c r="U35" s="3713"/>
      <c r="V35" s="3713">
        <f>I35</f>
        <v>0</v>
      </c>
      <c r="W35" s="3713"/>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09" t="str">
        <f>A37</f>
        <v>估价对象XX用房的比较价值（楼面单价，元/平方米）</v>
      </c>
      <c r="Q37" s="3710"/>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5" t="s">
        <v>1770</v>
      </c>
      <c r="D4" s="3696"/>
      <c r="E4" s="3697" t="s">
        <v>1771</v>
      </c>
      <c r="F4" s="3698"/>
      <c r="G4" s="3695" t="s">
        <v>1772</v>
      </c>
      <c r="H4" s="3696"/>
      <c r="I4" s="3695" t="s">
        <v>1773</v>
      </c>
      <c r="J4" s="3696"/>
      <c r="K4" s="558" t="s">
        <v>1774</v>
      </c>
      <c r="L4" s="2714"/>
      <c r="M4" s="2715"/>
      <c r="N4" s="2715"/>
      <c r="O4" s="2715"/>
      <c r="P4" s="3699" t="s">
        <v>1775</v>
      </c>
      <c r="Q4" s="3700"/>
      <c r="R4" s="3682" t="s">
        <v>1771</v>
      </c>
      <c r="S4" s="3683"/>
      <c r="T4" s="3682" t="s">
        <v>1772</v>
      </c>
      <c r="U4" s="3683"/>
      <c r="V4" s="3707" t="s">
        <v>1773</v>
      </c>
      <c r="W4" s="3707"/>
      <c r="X4" s="1354"/>
      <c r="Y4" s="3682" t="s">
        <v>1775</v>
      </c>
      <c r="Z4" s="3683"/>
      <c r="AA4" s="3677" t="s">
        <v>1771</v>
      </c>
      <c r="AB4" s="3678" t="s">
        <v>1772</v>
      </c>
      <c r="AC4" s="3677" t="s">
        <v>1773</v>
      </c>
    </row>
    <row r="5" spans="1:30" ht="15">
      <c r="A5" s="357"/>
      <c r="B5" s="358"/>
      <c r="C5" s="3688" t="s">
        <v>1673</v>
      </c>
      <c r="D5" s="3689"/>
      <c r="E5" s="3686" t="s">
        <v>1674</v>
      </c>
      <c r="F5" s="3687"/>
      <c r="G5" s="3688" t="s">
        <v>1675</v>
      </c>
      <c r="H5" s="3689"/>
      <c r="I5" s="3688" t="s">
        <v>1676</v>
      </c>
      <c r="J5" s="3689"/>
      <c r="K5" s="558"/>
      <c r="L5" s="2714"/>
      <c r="M5" s="2715"/>
      <c r="N5" s="2715"/>
      <c r="O5" s="2715"/>
      <c r="P5" s="3701"/>
      <c r="Q5" s="3702"/>
      <c r="R5" s="3684"/>
      <c r="S5" s="3685"/>
      <c r="T5" s="3684"/>
      <c r="U5" s="3685"/>
      <c r="V5" s="3707"/>
      <c r="W5" s="3707"/>
      <c r="X5" s="1354"/>
      <c r="Y5" s="3684"/>
      <c r="Z5" s="3685"/>
      <c r="AA5" s="3678"/>
      <c r="AB5" s="3678"/>
      <c r="AC5" s="3678"/>
    </row>
    <row r="6" spans="1:30" ht="15.75" thickBot="1">
      <c r="A6" s="359"/>
      <c r="B6" s="360"/>
      <c r="C6" s="3690" t="s">
        <v>1677</v>
      </c>
      <c r="D6" s="3691"/>
      <c r="E6" s="3692" t="s">
        <v>1677</v>
      </c>
      <c r="F6" s="3693"/>
      <c r="G6" s="3690" t="s">
        <v>1677</v>
      </c>
      <c r="H6" s="3691"/>
      <c r="I6" s="3690" t="s">
        <v>1677</v>
      </c>
      <c r="J6" s="3691"/>
      <c r="K6" s="558" t="s">
        <v>1678</v>
      </c>
      <c r="L6" s="2714"/>
      <c r="M6" s="2715"/>
      <c r="N6" s="2715"/>
      <c r="O6" s="2715"/>
      <c r="P6" s="3703"/>
      <c r="Q6" s="3704"/>
      <c r="R6" s="3684"/>
      <c r="S6" s="3685"/>
      <c r="T6" s="3705"/>
      <c r="U6" s="3706"/>
      <c r="V6" s="3707"/>
      <c r="W6" s="3707"/>
      <c r="X6" s="1354"/>
      <c r="Y6" s="3705"/>
      <c r="Z6" s="3706"/>
      <c r="AA6" s="3679"/>
      <c r="AB6" s="3679"/>
      <c r="AC6" s="3679"/>
    </row>
    <row r="7" spans="1:30" s="108" customFormat="1" ht="15.75" thickBot="1">
      <c r="A7" s="361" t="s">
        <v>1679</v>
      </c>
      <c r="B7" s="362"/>
      <c r="C7" s="363">
        <f>'数据-取费表'!B2</f>
        <v>45023</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0" t="s">
        <v>1680</v>
      </c>
      <c r="Q7" s="3708"/>
      <c r="R7" s="700" t="s">
        <v>14</v>
      </c>
      <c r="S7" s="701">
        <f t="shared" ref="S7:S15" si="0">F7</f>
        <v>0</v>
      </c>
      <c r="T7" s="700" t="s">
        <v>14</v>
      </c>
      <c r="U7" s="701">
        <f t="shared" ref="U7:U15" si="1">H7</f>
        <v>0</v>
      </c>
      <c r="V7" s="700" t="s">
        <v>14</v>
      </c>
      <c r="W7" s="701">
        <f t="shared" ref="W7:W15" si="2">J7</f>
        <v>0</v>
      </c>
      <c r="X7" s="702"/>
      <c r="Y7" s="3680" t="s">
        <v>1680</v>
      </c>
      <c r="Z7" s="3681"/>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0" t="s">
        <v>1683</v>
      </c>
      <c r="Q8" s="3681"/>
      <c r="R8" s="700" t="s">
        <v>14</v>
      </c>
      <c r="S8" s="701">
        <f t="shared" si="0"/>
        <v>0</v>
      </c>
      <c r="T8" s="700" t="s">
        <v>14</v>
      </c>
      <c r="U8" s="701">
        <f t="shared" si="1"/>
        <v>0</v>
      </c>
      <c r="V8" s="700" t="s">
        <v>14</v>
      </c>
      <c r="W8" s="701">
        <f t="shared" si="2"/>
        <v>0</v>
      </c>
      <c r="X8" s="702"/>
      <c r="Y8" s="3680" t="s">
        <v>1683</v>
      </c>
      <c r="Z8" s="3681"/>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12" t="s">
        <v>1686</v>
      </c>
      <c r="Q9" s="1342"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102</v>
      </c>
      <c r="G10" s="413"/>
      <c r="H10" s="126">
        <f>ROUND(100/'数据-取费表'!G16,0)</f>
        <v>102</v>
      </c>
      <c r="I10" s="413"/>
      <c r="J10" s="126">
        <f>ROUND(100/'数据-取费表'!G16,0)</f>
        <v>102</v>
      </c>
      <c r="K10" s="619"/>
      <c r="L10" s="2718"/>
      <c r="M10" s="2719"/>
      <c r="N10" s="2719"/>
      <c r="O10" s="2772"/>
      <c r="P10" s="3712"/>
      <c r="Q10" s="1342" t="str">
        <f t="shared" si="6"/>
        <v>土地使用年限（年）</v>
      </c>
      <c r="R10" s="700" t="s">
        <v>14</v>
      </c>
      <c r="S10" s="701">
        <f t="shared" si="0"/>
        <v>102</v>
      </c>
      <c r="T10" s="700" t="s">
        <v>14</v>
      </c>
      <c r="U10" s="701">
        <f t="shared" si="1"/>
        <v>102</v>
      </c>
      <c r="V10" s="700" t="s">
        <v>14</v>
      </c>
      <c r="W10" s="701">
        <f t="shared" si="2"/>
        <v>102</v>
      </c>
      <c r="X10" s="702"/>
      <c r="Y10" s="3624"/>
      <c r="Z10" s="52" t="str">
        <f t="shared" si="7"/>
        <v>土地使用年限（年）</v>
      </c>
      <c r="AA10" s="703">
        <f t="shared" si="3"/>
        <v>0.98039215686274506</v>
      </c>
      <c r="AB10" s="703">
        <f t="shared" si="4"/>
        <v>0.98039215686274506</v>
      </c>
      <c r="AC10" s="703">
        <f t="shared" si="5"/>
        <v>0.98039215686274506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12"/>
      <c r="Q11" s="1342" t="str">
        <f t="shared" si="6"/>
        <v>容积率</v>
      </c>
      <c r="R11" s="700" t="s">
        <v>14</v>
      </c>
      <c r="S11" s="701" t="e">
        <f t="shared" si="0"/>
        <v>#N/A</v>
      </c>
      <c r="T11" s="700" t="s">
        <v>14</v>
      </c>
      <c r="U11" s="701" t="e">
        <f t="shared" si="1"/>
        <v>#N/A</v>
      </c>
      <c r="V11" s="700" t="s">
        <v>14</v>
      </c>
      <c r="W11" s="701" t="e">
        <f t="shared" si="2"/>
        <v>#N/A</v>
      </c>
      <c r="X11" s="702"/>
      <c r="Y11" s="3624"/>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12"/>
      <c r="Q12" s="1342" t="str">
        <f t="shared" si="6"/>
        <v>配建</v>
      </c>
      <c r="R12" s="700" t="s">
        <v>14</v>
      </c>
      <c r="S12" s="701">
        <f t="shared" si="0"/>
        <v>100</v>
      </c>
      <c r="T12" s="700" t="s">
        <v>14</v>
      </c>
      <c r="U12" s="701">
        <f t="shared" si="1"/>
        <v>100</v>
      </c>
      <c r="V12" s="700" t="s">
        <v>14</v>
      </c>
      <c r="W12" s="701">
        <f t="shared" si="2"/>
        <v>100</v>
      </c>
      <c r="X12" s="702"/>
      <c r="Y12" s="3624"/>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12"/>
      <c r="Q13" s="1342">
        <f t="shared" si="6"/>
        <v>111</v>
      </c>
      <c r="R13" s="700" t="s">
        <v>14</v>
      </c>
      <c r="S13" s="701">
        <f t="shared" si="0"/>
        <v>100</v>
      </c>
      <c r="T13" s="700" t="s">
        <v>14</v>
      </c>
      <c r="U13" s="701">
        <f t="shared" si="1"/>
        <v>100</v>
      </c>
      <c r="V13" s="700" t="s">
        <v>14</v>
      </c>
      <c r="W13" s="701">
        <f t="shared" si="2"/>
        <v>100</v>
      </c>
      <c r="X13" s="702"/>
      <c r="Y13" s="3624"/>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12"/>
      <c r="Q14" s="1342">
        <f t="shared" si="6"/>
        <v>111</v>
      </c>
      <c r="R14" s="700" t="s">
        <v>14</v>
      </c>
      <c r="S14" s="701">
        <f t="shared" si="0"/>
        <v>100</v>
      </c>
      <c r="T14" s="700" t="s">
        <v>14</v>
      </c>
      <c r="U14" s="701">
        <f t="shared" si="1"/>
        <v>100</v>
      </c>
      <c r="V14" s="700" t="s">
        <v>14</v>
      </c>
      <c r="W14" s="701">
        <f t="shared" si="2"/>
        <v>100</v>
      </c>
      <c r="X14" s="702"/>
      <c r="Y14" s="3624"/>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4" t="s">
        <v>1691</v>
      </c>
      <c r="Q15" s="1351" t="str">
        <f t="shared" si="6"/>
        <v>居住社区成熟度</v>
      </c>
      <c r="R15" s="704" t="s">
        <v>14</v>
      </c>
      <c r="S15" s="705">
        <f t="shared" si="0"/>
        <v>100</v>
      </c>
      <c r="T15" s="704" t="s">
        <v>14</v>
      </c>
      <c r="U15" s="705">
        <f t="shared" si="1"/>
        <v>100</v>
      </c>
      <c r="V15" s="704" t="s">
        <v>14</v>
      </c>
      <c r="W15" s="705">
        <f t="shared" si="2"/>
        <v>100</v>
      </c>
      <c r="X15" s="1354"/>
      <c r="Y15" s="371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5"/>
      <c r="Q16" s="1351"/>
      <c r="R16" s="704"/>
      <c r="S16" s="705"/>
      <c r="T16" s="704"/>
      <c r="U16" s="705"/>
      <c r="V16" s="704"/>
      <c r="W16" s="705"/>
      <c r="X16" s="1354"/>
      <c r="Y16" s="371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5"/>
      <c r="Q17" s="1351" t="str">
        <f>B17</f>
        <v>商业繁华度</v>
      </c>
      <c r="R17" s="704" t="s">
        <v>14</v>
      </c>
      <c r="S17" s="705">
        <f>F17</f>
        <v>100</v>
      </c>
      <c r="T17" s="704" t="s">
        <v>14</v>
      </c>
      <c r="U17" s="705">
        <f>H17</f>
        <v>100</v>
      </c>
      <c r="V17" s="704" t="s">
        <v>14</v>
      </c>
      <c r="W17" s="705">
        <f>J17</f>
        <v>100</v>
      </c>
      <c r="X17" s="1354"/>
      <c r="Y17" s="371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5"/>
      <c r="Q18" s="1351"/>
      <c r="R18" s="704"/>
      <c r="S18" s="705"/>
      <c r="T18" s="704"/>
      <c r="U18" s="705"/>
      <c r="V18" s="704"/>
      <c r="W18" s="705"/>
      <c r="X18" s="1354"/>
      <c r="Y18" s="371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5"/>
      <c r="Q19" s="1351" t="str">
        <f>B19</f>
        <v>办公集聚程度</v>
      </c>
      <c r="R19" s="704" t="s">
        <v>14</v>
      </c>
      <c r="S19" s="705">
        <f>F19</f>
        <v>100</v>
      </c>
      <c r="T19" s="704" t="s">
        <v>14</v>
      </c>
      <c r="U19" s="705">
        <f>H19</f>
        <v>100</v>
      </c>
      <c r="V19" s="704" t="s">
        <v>14</v>
      </c>
      <c r="W19" s="705">
        <f>J19</f>
        <v>100</v>
      </c>
      <c r="X19" s="1354"/>
      <c r="Y19" s="371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5"/>
      <c r="Q20" s="1351"/>
      <c r="R20" s="704"/>
      <c r="S20" s="705"/>
      <c r="T20" s="704"/>
      <c r="U20" s="705"/>
      <c r="V20" s="704"/>
      <c r="W20" s="705"/>
      <c r="X20" s="1354"/>
      <c r="Y20" s="371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5"/>
      <c r="Q21" s="1351" t="str">
        <f>B21</f>
        <v>交通便捷度</v>
      </c>
      <c r="R21" s="704" t="s">
        <v>14</v>
      </c>
      <c r="S21" s="705">
        <f>F21</f>
        <v>100</v>
      </c>
      <c r="T21" s="704" t="s">
        <v>14</v>
      </c>
      <c r="U21" s="705">
        <f>H21</f>
        <v>100</v>
      </c>
      <c r="V21" s="704" t="s">
        <v>14</v>
      </c>
      <c r="W21" s="705">
        <f>J21</f>
        <v>100</v>
      </c>
      <c r="X21" s="1354"/>
      <c r="Y21" s="371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5"/>
      <c r="Q22" s="1351"/>
      <c r="R22" s="704"/>
      <c r="S22" s="705"/>
      <c r="T22" s="704"/>
      <c r="U22" s="705"/>
      <c r="V22" s="704"/>
      <c r="W22" s="705"/>
      <c r="X22" s="1354"/>
      <c r="Y22" s="371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5"/>
      <c r="Q23" s="1351" t="str">
        <f t="shared" ref="Q23:Q37" si="8">B23</f>
        <v>区域土地利用方向</v>
      </c>
      <c r="R23" s="704" t="s">
        <v>14</v>
      </c>
      <c r="S23" s="705">
        <f>F23</f>
        <v>100</v>
      </c>
      <c r="T23" s="704" t="s">
        <v>14</v>
      </c>
      <c r="U23" s="705">
        <f>H23</f>
        <v>100</v>
      </c>
      <c r="V23" s="704" t="s">
        <v>14</v>
      </c>
      <c r="W23" s="705">
        <f>J23</f>
        <v>100</v>
      </c>
      <c r="X23" s="1354"/>
      <c r="Y23" s="371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5"/>
      <c r="Q24" s="1351"/>
      <c r="R24" s="704"/>
      <c r="S24" s="705"/>
      <c r="T24" s="704"/>
      <c r="U24" s="705"/>
      <c r="V24" s="704"/>
      <c r="W24" s="705"/>
      <c r="X24" s="1354"/>
      <c r="Y24" s="371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5"/>
      <c r="Q25" s="1351" t="str">
        <f t="shared" si="8"/>
        <v>自然及人文环境状况</v>
      </c>
      <c r="R25" s="704" t="s">
        <v>14</v>
      </c>
      <c r="S25" s="705">
        <f>F25</f>
        <v>100</v>
      </c>
      <c r="T25" s="704" t="s">
        <v>14</v>
      </c>
      <c r="U25" s="705">
        <f>H25</f>
        <v>100</v>
      </c>
      <c r="V25" s="704" t="s">
        <v>14</v>
      </c>
      <c r="W25" s="705">
        <f>J25</f>
        <v>100</v>
      </c>
      <c r="X25" s="1354"/>
      <c r="Y25" s="371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5"/>
      <c r="Q26" s="1351"/>
      <c r="R26" s="704"/>
      <c r="S26" s="705"/>
      <c r="T26" s="704"/>
      <c r="U26" s="705"/>
      <c r="V26" s="704"/>
      <c r="W26" s="705"/>
      <c r="X26" s="1354"/>
      <c r="Y26" s="3715"/>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5"/>
      <c r="Q27" s="1342" t="str">
        <f t="shared" si="8"/>
        <v>公共配套设施</v>
      </c>
      <c r="R27" s="700" t="s">
        <v>14</v>
      </c>
      <c r="S27" s="701">
        <f>F27</f>
        <v>100</v>
      </c>
      <c r="T27" s="700" t="s">
        <v>14</v>
      </c>
      <c r="U27" s="701">
        <f>H27</f>
        <v>100</v>
      </c>
      <c r="V27" s="700" t="s">
        <v>14</v>
      </c>
      <c r="W27" s="701">
        <f>J27</f>
        <v>100</v>
      </c>
      <c r="X27" s="702"/>
      <c r="Y27" s="371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15"/>
      <c r="Q28" s="1342"/>
      <c r="R28" s="700"/>
      <c r="S28" s="701"/>
      <c r="T28" s="700"/>
      <c r="U28" s="701"/>
      <c r="V28" s="700"/>
      <c r="W28" s="701"/>
      <c r="X28" s="702"/>
      <c r="Y28" s="3715"/>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5"/>
      <c r="Q29" s="1342" t="str">
        <f t="shared" ref="Q29" si="9">B29</f>
        <v>基础设施水平</v>
      </c>
      <c r="R29" s="700" t="s">
        <v>14</v>
      </c>
      <c r="S29" s="701">
        <f>F29</f>
        <v>100</v>
      </c>
      <c r="T29" s="700" t="s">
        <v>14</v>
      </c>
      <c r="U29" s="701">
        <f>H29</f>
        <v>100</v>
      </c>
      <c r="V29" s="700" t="s">
        <v>14</v>
      </c>
      <c r="W29" s="701">
        <f>J29</f>
        <v>100</v>
      </c>
      <c r="X29" s="702"/>
      <c r="Y29" s="371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15"/>
      <c r="Q30" s="1342"/>
      <c r="R30" s="700"/>
      <c r="S30" s="701"/>
      <c r="T30" s="700"/>
      <c r="U30" s="701"/>
      <c r="V30" s="700"/>
      <c r="W30" s="701"/>
      <c r="X30" s="702"/>
      <c r="Y30" s="3715"/>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5"/>
      <c r="Q32" s="1351" t="str">
        <f t="shared" si="8"/>
        <v>毗邻道路的类型与等级</v>
      </c>
      <c r="R32" s="704" t="s">
        <v>14</v>
      </c>
      <c r="S32" s="705">
        <f t="shared" si="10"/>
        <v>100</v>
      </c>
      <c r="T32" s="704" t="s">
        <v>14</v>
      </c>
      <c r="U32" s="705">
        <f t="shared" si="11"/>
        <v>100</v>
      </c>
      <c r="V32" s="704" t="s">
        <v>14</v>
      </c>
      <c r="W32" s="705">
        <f t="shared" si="12"/>
        <v>100</v>
      </c>
      <c r="X32" s="1354"/>
      <c r="Y32" s="371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5"/>
      <c r="Q33" s="1351"/>
      <c r="R33" s="704"/>
      <c r="S33" s="705"/>
      <c r="T33" s="704"/>
      <c r="U33" s="705"/>
      <c r="V33" s="704"/>
      <c r="W33" s="705"/>
      <c r="X33" s="1354"/>
      <c r="Y33" s="371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5"/>
      <c r="Q34" s="1351" t="str">
        <f t="shared" si="8"/>
        <v>土地级别</v>
      </c>
      <c r="R34" s="704" t="s">
        <v>14</v>
      </c>
      <c r="S34" s="705">
        <f t="shared" si="10"/>
        <v>100</v>
      </c>
      <c r="T34" s="704" t="s">
        <v>14</v>
      </c>
      <c r="U34" s="705">
        <f t="shared" si="11"/>
        <v>100</v>
      </c>
      <c r="V34" s="704" t="s">
        <v>14</v>
      </c>
      <c r="W34" s="705">
        <f t="shared" si="12"/>
        <v>100</v>
      </c>
      <c r="X34" s="1354"/>
      <c r="Y34" s="371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5"/>
      <c r="Q35" s="1351">
        <f t="shared" si="8"/>
        <v>111</v>
      </c>
      <c r="R35" s="704" t="s">
        <v>14</v>
      </c>
      <c r="S35" s="705">
        <f t="shared" si="10"/>
        <v>100</v>
      </c>
      <c r="T35" s="704" t="s">
        <v>14</v>
      </c>
      <c r="U35" s="705">
        <f t="shared" si="11"/>
        <v>100</v>
      </c>
      <c r="V35" s="704" t="s">
        <v>14</v>
      </c>
      <c r="W35" s="705">
        <f t="shared" si="12"/>
        <v>100</v>
      </c>
      <c r="X35" s="1354"/>
      <c r="Y35" s="371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8" t="s">
        <v>1696</v>
      </c>
      <c r="Q36" s="1351">
        <f t="shared" si="8"/>
        <v>111</v>
      </c>
      <c r="R36" s="704" t="s">
        <v>14</v>
      </c>
      <c r="S36" s="705">
        <f t="shared" si="10"/>
        <v>100</v>
      </c>
      <c r="T36" s="704" t="s">
        <v>14</v>
      </c>
      <c r="U36" s="705">
        <f t="shared" si="11"/>
        <v>100</v>
      </c>
      <c r="V36" s="704" t="s">
        <v>14</v>
      </c>
      <c r="W36" s="705">
        <f t="shared" si="12"/>
        <v>100</v>
      </c>
      <c r="X36" s="1354"/>
      <c r="Y36" s="371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9"/>
      <c r="Q37" s="1351">
        <f t="shared" si="8"/>
        <v>111</v>
      </c>
      <c r="R37" s="707" t="s">
        <v>14</v>
      </c>
      <c r="S37" s="708">
        <f t="shared" si="10"/>
        <v>100</v>
      </c>
      <c r="T37" s="707" t="s">
        <v>14</v>
      </c>
      <c r="U37" s="708">
        <f t="shared" si="11"/>
        <v>100</v>
      </c>
      <c r="V37" s="707" t="s">
        <v>14</v>
      </c>
      <c r="W37" s="708">
        <f t="shared" si="12"/>
        <v>100</v>
      </c>
      <c r="X37" s="709"/>
      <c r="Y37" s="371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9"/>
      <c r="Q38" s="1351" t="str">
        <f>B38</f>
        <v>宗地面积</v>
      </c>
      <c r="R38" s="704" t="s">
        <v>14</v>
      </c>
      <c r="S38" s="705" t="e">
        <f t="shared" si="10"/>
        <v>#N/A</v>
      </c>
      <c r="T38" s="704" t="s">
        <v>14</v>
      </c>
      <c r="U38" s="705" t="e">
        <f t="shared" si="11"/>
        <v>#N/A</v>
      </c>
      <c r="V38" s="704" t="s">
        <v>14</v>
      </c>
      <c r="W38" s="705" t="e">
        <f t="shared" si="12"/>
        <v>#N/A</v>
      </c>
      <c r="X38" s="1354"/>
      <c r="Y38" s="371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9"/>
      <c r="Q39" s="1351" t="str">
        <f t="shared" ref="Q39:Q45" si="14">B39</f>
        <v>宗地形状</v>
      </c>
      <c r="R39" s="704" t="s">
        <v>14</v>
      </c>
      <c r="S39" s="705">
        <f t="shared" si="10"/>
        <v>100</v>
      </c>
      <c r="T39" s="704" t="s">
        <v>14</v>
      </c>
      <c r="U39" s="705">
        <f t="shared" si="11"/>
        <v>100</v>
      </c>
      <c r="V39" s="704" t="s">
        <v>14</v>
      </c>
      <c r="W39" s="705">
        <f t="shared" si="12"/>
        <v>100</v>
      </c>
      <c r="X39" s="1354"/>
      <c r="Y39" s="371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9"/>
      <c r="Q40" s="1351" t="str">
        <f t="shared" si="14"/>
        <v>临街宽度及深度</v>
      </c>
      <c r="R40" s="704" t="s">
        <v>14</v>
      </c>
      <c r="S40" s="705">
        <f t="shared" si="10"/>
        <v>100</v>
      </c>
      <c r="T40" s="704" t="s">
        <v>14</v>
      </c>
      <c r="U40" s="705">
        <f t="shared" si="11"/>
        <v>100</v>
      </c>
      <c r="V40" s="704" t="s">
        <v>14</v>
      </c>
      <c r="W40" s="705">
        <f t="shared" si="12"/>
        <v>100</v>
      </c>
      <c r="X40" s="1354"/>
      <c r="Y40" s="3719"/>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9"/>
      <c r="Q41" s="1351" t="str">
        <f t="shared" si="14"/>
        <v>宗地开发程度</v>
      </c>
      <c r="R41" s="700" t="s">
        <v>14</v>
      </c>
      <c r="S41" s="701">
        <f t="shared" si="10"/>
        <v>100</v>
      </c>
      <c r="T41" s="700" t="s">
        <v>14</v>
      </c>
      <c r="U41" s="701">
        <f t="shared" si="11"/>
        <v>100</v>
      </c>
      <c r="V41" s="700" t="s">
        <v>14</v>
      </c>
      <c r="W41" s="701">
        <f t="shared" si="12"/>
        <v>100</v>
      </c>
      <c r="X41" s="702"/>
      <c r="Y41" s="3719"/>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9" t="s">
        <v>1696</v>
      </c>
      <c r="Q42" s="1351" t="str">
        <f t="shared" si="14"/>
        <v>工程地质条件</v>
      </c>
      <c r="R42" s="704" t="s">
        <v>14</v>
      </c>
      <c r="S42" s="705">
        <f t="shared" si="10"/>
        <v>100</v>
      </c>
      <c r="T42" s="704" t="s">
        <v>14</v>
      </c>
      <c r="U42" s="705">
        <f t="shared" si="11"/>
        <v>100</v>
      </c>
      <c r="V42" s="704" t="s">
        <v>14</v>
      </c>
      <c r="W42" s="705">
        <f t="shared" si="12"/>
        <v>100</v>
      </c>
      <c r="X42" s="1354"/>
      <c r="Y42" s="371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9"/>
      <c r="Q43" s="1351">
        <f t="shared" si="14"/>
        <v>111</v>
      </c>
      <c r="R43" s="704" t="s">
        <v>14</v>
      </c>
      <c r="S43" s="705">
        <f t="shared" si="10"/>
        <v>100</v>
      </c>
      <c r="T43" s="704" t="s">
        <v>14</v>
      </c>
      <c r="U43" s="705">
        <f t="shared" si="11"/>
        <v>100</v>
      </c>
      <c r="V43" s="704" t="s">
        <v>14</v>
      </c>
      <c r="W43" s="705">
        <f t="shared" si="12"/>
        <v>100</v>
      </c>
      <c r="X43" s="1354"/>
      <c r="Y43" s="371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9"/>
      <c r="Q44" s="1351">
        <f t="shared" si="14"/>
        <v>111</v>
      </c>
      <c r="R44" s="704" t="s">
        <v>14</v>
      </c>
      <c r="S44" s="705">
        <f t="shared" si="10"/>
        <v>100</v>
      </c>
      <c r="T44" s="704" t="s">
        <v>14</v>
      </c>
      <c r="U44" s="705">
        <f t="shared" si="11"/>
        <v>100</v>
      </c>
      <c r="V44" s="704" t="s">
        <v>14</v>
      </c>
      <c r="W44" s="705">
        <f t="shared" si="12"/>
        <v>100</v>
      </c>
      <c r="X44" s="1354"/>
      <c r="Y44" s="371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9"/>
      <c r="Q45" s="1351">
        <f t="shared" si="14"/>
        <v>111</v>
      </c>
      <c r="R45" s="707" t="s">
        <v>14</v>
      </c>
      <c r="S45" s="708">
        <f t="shared" si="10"/>
        <v>100</v>
      </c>
      <c r="T45" s="707" t="s">
        <v>14</v>
      </c>
      <c r="U45" s="708">
        <f t="shared" si="11"/>
        <v>100</v>
      </c>
      <c r="V45" s="707" t="s">
        <v>14</v>
      </c>
      <c r="W45" s="708">
        <f t="shared" si="12"/>
        <v>100</v>
      </c>
      <c r="X45" s="709"/>
      <c r="Y45" s="371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12" t="str">
        <f>A46</f>
        <v>成交单价</v>
      </c>
      <c r="Q46" s="3712"/>
      <c r="R46" s="3707">
        <f>E46</f>
        <v>0</v>
      </c>
      <c r="S46" s="3707"/>
      <c r="T46" s="3707">
        <f>G46</f>
        <v>0</v>
      </c>
      <c r="U46" s="3707"/>
      <c r="V46" s="3707">
        <f>I46</f>
        <v>0</v>
      </c>
      <c r="W46" s="3707"/>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12" t="str">
        <f>A47</f>
        <v>比较价值（元/平方米）</v>
      </c>
      <c r="Q47" s="3712"/>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09" t="str">
        <f>A48</f>
        <v>估价对象XX用房的比较价值（楼面单价，元/平方米）</v>
      </c>
      <c r="Q48" s="3710"/>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5" t="s">
        <v>1887</v>
      </c>
      <c r="H55" s="374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21093.46</v>
      </c>
      <c r="F56" s="885" t="e">
        <f t="shared" ref="F56:F64" si="15">ROUND(B56*E56/10000,0)</f>
        <v>#DIV/0!</v>
      </c>
      <c r="G56" s="3694"/>
      <c r="H56" s="371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0.3</v>
      </c>
      <c r="D60" s="944">
        <v>0.25</v>
      </c>
      <c r="E60" s="216">
        <f>'数据-汇总表'!E11</f>
        <v>0</v>
      </c>
      <c r="F60" s="885" t="e">
        <f t="shared" si="15"/>
        <v>#DIV/0!</v>
      </c>
      <c r="G60" s="1986" t="s">
        <v>1896</v>
      </c>
      <c r="H60" s="886" t="str">
        <f>项目基本情况!C37</f>
        <v>二级</v>
      </c>
      <c r="I60" s="890">
        <f>SUMIF(修正!A57:A68,H60,修正!E57:E68)</f>
        <v>0.3</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0.3</v>
      </c>
      <c r="D61" s="944">
        <v>0.25</v>
      </c>
      <c r="E61" s="216">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0.2</v>
      </c>
      <c r="D62" s="944">
        <v>0.25</v>
      </c>
      <c r="E62" s="216">
        <f>'数据-汇总表'!E13</f>
        <v>0</v>
      </c>
      <c r="F62" s="885" t="e">
        <f t="shared" si="15"/>
        <v>#DIV/0!</v>
      </c>
      <c r="G62" s="891" t="s">
        <v>1900</v>
      </c>
      <c r="H62" s="886" t="str">
        <f>IF(G62="商业",项目基本情况!B37,IF(G62="办公",项目基本情况!C37,IF(G62="住宅",项目基本情况!D37,项目基本情况!E37)))</f>
        <v>二级</v>
      </c>
      <c r="I62" s="890">
        <f>SUMIF(修正!A57:A68,H62,修正!G57:G68)</f>
        <v>0.2</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0.2</v>
      </c>
      <c r="D64" s="944">
        <v>0.25</v>
      </c>
      <c r="E64" s="216">
        <f>'数据-汇总表'!E15</f>
        <v>10270.209999999999</v>
      </c>
      <c r="F64" s="885" t="e">
        <f t="shared" si="15"/>
        <v>#DIV/0!</v>
      </c>
      <c r="G64" s="1987" t="s">
        <v>1896</v>
      </c>
      <c r="H64" s="896" t="str">
        <f>项目基本情况!C37</f>
        <v>二级</v>
      </c>
      <c r="I64" s="892">
        <f>SUMIF(修正!A57:A68,H64,修正!G57:G68)</f>
        <v>0.2</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31363.67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2023-4-1</v>
      </c>
      <c r="D67" s="691">
        <f>EDATE(C67,-3)</f>
        <v>44927</v>
      </c>
      <c r="E67" s="691">
        <f>EDATE(D67,-3)</f>
        <v>44835</v>
      </c>
      <c r="F67" s="691">
        <f t="shared" ref="F67:O67" si="18">EDATE(E67,-3)</f>
        <v>44743</v>
      </c>
      <c r="G67" s="691">
        <f t="shared" si="18"/>
        <v>44652</v>
      </c>
      <c r="H67" s="691">
        <f t="shared" si="18"/>
        <v>44562</v>
      </c>
      <c r="I67" s="691">
        <f t="shared" si="18"/>
        <v>44470</v>
      </c>
      <c r="J67" s="691">
        <f t="shared" si="18"/>
        <v>44378</v>
      </c>
      <c r="K67" s="691">
        <f t="shared" si="18"/>
        <v>44287</v>
      </c>
      <c r="L67" s="691">
        <f t="shared" si="18"/>
        <v>44197</v>
      </c>
      <c r="M67" s="691">
        <f t="shared" si="18"/>
        <v>44105</v>
      </c>
      <c r="N67" s="691">
        <f t="shared" si="18"/>
        <v>44013</v>
      </c>
      <c r="O67" s="691">
        <f t="shared" si="18"/>
        <v>43922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5" t="s">
        <v>1770</v>
      </c>
      <c r="D4" s="3696"/>
      <c r="E4" s="3697" t="s">
        <v>1771</v>
      </c>
      <c r="F4" s="3698"/>
      <c r="G4" s="3695" t="s">
        <v>1772</v>
      </c>
      <c r="H4" s="3696"/>
      <c r="I4" s="3695" t="s">
        <v>1773</v>
      </c>
      <c r="J4" s="3696"/>
      <c r="K4" s="558" t="s">
        <v>1774</v>
      </c>
      <c r="L4" s="2714"/>
      <c r="M4" s="2715"/>
      <c r="N4" s="2715"/>
      <c r="O4" s="2715"/>
      <c r="P4" s="3699" t="s">
        <v>1775</v>
      </c>
      <c r="Q4" s="3700"/>
      <c r="R4" s="3682" t="s">
        <v>1771</v>
      </c>
      <c r="S4" s="3683"/>
      <c r="T4" s="3682" t="s">
        <v>1772</v>
      </c>
      <c r="U4" s="3683"/>
      <c r="V4" s="3707" t="s">
        <v>1773</v>
      </c>
      <c r="W4" s="3707"/>
      <c r="X4" s="1354"/>
      <c r="Y4" s="3682" t="s">
        <v>1775</v>
      </c>
      <c r="Z4" s="3683"/>
      <c r="AA4" s="3677" t="s">
        <v>1771</v>
      </c>
      <c r="AB4" s="3678" t="s">
        <v>1772</v>
      </c>
      <c r="AC4" s="3677" t="s">
        <v>1773</v>
      </c>
    </row>
    <row r="5" spans="1:29" ht="15">
      <c r="A5" s="357"/>
      <c r="B5" s="358"/>
      <c r="C5" s="3688" t="s">
        <v>1673</v>
      </c>
      <c r="D5" s="3689"/>
      <c r="E5" s="3686" t="s">
        <v>1674</v>
      </c>
      <c r="F5" s="3687"/>
      <c r="G5" s="3688" t="s">
        <v>1675</v>
      </c>
      <c r="H5" s="3689"/>
      <c r="I5" s="3688" t="s">
        <v>1676</v>
      </c>
      <c r="J5" s="3689"/>
      <c r="K5" s="558"/>
      <c r="L5" s="2714"/>
      <c r="M5" s="2715"/>
      <c r="N5" s="2715"/>
      <c r="O5" s="2715"/>
      <c r="P5" s="3701"/>
      <c r="Q5" s="3702"/>
      <c r="R5" s="3684"/>
      <c r="S5" s="3685"/>
      <c r="T5" s="3684"/>
      <c r="U5" s="3685"/>
      <c r="V5" s="3707"/>
      <c r="W5" s="3707"/>
      <c r="X5" s="1354"/>
      <c r="Y5" s="3684"/>
      <c r="Z5" s="3685"/>
      <c r="AA5" s="3678"/>
      <c r="AB5" s="3678"/>
      <c r="AC5" s="3678"/>
    </row>
    <row r="6" spans="1:29" ht="15.75" thickBot="1">
      <c r="A6" s="359"/>
      <c r="B6" s="360"/>
      <c r="C6" s="3743" t="s">
        <v>1919</v>
      </c>
      <c r="D6" s="3744"/>
      <c r="E6" s="3745" t="s">
        <v>1919</v>
      </c>
      <c r="F6" s="3746"/>
      <c r="G6" s="3743" t="s">
        <v>1919</v>
      </c>
      <c r="H6" s="3744"/>
      <c r="I6" s="3743" t="s">
        <v>1919</v>
      </c>
      <c r="J6" s="3744"/>
      <c r="K6" s="558" t="s">
        <v>1678</v>
      </c>
      <c r="L6" s="2714"/>
      <c r="M6" s="2715"/>
      <c r="N6" s="2715"/>
      <c r="O6" s="2715"/>
      <c r="P6" s="3703"/>
      <c r="Q6" s="3704"/>
      <c r="R6" s="3684"/>
      <c r="S6" s="3685"/>
      <c r="T6" s="3705"/>
      <c r="U6" s="3706"/>
      <c r="V6" s="3707"/>
      <c r="W6" s="3707"/>
      <c r="X6" s="1354"/>
      <c r="Y6" s="3705"/>
      <c r="Z6" s="3706"/>
      <c r="AA6" s="3679"/>
      <c r="AB6" s="3679"/>
      <c r="AC6" s="3679"/>
    </row>
    <row r="7" spans="1:29" s="108" customFormat="1" ht="15.75" thickBot="1">
      <c r="A7" s="361" t="s">
        <v>1679</v>
      </c>
      <c r="B7" s="362"/>
      <c r="C7" s="363">
        <f>'数据-取费表'!B2</f>
        <v>45023</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80" t="s">
        <v>1680</v>
      </c>
      <c r="Q7" s="3708"/>
      <c r="R7" s="700" t="s">
        <v>14</v>
      </c>
      <c r="S7" s="701">
        <f t="shared" ref="S7:S15" si="0">F7</f>
        <v>0</v>
      </c>
      <c r="T7" s="700" t="s">
        <v>14</v>
      </c>
      <c r="U7" s="701">
        <f t="shared" ref="U7:U15" si="1">H7</f>
        <v>0</v>
      </c>
      <c r="V7" s="700" t="s">
        <v>14</v>
      </c>
      <c r="W7" s="701">
        <f t="shared" ref="W7:W15" si="2">J7</f>
        <v>0</v>
      </c>
      <c r="X7" s="702"/>
      <c r="Y7" s="3680" t="s">
        <v>1680</v>
      </c>
      <c r="Z7" s="3681"/>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80" t="s">
        <v>1683</v>
      </c>
      <c r="Q8" s="3681"/>
      <c r="R8" s="700" t="s">
        <v>14</v>
      </c>
      <c r="S8" s="701">
        <f t="shared" si="0"/>
        <v>0</v>
      </c>
      <c r="T8" s="700" t="s">
        <v>14</v>
      </c>
      <c r="U8" s="701">
        <f t="shared" si="1"/>
        <v>0</v>
      </c>
      <c r="V8" s="700" t="s">
        <v>14</v>
      </c>
      <c r="W8" s="701">
        <f t="shared" si="2"/>
        <v>0</v>
      </c>
      <c r="X8" s="702"/>
      <c r="Y8" s="3680" t="s">
        <v>1683</v>
      </c>
      <c r="Z8" s="3681"/>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12" t="s">
        <v>1686</v>
      </c>
      <c r="Q9" s="1342"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102</v>
      </c>
      <c r="G10" s="382"/>
      <c r="H10" s="126">
        <f>ROUND(100/'数据-取费表'!G16,0)</f>
        <v>102</v>
      </c>
      <c r="I10" s="382"/>
      <c r="J10" s="126">
        <f>ROUND(100/'数据-取费表'!G16,0)</f>
        <v>102</v>
      </c>
      <c r="K10" s="619"/>
      <c r="L10" s="2718"/>
      <c r="M10" s="2719"/>
      <c r="N10" s="2719"/>
      <c r="O10" s="2772"/>
      <c r="P10" s="3712"/>
      <c r="Q10" s="1342" t="str">
        <f t="shared" si="6"/>
        <v>土地使用年限（年）</v>
      </c>
      <c r="R10" s="700" t="s">
        <v>14</v>
      </c>
      <c r="S10" s="701">
        <f t="shared" si="0"/>
        <v>102</v>
      </c>
      <c r="T10" s="700" t="s">
        <v>14</v>
      </c>
      <c r="U10" s="701">
        <f t="shared" si="1"/>
        <v>102</v>
      </c>
      <c r="V10" s="700" t="s">
        <v>14</v>
      </c>
      <c r="W10" s="701">
        <f t="shared" si="2"/>
        <v>102</v>
      </c>
      <c r="X10" s="702"/>
      <c r="Y10" s="3624"/>
      <c r="Z10" s="52" t="str">
        <f t="shared" si="7"/>
        <v>土地使用年限（年）</v>
      </c>
      <c r="AA10" s="703">
        <f t="shared" si="3"/>
        <v>0.98039215686274506</v>
      </c>
      <c r="AB10" s="703">
        <f t="shared" si="4"/>
        <v>0.98039215686274506</v>
      </c>
      <c r="AC10" s="703">
        <f t="shared" si="5"/>
        <v>0.98039215686274506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12"/>
      <c r="Q11" s="1342" t="str">
        <f t="shared" si="6"/>
        <v>容积率</v>
      </c>
      <c r="R11" s="700" t="s">
        <v>14</v>
      </c>
      <c r="S11" s="701" t="e">
        <f t="shared" si="0"/>
        <v>#N/A</v>
      </c>
      <c r="T11" s="700" t="s">
        <v>14</v>
      </c>
      <c r="U11" s="701" t="e">
        <f t="shared" si="1"/>
        <v>#N/A</v>
      </c>
      <c r="V11" s="700" t="s">
        <v>14</v>
      </c>
      <c r="W11" s="701" t="e">
        <f t="shared" si="2"/>
        <v>#N/A</v>
      </c>
      <c r="X11" s="702"/>
      <c r="Y11" s="3624"/>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12"/>
      <c r="Q12" s="1342">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12"/>
      <c r="Q13" s="1342">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12"/>
      <c r="Q14" s="1342">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14" t="s">
        <v>1691</v>
      </c>
      <c r="Q15" s="1351" t="str">
        <f t="shared" si="6"/>
        <v>产业集聚程度</v>
      </c>
      <c r="R15" s="704" t="s">
        <v>14</v>
      </c>
      <c r="S15" s="705">
        <f t="shared" si="0"/>
        <v>100</v>
      </c>
      <c r="T15" s="704" t="s">
        <v>14</v>
      </c>
      <c r="U15" s="705">
        <f t="shared" si="1"/>
        <v>100</v>
      </c>
      <c r="V15" s="704" t="s">
        <v>14</v>
      </c>
      <c r="W15" s="705">
        <f t="shared" si="2"/>
        <v>100</v>
      </c>
      <c r="X15" s="1354"/>
      <c r="Y15" s="371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15"/>
      <c r="Q16" s="1351"/>
      <c r="R16" s="704"/>
      <c r="S16" s="705"/>
      <c r="T16" s="704"/>
      <c r="U16" s="705"/>
      <c r="V16" s="704"/>
      <c r="W16" s="705"/>
      <c r="X16" s="1354"/>
      <c r="Y16" s="371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15"/>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15"/>
      <c r="Q18" s="1351"/>
      <c r="R18" s="704"/>
      <c r="S18" s="705"/>
      <c r="T18" s="704"/>
      <c r="U18" s="705"/>
      <c r="V18" s="704"/>
      <c r="W18" s="705"/>
      <c r="X18" s="1354"/>
      <c r="Y18" s="371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15"/>
      <c r="Q19" s="1351" t="str">
        <f t="shared" ref="Q19:Q33" si="8">B19</f>
        <v>区域土地利用方向</v>
      </c>
      <c r="R19" s="704" t="s">
        <v>14</v>
      </c>
      <c r="S19" s="705">
        <f>F19</f>
        <v>100</v>
      </c>
      <c r="T19" s="704" t="s">
        <v>14</v>
      </c>
      <c r="U19" s="705">
        <f>H19</f>
        <v>100</v>
      </c>
      <c r="V19" s="704" t="s">
        <v>14</v>
      </c>
      <c r="W19" s="705">
        <f>J19</f>
        <v>100</v>
      </c>
      <c r="X19" s="1354"/>
      <c r="Y19" s="371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15"/>
      <c r="Q20" s="1351"/>
      <c r="R20" s="704"/>
      <c r="S20" s="705"/>
      <c r="T20" s="704"/>
      <c r="U20" s="705"/>
      <c r="V20" s="704"/>
      <c r="W20" s="705"/>
      <c r="X20" s="1354"/>
      <c r="Y20" s="371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15"/>
      <c r="Q21" s="1351" t="str">
        <f t="shared" si="8"/>
        <v>环境状况</v>
      </c>
      <c r="R21" s="704" t="s">
        <v>14</v>
      </c>
      <c r="S21" s="705">
        <f>F21</f>
        <v>100</v>
      </c>
      <c r="T21" s="704" t="s">
        <v>14</v>
      </c>
      <c r="U21" s="705">
        <f>H21</f>
        <v>100</v>
      </c>
      <c r="V21" s="704" t="s">
        <v>14</v>
      </c>
      <c r="W21" s="705">
        <f>J21</f>
        <v>100</v>
      </c>
      <c r="X21" s="1354"/>
      <c r="Y21" s="371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15"/>
      <c r="Q22" s="1351"/>
      <c r="R22" s="704"/>
      <c r="S22" s="705"/>
      <c r="T22" s="704"/>
      <c r="U22" s="705"/>
      <c r="V22" s="704"/>
      <c r="W22" s="705"/>
      <c r="X22" s="1354"/>
      <c r="Y22" s="3715"/>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15"/>
      <c r="Q23" s="1342" t="str">
        <f t="shared" si="8"/>
        <v>公共配套设施</v>
      </c>
      <c r="R23" s="700" t="s">
        <v>14</v>
      </c>
      <c r="S23" s="701">
        <f>F23</f>
        <v>100</v>
      </c>
      <c r="T23" s="700" t="s">
        <v>14</v>
      </c>
      <c r="U23" s="701">
        <f>H23</f>
        <v>100</v>
      </c>
      <c r="V23" s="700" t="s">
        <v>14</v>
      </c>
      <c r="W23" s="701">
        <f>J23</f>
        <v>100</v>
      </c>
      <c r="X23" s="702"/>
      <c r="Y23" s="371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15"/>
      <c r="Q24" s="1342"/>
      <c r="R24" s="700"/>
      <c r="S24" s="701"/>
      <c r="T24" s="700"/>
      <c r="U24" s="701"/>
      <c r="V24" s="700"/>
      <c r="W24" s="701"/>
      <c r="X24" s="702"/>
      <c r="Y24" s="3715"/>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15"/>
      <c r="Q25" s="1342" t="str">
        <f t="shared" ref="Q25" si="9">B25</f>
        <v>基础设施水平</v>
      </c>
      <c r="R25" s="700" t="s">
        <v>14</v>
      </c>
      <c r="S25" s="701">
        <f>F25</f>
        <v>100</v>
      </c>
      <c r="T25" s="700" t="s">
        <v>14</v>
      </c>
      <c r="U25" s="701">
        <f>H25</f>
        <v>100</v>
      </c>
      <c r="V25" s="700" t="s">
        <v>14</v>
      </c>
      <c r="W25" s="701">
        <f>J25</f>
        <v>100</v>
      </c>
      <c r="X25" s="702"/>
      <c r="Y25" s="371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15"/>
      <c r="Q26" s="1342"/>
      <c r="R26" s="700"/>
      <c r="S26" s="701"/>
      <c r="T26" s="700"/>
      <c r="U26" s="701"/>
      <c r="V26" s="700"/>
      <c r="W26" s="701"/>
      <c r="X26" s="702"/>
      <c r="Y26" s="371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5"/>
      <c r="Q28" s="1351" t="str">
        <f t="shared" si="8"/>
        <v>毗邻道路的类型与等级</v>
      </c>
      <c r="R28" s="704" t="s">
        <v>14</v>
      </c>
      <c r="S28" s="705">
        <f t="shared" si="10"/>
        <v>100</v>
      </c>
      <c r="T28" s="704" t="s">
        <v>14</v>
      </c>
      <c r="U28" s="705">
        <f t="shared" si="11"/>
        <v>100</v>
      </c>
      <c r="V28" s="704" t="s">
        <v>14</v>
      </c>
      <c r="W28" s="705">
        <f t="shared" si="12"/>
        <v>100</v>
      </c>
      <c r="X28" s="1354"/>
      <c r="Y28" s="371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5"/>
      <c r="Q29" s="1351"/>
      <c r="R29" s="704"/>
      <c r="S29" s="705"/>
      <c r="T29" s="704"/>
      <c r="U29" s="705"/>
      <c r="V29" s="704"/>
      <c r="W29" s="705"/>
      <c r="X29" s="1354"/>
      <c r="Y29" s="371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5"/>
      <c r="Q30" s="1351" t="str">
        <f t="shared" si="8"/>
        <v>土地级别</v>
      </c>
      <c r="R30" s="704" t="s">
        <v>14</v>
      </c>
      <c r="S30" s="705">
        <f t="shared" si="10"/>
        <v>100</v>
      </c>
      <c r="T30" s="704" t="s">
        <v>14</v>
      </c>
      <c r="U30" s="705">
        <f t="shared" si="11"/>
        <v>100</v>
      </c>
      <c r="V30" s="704" t="s">
        <v>14</v>
      </c>
      <c r="W30" s="705">
        <f t="shared" si="12"/>
        <v>100</v>
      </c>
      <c r="X30" s="1354"/>
      <c r="Y30" s="371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5"/>
      <c r="Q31" s="1351">
        <f t="shared" si="8"/>
        <v>111</v>
      </c>
      <c r="R31" s="704" t="s">
        <v>14</v>
      </c>
      <c r="S31" s="705">
        <f t="shared" si="10"/>
        <v>100</v>
      </c>
      <c r="T31" s="704" t="s">
        <v>14</v>
      </c>
      <c r="U31" s="705">
        <f t="shared" si="11"/>
        <v>100</v>
      </c>
      <c r="V31" s="704" t="s">
        <v>14</v>
      </c>
      <c r="W31" s="705">
        <f t="shared" si="12"/>
        <v>100</v>
      </c>
      <c r="X31" s="1354"/>
      <c r="Y31" s="371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8" t="s">
        <v>1696</v>
      </c>
      <c r="Q32" s="1351">
        <f t="shared" si="8"/>
        <v>111</v>
      </c>
      <c r="R32" s="704" t="s">
        <v>14</v>
      </c>
      <c r="S32" s="705">
        <f t="shared" si="10"/>
        <v>100</v>
      </c>
      <c r="T32" s="704" t="s">
        <v>14</v>
      </c>
      <c r="U32" s="705">
        <f t="shared" si="11"/>
        <v>100</v>
      </c>
      <c r="V32" s="704" t="s">
        <v>14</v>
      </c>
      <c r="W32" s="705">
        <f t="shared" si="12"/>
        <v>100</v>
      </c>
      <c r="X32" s="1354"/>
      <c r="Y32" s="371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9"/>
      <c r="Q33" s="1351">
        <f t="shared" si="8"/>
        <v>111</v>
      </c>
      <c r="R33" s="707" t="s">
        <v>14</v>
      </c>
      <c r="S33" s="708">
        <f t="shared" si="10"/>
        <v>100</v>
      </c>
      <c r="T33" s="707" t="s">
        <v>14</v>
      </c>
      <c r="U33" s="708">
        <f t="shared" si="11"/>
        <v>100</v>
      </c>
      <c r="V33" s="707" t="s">
        <v>14</v>
      </c>
      <c r="W33" s="708">
        <f t="shared" si="12"/>
        <v>100</v>
      </c>
      <c r="X33" s="709"/>
      <c r="Y33" s="371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19"/>
      <c r="Q34" s="1351" t="str">
        <f>B34</f>
        <v>宗地面积</v>
      </c>
      <c r="R34" s="704" t="s">
        <v>14</v>
      </c>
      <c r="S34" s="705" t="e">
        <f t="shared" si="10"/>
        <v>#N/A</v>
      </c>
      <c r="T34" s="704" t="s">
        <v>14</v>
      </c>
      <c r="U34" s="705" t="e">
        <f t="shared" si="11"/>
        <v>#N/A</v>
      </c>
      <c r="V34" s="704" t="s">
        <v>14</v>
      </c>
      <c r="W34" s="705" t="e">
        <f t="shared" si="12"/>
        <v>#N/A</v>
      </c>
      <c r="X34" s="1354"/>
      <c r="Y34" s="371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9"/>
      <c r="Q35" s="1351" t="str">
        <f t="shared" ref="Q35:Q40" si="14">B35</f>
        <v>宗地形状</v>
      </c>
      <c r="R35" s="704" t="s">
        <v>14</v>
      </c>
      <c r="S35" s="705">
        <f t="shared" si="10"/>
        <v>100</v>
      </c>
      <c r="T35" s="704" t="s">
        <v>14</v>
      </c>
      <c r="U35" s="705">
        <f t="shared" si="11"/>
        <v>100</v>
      </c>
      <c r="V35" s="704" t="s">
        <v>14</v>
      </c>
      <c r="W35" s="705">
        <f t="shared" si="12"/>
        <v>100</v>
      </c>
      <c r="X35" s="1354"/>
      <c r="Y35" s="3719"/>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19"/>
      <c r="Q36" s="1351" t="str">
        <f t="shared" si="14"/>
        <v>宗地开发程度</v>
      </c>
      <c r="R36" s="700" t="s">
        <v>14</v>
      </c>
      <c r="S36" s="701">
        <f t="shared" si="10"/>
        <v>100</v>
      </c>
      <c r="T36" s="700" t="s">
        <v>14</v>
      </c>
      <c r="U36" s="701">
        <f t="shared" si="11"/>
        <v>100</v>
      </c>
      <c r="V36" s="700" t="s">
        <v>14</v>
      </c>
      <c r="W36" s="701">
        <f t="shared" si="12"/>
        <v>100</v>
      </c>
      <c r="X36" s="702"/>
      <c r="Y36" s="3719"/>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9" t="s">
        <v>1696</v>
      </c>
      <c r="Q37" s="1351" t="str">
        <f t="shared" si="14"/>
        <v>工程地质条件</v>
      </c>
      <c r="R37" s="704" t="s">
        <v>14</v>
      </c>
      <c r="S37" s="705">
        <f t="shared" si="10"/>
        <v>100</v>
      </c>
      <c r="T37" s="704" t="s">
        <v>14</v>
      </c>
      <c r="U37" s="705">
        <f t="shared" si="11"/>
        <v>100</v>
      </c>
      <c r="V37" s="704" t="s">
        <v>14</v>
      </c>
      <c r="W37" s="705">
        <f t="shared" si="12"/>
        <v>100</v>
      </c>
      <c r="X37" s="1354"/>
      <c r="Y37" s="371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9"/>
      <c r="Q38" s="1351">
        <f t="shared" si="14"/>
        <v>111</v>
      </c>
      <c r="R38" s="704" t="s">
        <v>14</v>
      </c>
      <c r="S38" s="705">
        <f t="shared" si="10"/>
        <v>100</v>
      </c>
      <c r="T38" s="704" t="s">
        <v>14</v>
      </c>
      <c r="U38" s="705">
        <f t="shared" si="11"/>
        <v>100</v>
      </c>
      <c r="V38" s="704" t="s">
        <v>14</v>
      </c>
      <c r="W38" s="705">
        <f t="shared" si="12"/>
        <v>100</v>
      </c>
      <c r="X38" s="1354"/>
      <c r="Y38" s="371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9"/>
      <c r="Q39" s="1351">
        <f t="shared" si="14"/>
        <v>111</v>
      </c>
      <c r="R39" s="704" t="s">
        <v>14</v>
      </c>
      <c r="S39" s="705">
        <f t="shared" si="10"/>
        <v>100</v>
      </c>
      <c r="T39" s="704" t="s">
        <v>14</v>
      </c>
      <c r="U39" s="705">
        <f t="shared" si="11"/>
        <v>100</v>
      </c>
      <c r="V39" s="704" t="s">
        <v>14</v>
      </c>
      <c r="W39" s="705">
        <f t="shared" si="12"/>
        <v>100</v>
      </c>
      <c r="X39" s="1354"/>
      <c r="Y39" s="371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9"/>
      <c r="Q40" s="1351">
        <f t="shared" si="14"/>
        <v>111</v>
      </c>
      <c r="R40" s="707" t="s">
        <v>14</v>
      </c>
      <c r="S40" s="708">
        <f t="shared" si="10"/>
        <v>100</v>
      </c>
      <c r="T40" s="707" t="s">
        <v>14</v>
      </c>
      <c r="U40" s="708">
        <f t="shared" si="11"/>
        <v>100</v>
      </c>
      <c r="V40" s="707" t="s">
        <v>14</v>
      </c>
      <c r="W40" s="708">
        <f t="shared" si="12"/>
        <v>100</v>
      </c>
      <c r="X40" s="709"/>
      <c r="Y40" s="371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12" t="str">
        <f>A41</f>
        <v>成交单价</v>
      </c>
      <c r="Q41" s="3712"/>
      <c r="R41" s="3707">
        <f>E41</f>
        <v>0</v>
      </c>
      <c r="S41" s="3707"/>
      <c r="T41" s="3707">
        <f>G41</f>
        <v>0</v>
      </c>
      <c r="U41" s="3707"/>
      <c r="V41" s="3707">
        <f>I41</f>
        <v>0</v>
      </c>
      <c r="W41" s="3707"/>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12" t="str">
        <f>A42</f>
        <v>比较价值（元/平方米）</v>
      </c>
      <c r="Q42" s="3712"/>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09" t="str">
        <f>A43</f>
        <v>估价对象XX用房的比较价值（楼面单价，元/平方米）</v>
      </c>
      <c r="Q43" s="3710"/>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5"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21093.46</v>
      </c>
      <c r="F51" s="638" t="e">
        <f t="shared" ref="F51:F60" si="15">ROUND(B51*E51/10000,0)</f>
        <v>#DIV/0!</v>
      </c>
      <c r="G51" s="3694"/>
      <c r="H51" s="371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0.3</v>
      </c>
      <c r="D56" s="944">
        <v>0.25</v>
      </c>
      <c r="E56" s="216">
        <f>'数据-汇总表'!E11</f>
        <v>0</v>
      </c>
      <c r="F56" s="638" t="e">
        <f t="shared" si="15"/>
        <v>#DIV/0!</v>
      </c>
      <c r="G56" s="1986" t="s">
        <v>1896</v>
      </c>
      <c r="H56" s="886" t="str">
        <f>项目基本情况!C37</f>
        <v>二级</v>
      </c>
      <c r="I56" s="772">
        <f>SUMIF(修正!A57:A68,H56,修正!E57:E68)</f>
        <v>0.3</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0.3</v>
      </c>
      <c r="D57" s="944">
        <v>0.25</v>
      </c>
      <c r="E57" s="216">
        <f>'数据-汇总表'!E12</f>
        <v>0</v>
      </c>
      <c r="F57" s="638" t="e">
        <f t="shared" si="15"/>
        <v>#DIV/0!</v>
      </c>
      <c r="G57" s="891" t="s">
        <v>1898</v>
      </c>
      <c r="H57" s="886" t="str">
        <f>IF(G57="商业",项目基本情况!B37,IF(G57="办公",项目基本情况!C37,IF(G57="住宅",项目基本情况!D37,项目基本情况!E37)))</f>
        <v>二级</v>
      </c>
      <c r="I57" s="772">
        <f>SUMIF(修正!A57:A68,H57,修正!F57:F68)</f>
        <v>0.3</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0.2</v>
      </c>
      <c r="D58" s="944">
        <v>0.25</v>
      </c>
      <c r="E58" s="216">
        <f>'数据-汇总表'!E13</f>
        <v>0</v>
      </c>
      <c r="F58" s="638" t="e">
        <f t="shared" si="15"/>
        <v>#DIV/0!</v>
      </c>
      <c r="G58" s="891" t="s">
        <v>1900</v>
      </c>
      <c r="H58" s="886" t="str">
        <f>IF(G58="商业",项目基本情况!B37,IF(G58="办公",项目基本情况!C37,IF(G58="住宅",项目基本情况!D37,项目基本情况!E37)))</f>
        <v>二级</v>
      </c>
      <c r="I58" s="772">
        <f>SUMIF(修正!A57:A68,H58,修正!G57:G68)</f>
        <v>0.2</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0.2</v>
      </c>
      <c r="D60" s="944">
        <v>0.25</v>
      </c>
      <c r="E60" s="216">
        <f>'数据-汇总表'!E15</f>
        <v>10270.209999999999</v>
      </c>
      <c r="F60" s="638" t="e">
        <f t="shared" si="15"/>
        <v>#DIV/0!</v>
      </c>
      <c r="G60" s="1987" t="s">
        <v>1896</v>
      </c>
      <c r="H60" s="896" t="str">
        <f>项目基本情况!C37</f>
        <v>二级</v>
      </c>
      <c r="I60" s="772">
        <f>SUMIF(修正!A57:A68,H60,修正!G57:G68)</f>
        <v>0.2</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6799.81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2023-4-1</v>
      </c>
      <c r="D63" s="691">
        <f>EDATE(C63,-3)</f>
        <v>44927</v>
      </c>
      <c r="E63" s="691">
        <f>EDATE(D63,-3)</f>
        <v>44835</v>
      </c>
      <c r="F63" s="691">
        <f t="shared" ref="F63:O63" si="18">EDATE(E63,-3)</f>
        <v>44743</v>
      </c>
      <c r="G63" s="691">
        <f t="shared" si="18"/>
        <v>44652</v>
      </c>
      <c r="H63" s="691">
        <f t="shared" si="18"/>
        <v>44562</v>
      </c>
      <c r="I63" s="691">
        <f t="shared" si="18"/>
        <v>44470</v>
      </c>
      <c r="J63" s="691">
        <f t="shared" si="18"/>
        <v>44378</v>
      </c>
      <c r="K63" s="691">
        <f t="shared" si="18"/>
        <v>44287</v>
      </c>
      <c r="L63" s="691">
        <f t="shared" si="18"/>
        <v>44197</v>
      </c>
      <c r="M63" s="691">
        <f t="shared" si="18"/>
        <v>44105</v>
      </c>
      <c r="N63" s="691">
        <f t="shared" si="18"/>
        <v>44013</v>
      </c>
      <c r="O63" s="691">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45290</v>
      </c>
      <c r="C2" s="2144" t="s">
        <v>2074</v>
      </c>
      <c r="D2" s="2144" t="s">
        <v>2075</v>
      </c>
      <c r="E2" s="2611">
        <f ca="1">SUMIF(E6:E13,"&lt;&gt;#ref!",E6:E13)</f>
        <v>41959.05</v>
      </c>
      <c r="F2" s="2792"/>
      <c r="G2" s="2792"/>
      <c r="H2" s="2792"/>
      <c r="I2" s="2792"/>
      <c r="J2" s="2792"/>
      <c r="K2" s="2792"/>
      <c r="L2" s="2792"/>
      <c r="M2" s="2792"/>
      <c r="N2" s="2792"/>
      <c r="O2" s="2792"/>
      <c r="P2" s="2792"/>
    </row>
    <row r="3" spans="1:16" ht="15.75">
      <c r="A3" s="2144" t="s">
        <v>2076</v>
      </c>
      <c r="B3" s="2601">
        <f ca="1">ROUND(B2*10000/E2,0)</f>
        <v>10794</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45290</v>
      </c>
      <c r="C6" s="2144" t="s">
        <v>2074</v>
      </c>
      <c r="D6" s="2792"/>
      <c r="E6" s="2611">
        <f ca="1">SUMIF(INDIRECT("'"&amp;A6&amp;"'"&amp;"!C:C"),"建筑面积",INDIRECT("'"&amp;A6&amp;"'"&amp;"!D:D"))</f>
        <v>41959.05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5" zoomScaleNormal="80" zoomScaleSheetLayoutView="100" workbookViewId="0">
      <selection activeCell="G99" sqref="G9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41959.05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45290</v>
      </c>
      <c r="C2" s="1998" t="s">
        <v>1935</v>
      </c>
      <c r="D2" s="1999" t="s">
        <v>1936</v>
      </c>
      <c r="E2" s="3421" t="s">
        <v>3386</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Ⅱ—05</v>
      </c>
      <c r="J2" s="2001"/>
      <c r="K2" s="1118"/>
      <c r="L2" s="2002" t="s">
        <v>1939</v>
      </c>
      <c r="M2" s="863">
        <f>SUMPRODUCT((区片价!B10:B29=I2)*(区片价!C3:G3=E2)*(区片价!C10:G29))</f>
        <v>21480</v>
      </c>
      <c r="N2" s="865">
        <f>SUMPRODUCT((因素修正幅度!B10:B29=I2)*(因素修正幅度!C3:G3=E2)*(因素修正幅度!C10:G29))</f>
        <v>9.8000000000000004E-2</v>
      </c>
      <c r="O2" s="1118"/>
      <c r="P2" s="1118"/>
      <c r="Q2" s="1118"/>
      <c r="R2" s="1211">
        <v>1</v>
      </c>
      <c r="S2" s="3360">
        <f>ROUND(SUMPRODUCT((B106:B110=R2)*(C105:N105=G2)*(C106:N110)),4)</f>
        <v>1.5206</v>
      </c>
      <c r="T2" s="3360">
        <f t="shared" ref="T2:T16" si="0">ROUND($C$5*$C$22*$C$23*$C$24*S2*$C$28,0)</f>
        <v>27021</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10794</v>
      </c>
      <c r="C3" s="1998" t="s">
        <v>1941</v>
      </c>
      <c r="D3" s="1999" t="s">
        <v>1942</v>
      </c>
      <c r="E3" s="3419" t="s">
        <v>2459</v>
      </c>
      <c r="F3" s="2003" t="s">
        <v>3395</v>
      </c>
      <c r="G3" s="751">
        <f>IF(F3="宗地容积率",'数据-汇总表'!I4,IF(F3="估价对象容积率",'数据-汇总表'!I6,'数据-汇总表'!I7))</f>
        <v>3.18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21452</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18536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21456</v>
      </c>
      <c r="D5" s="1338">
        <f>ROUND(C6*C17+C20,0)</f>
        <v>21456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16773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15986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3244</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3.18</v>
      </c>
      <c r="AA7" s="1215"/>
      <c r="AB7" s="1215"/>
      <c r="AC7" s="1216"/>
      <c r="AD7" s="1217"/>
      <c r="AE7" s="1217"/>
      <c r="AF7" s="1217"/>
      <c r="AG7" s="1217"/>
      <c r="AH7" s="1217"/>
      <c r="AI7" s="1217"/>
      <c r="AJ7" s="1218"/>
    </row>
    <row r="8" spans="1:36" ht="25.5">
      <c r="A8" s="3298"/>
      <c r="B8" s="169" t="s">
        <v>1957</v>
      </c>
      <c r="C8" s="2025" t="s">
        <v>3396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9"/>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3245</v>
      </c>
      <c r="B12" s="3304" t="s">
        <v>3246</v>
      </c>
      <c r="C12" s="3305">
        <v>1</v>
      </c>
      <c r="D12" s="3306" t="s">
        <v>3247</v>
      </c>
      <c r="E12" s="3307" t="s">
        <v>3248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3249</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3250</v>
      </c>
      <c r="G14" s="3311" t="s">
        <v>3250</v>
      </c>
      <c r="H14" s="3311" t="s">
        <v>3250</v>
      </c>
      <c r="I14" s="3311" t="s">
        <v>3250</v>
      </c>
      <c r="J14" s="3311" t="s">
        <v>3250</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3251</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3256</v>
      </c>
      <c r="E19" s="3337"/>
      <c r="F19" s="3338" t="s">
        <v>3259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3261</v>
      </c>
      <c r="B20" s="166" t="s">
        <v>1994</v>
      </c>
      <c r="C20" s="3324">
        <f>ROUND(IF(F21="与级别开发程度一致",0,(G21-E21)/C21),0)</f>
        <v>-24</v>
      </c>
      <c r="D20" s="3340" t="s">
        <v>1998</v>
      </c>
      <c r="E20" s="3341"/>
      <c r="F20" s="3770" t="s">
        <v>1995</v>
      </c>
      <c r="G20" s="3771"/>
      <c r="H20" s="3325" t="s">
        <v>3397</v>
      </c>
      <c r="I20" s="3325" t="s">
        <v>3398</v>
      </c>
      <c r="J20" s="3326" t="s">
        <v>3399</v>
      </c>
      <c r="K20" s="2046" t="s">
        <v>3400</v>
      </c>
      <c r="L20" s="2046" t="s">
        <v>3401</v>
      </c>
      <c r="M20" s="2046" t="s">
        <v>3402</v>
      </c>
      <c r="N20" s="2046" t="s">
        <v>3403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5"/>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375</v>
      </c>
      <c r="F21" s="2155" t="s">
        <v>3404</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0">
        <v>44197</v>
      </c>
      <c r="F23" s="2053" t="s">
        <v>2003</v>
      </c>
      <c r="G23" s="761">
        <f>'数据-取费表'!B2</f>
        <v>45023</v>
      </c>
      <c r="H23" s="3342" t="s">
        <v>3263</v>
      </c>
      <c r="I23" s="3343" t="str">
        <f>IF(H23="季度增幅（自定义）",SUMIF(N25:N28,E2,O25:O28),"")</f>
        <v/>
      </c>
      <c r="J23" s="3445" t="s">
        <v>3262</v>
      </c>
      <c r="K23" s="1124"/>
      <c r="L23" s="2054" t="s">
        <v>2004</v>
      </c>
      <c r="M23" s="1327">
        <f>ROUND(SUMIF(地价!B2:G2,E2,地价!B16:G16),0)</f>
        <v>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0.98499999999999999</v>
      </c>
      <c r="D24" s="2059" t="s">
        <v>2007</v>
      </c>
      <c r="E24" s="1334">
        <f>存贷款利率!E22/100</f>
        <v>4.3499999999999997E-2</v>
      </c>
      <c r="F24" s="2059" t="s">
        <v>1999</v>
      </c>
      <c r="G24" s="767">
        <f>SUMIF(M30:Q30,E2,M33:Q33)</f>
        <v>0.05</v>
      </c>
      <c r="H24" s="2059" t="s">
        <v>2008</v>
      </c>
      <c r="I24" s="768">
        <f>SUMIF('数据-取费表'!C6:C15,E2,'数据-取费表'!F6:F15)/COUNTIF('数据-取费表'!C6:C15,E2)</f>
        <v>47.01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3342</v>
      </c>
      <c r="C25" s="770">
        <f>IF(B25="容积率修正",IF(G3&lt;10,D26,J26),C27)</f>
        <v>0.96020000000000005</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3264</v>
      </c>
      <c r="D26" s="1351">
        <f>IF(E26=G26,F26,IF(G3&lt;10,ROUND(F26+(H26-F26)*(G3-E26)/(G26-E26),4),"——"))</f>
        <v>0.96020000000000005</v>
      </c>
      <c r="E26" s="751">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1">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4" t="s">
        <v>3265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45290</v>
      </c>
      <c r="D30" s="2082"/>
      <c r="E30" s="2045"/>
      <c r="F30" s="2083"/>
      <c r="G30" s="2045"/>
      <c r="H30" s="2045"/>
      <c r="I30" s="2045"/>
      <c r="J30" s="2084"/>
      <c r="K30" s="1118"/>
      <c r="L30" s="3350" t="s">
        <v>1936</v>
      </c>
      <c r="M30" s="3351" t="s">
        <v>1990</v>
      </c>
      <c r="N30" s="3351" t="s">
        <v>1991</v>
      </c>
      <c r="O30" s="3351" t="s">
        <v>1992</v>
      </c>
      <c r="P30" s="3351" t="s">
        <v>1993</v>
      </c>
      <c r="Q30" s="3354" t="s">
        <v>3269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2325</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17063</v>
      </c>
      <c r="D33" s="2097">
        <f>'数据-汇总表'!F19</f>
        <v>21093.46</v>
      </c>
      <c r="E33" s="772">
        <f>ROUND(C33*D33/10000,0)</f>
        <v>35992</v>
      </c>
      <c r="F33" s="3345" t="s">
        <v>3267</v>
      </c>
      <c r="G33" s="2098"/>
      <c r="H33" s="2098"/>
      <c r="I33" s="2098"/>
      <c r="J33" s="2099"/>
      <c r="K33" s="1118"/>
      <c r="L33" s="3348" t="s">
        <v>3270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4266</v>
      </c>
      <c r="D34" s="2102"/>
      <c r="E34" s="772">
        <f>ROUND(IF(B25="楼层修正",SUM(V2:V16)*M40,C34*D34/10000),0)</f>
        <v>0</v>
      </c>
      <c r="F34" s="2103" t="s">
        <v>2032</v>
      </c>
      <c r="G34" s="2104"/>
      <c r="H34" s="2104"/>
      <c r="I34" s="2104"/>
      <c r="J34" s="2105"/>
      <c r="K34" s="1118"/>
      <c r="L34" s="3348" t="s">
        <v>3271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4">
        <f>ROUND(D5*C22*C23*C24*C28*F37,0)</f>
        <v>12439</v>
      </c>
      <c r="D37" s="2097"/>
      <c r="E37" s="170">
        <f>ROUND(C37*D37/10000,0)</f>
        <v>0</v>
      </c>
      <c r="F37" s="170">
        <f>SUMIF(修正!A57:A68,G2,修正!B57:B68)</f>
        <v>0.7</v>
      </c>
      <c r="G37" s="170">
        <f>ROUND(IF(E2="工业",C37*$M$42,C37*$M$41),0)</f>
        <v>3110</v>
      </c>
      <c r="H37" s="170">
        <f>D37</f>
        <v>0</v>
      </c>
      <c r="I37" s="170">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4">
        <f>ROUND(D5*C22*C23*C24*C28*F38,0)</f>
        <v>7108</v>
      </c>
      <c r="D38" s="2097"/>
      <c r="E38" s="170">
        <f t="shared" ref="E38:E42" si="4">ROUND(C38*D38/10000,0)</f>
        <v>0</v>
      </c>
      <c r="F38" s="170">
        <f>SUMIF(修正!A57:A68,G2,修正!C57:C68)</f>
        <v>0.4</v>
      </c>
      <c r="G38" s="170">
        <f>ROUND(IF(E2="工业",C38*$M$42,C38*$M$41),0)</f>
        <v>1777</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3266</v>
      </c>
      <c r="C39" s="174">
        <f>ROUND(D5*C22*C23*C24*C28*F39,0)</f>
        <v>5331</v>
      </c>
      <c r="D39" s="2097"/>
      <c r="E39" s="170">
        <f t="shared" si="4"/>
        <v>0</v>
      </c>
      <c r="F39" s="170">
        <f>SUMIF(修正!A57:A68,G2,修正!D57:D68)</f>
        <v>0.3</v>
      </c>
      <c r="G39" s="170">
        <f>ROUND(IF(E2="工业",C39*$M$42,C39*$M$41),0)</f>
        <v>1333</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5331</v>
      </c>
      <c r="D40" s="2097">
        <f>'数据-汇总表'!G19</f>
        <v>10595.380000000001</v>
      </c>
      <c r="E40" s="170">
        <f t="shared" si="4"/>
        <v>5648</v>
      </c>
      <c r="F40" s="174">
        <f>SUMIF(修正!A57:A68,G2,修正!E57:E68)</f>
        <v>0.3</v>
      </c>
      <c r="G40" s="170">
        <f>ROUND(IF(E2="工业",C40*$M$42,C40*$M$41),0)</f>
        <v>1333</v>
      </c>
      <c r="H40" s="170">
        <f t="shared" si="5"/>
        <v>10595.380000000001</v>
      </c>
      <c r="I40" s="170">
        <f t="shared" si="6"/>
        <v>1412</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5331</v>
      </c>
      <c r="D41" s="2097"/>
      <c r="E41" s="170">
        <f t="shared" si="4"/>
        <v>0</v>
      </c>
      <c r="F41" s="174">
        <f>SUMIF(修正!A57:A68,G2,修正!F57:F68)</f>
        <v>0.3</v>
      </c>
      <c r="G41" s="170">
        <f>ROUND(IF(E2="工业",C41*$M$42,C41*$M$41),0)</f>
        <v>1333</v>
      </c>
      <c r="H41" s="170">
        <f t="shared" si="5"/>
        <v>0</v>
      </c>
      <c r="I41" s="170">
        <f t="shared" si="6"/>
        <v>0</v>
      </c>
      <c r="J41" s="2113"/>
      <c r="L41" s="3359" t="s">
        <v>3274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3554</v>
      </c>
      <c r="D42" s="2102">
        <f>'数据-汇总表'!G20</f>
        <v>10270.209999999999</v>
      </c>
      <c r="E42" s="186">
        <f t="shared" si="4"/>
        <v>3650</v>
      </c>
      <c r="F42" s="766">
        <f>SUMIF(修正!A57:A68,G2,修正!G57:G68)</f>
        <v>0.2</v>
      </c>
      <c r="G42" s="186">
        <f>ROUND(IF(E2="工业",C42*$M$42,C42*$M$41),0)</f>
        <v>889</v>
      </c>
      <c r="H42" s="186">
        <f t="shared" si="5"/>
        <v>10270.209999999999</v>
      </c>
      <c r="I42" s="186">
        <f t="shared" si="6"/>
        <v>913</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0.98499999999999999</v>
      </c>
      <c r="D44" s="170" t="s">
        <v>1999</v>
      </c>
      <c r="E44" s="2152">
        <f>G24</f>
        <v>0.05</v>
      </c>
      <c r="F44" s="170" t="s">
        <v>2008</v>
      </c>
      <c r="G44" s="182">
        <f>I24</f>
        <v>47.01</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1.036</v>
      </c>
      <c r="C91" s="3370"/>
      <c r="D91" s="3371"/>
      <c r="E91" s="1813"/>
      <c r="F91" s="1813"/>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5"/>
      <c r="C93" s="2043" t="s">
        <v>3405</v>
      </c>
      <c r="D93" s="3365">
        <f>SUMIF($J$92:$N$92,C93,J93:N93)</f>
        <v>0</v>
      </c>
      <c r="E93" s="3381">
        <f>ROUND(SUM(D93:D101),4)</f>
        <v>3.5999999999999997E-2</v>
      </c>
      <c r="F93" s="1813">
        <f>IF(E2="公共服务",SUMIF(L1:L12,G2,N1:N12),"——")</f>
        <v>9.8000000000000004E-2</v>
      </c>
      <c r="G93" s="3372">
        <f>H93</f>
        <v>1.2200000000000001E-2</v>
      </c>
      <c r="H93" s="3420">
        <f>IFERROR(ROUNDDOWN($F$93*I93/2,4),"——")</f>
        <v>1.2200000000000001E-2</v>
      </c>
      <c r="I93" s="3366">
        <v>0.25</v>
      </c>
      <c r="J93" s="3806">
        <f t="shared" ref="J93:J101" si="27">K93+$G93</f>
        <v>2.4400000000000002E-2</v>
      </c>
      <c r="K93" s="3806">
        <f t="shared" ref="K93:K101" si="28">$L93+$G93</f>
        <v>1.2200000000000001E-2</v>
      </c>
      <c r="L93" s="3806">
        <v>0</v>
      </c>
      <c r="M93" s="3806">
        <f t="shared" ref="M93:N101" si="29">L93-$G93</f>
        <v>-1.2200000000000001E-2</v>
      </c>
      <c r="N93" s="3806">
        <f t="shared" si="29"/>
        <v>-2.4400000000000002E-2</v>
      </c>
    </row>
    <row r="94" spans="1:37" ht="38.25">
      <c r="A94" s="3378" t="s">
        <v>3280</v>
      </c>
      <c r="B94" s="3369" t="str">
        <f>估价对象房地状况!C18</f>
        <v>估价对象周边道路状况、公共交通通达情况、停车便捷程度，综合评价交通便捷度较好</v>
      </c>
      <c r="C94" s="2043" t="s">
        <v>3406</v>
      </c>
      <c r="D94" s="3365">
        <f t="shared" ref="D94:D101" si="30">SUMIF($J$60:$N$60,C94,J94:N94)</f>
        <v>1.2699999999999999E-2</v>
      </c>
      <c r="E94" s="3382"/>
      <c r="F94" s="1813"/>
      <c r="G94" s="3372">
        <f t="shared" ref="G94:G101" si="31">H94</f>
        <v>1.2699999999999999E-2</v>
      </c>
      <c r="H94" s="3420">
        <f>IFERROR(ROUNDDOWN($F$93*I94/2,4),"——")</f>
        <v>1.2699999999999999E-2</v>
      </c>
      <c r="I94" s="3366">
        <v>0.26</v>
      </c>
      <c r="J94" s="3806">
        <f t="shared" si="27"/>
        <v>2.5399999999999999E-2</v>
      </c>
      <c r="K94" s="3806">
        <f t="shared" si="28"/>
        <v>1.2699999999999999E-2</v>
      </c>
      <c r="L94" s="3806">
        <v>0</v>
      </c>
      <c r="M94" s="3806">
        <f t="shared" si="29"/>
        <v>-1.2699999999999999E-2</v>
      </c>
      <c r="N94" s="3806">
        <f t="shared" si="29"/>
        <v>-2.5399999999999999E-2</v>
      </c>
    </row>
    <row r="95" spans="1:37" ht="36">
      <c r="A95" s="3368" t="s">
        <v>3276</v>
      </c>
      <c r="B95" s="3369">
        <f>估价对象房地状况!C19</f>
        <v>0</v>
      </c>
      <c r="C95" s="2043" t="s">
        <v>3405</v>
      </c>
      <c r="D95" s="3365">
        <f t="shared" si="30"/>
        <v>0</v>
      </c>
      <c r="E95" s="3382"/>
      <c r="F95" s="1813"/>
      <c r="G95" s="3372">
        <f t="shared" si="31"/>
        <v>5.3E-3</v>
      </c>
      <c r="H95" s="3420">
        <f t="shared" ref="H95:H101" si="32">IFERROR(ROUNDDOWN($F$93*I95/2,4),"——")</f>
        <v>5.3E-3</v>
      </c>
      <c r="I95" s="3366">
        <v>0.11</v>
      </c>
      <c r="J95" s="3806">
        <f t="shared" si="27"/>
        <v>1.06E-2</v>
      </c>
      <c r="K95" s="3806">
        <f t="shared" si="28"/>
        <v>5.3E-3</v>
      </c>
      <c r="L95" s="3806">
        <v>0</v>
      </c>
      <c r="M95" s="3806">
        <f t="shared" si="29"/>
        <v>-5.3E-3</v>
      </c>
      <c r="N95" s="3806">
        <f t="shared" si="29"/>
        <v>-1.06E-2</v>
      </c>
    </row>
    <row r="96" spans="1:37" ht="36.75">
      <c r="A96" s="3378" t="s">
        <v>3281</v>
      </c>
      <c r="B96" s="3384" t="s">
        <v>3292</v>
      </c>
      <c r="C96" s="2043" t="s">
        <v>3406</v>
      </c>
      <c r="D96" s="3365">
        <f t="shared" si="30"/>
        <v>2.3999999999999998E-3</v>
      </c>
      <c r="E96" s="3382"/>
      <c r="F96" s="1813"/>
      <c r="G96" s="3372">
        <f t="shared" si="31"/>
        <v>2.3999999999999998E-3</v>
      </c>
      <c r="H96" s="3420">
        <f t="shared" si="32"/>
        <v>2.3999999999999998E-3</v>
      </c>
      <c r="I96" s="3366">
        <v>0.05</v>
      </c>
      <c r="J96" s="3806">
        <f t="shared" si="27"/>
        <v>4.7999999999999996E-3</v>
      </c>
      <c r="K96" s="3806">
        <f t="shared" si="28"/>
        <v>2.3999999999999998E-3</v>
      </c>
      <c r="L96" s="3806">
        <v>0</v>
      </c>
      <c r="M96" s="3806">
        <f t="shared" si="29"/>
        <v>-2.3999999999999998E-3</v>
      </c>
      <c r="N96" s="3806">
        <f t="shared" si="29"/>
        <v>-4.7999999999999996E-3</v>
      </c>
    </row>
    <row r="97" spans="1:14" ht="24">
      <c r="A97" s="3378" t="s">
        <v>3282</v>
      </c>
      <c r="B97" s="3369">
        <f>估价对象房地状况!C24</f>
        <v>0</v>
      </c>
      <c r="C97" s="2043" t="s">
        <v>3405</v>
      </c>
      <c r="D97" s="3365">
        <f t="shared" si="30"/>
        <v>0</v>
      </c>
      <c r="E97" s="3382"/>
      <c r="F97" s="1813"/>
      <c r="G97" s="3372">
        <f t="shared" si="31"/>
        <v>2.3999999999999998E-3</v>
      </c>
      <c r="H97" s="3420">
        <f t="shared" si="32"/>
        <v>2.3999999999999998E-3</v>
      </c>
      <c r="I97" s="3366">
        <v>0.05</v>
      </c>
      <c r="J97" s="3806">
        <f t="shared" si="27"/>
        <v>4.7999999999999996E-3</v>
      </c>
      <c r="K97" s="3806">
        <f t="shared" si="28"/>
        <v>2.3999999999999998E-3</v>
      </c>
      <c r="L97" s="3806">
        <v>0</v>
      </c>
      <c r="M97" s="3806">
        <f t="shared" si="29"/>
        <v>-2.3999999999999998E-3</v>
      </c>
      <c r="N97" s="3806">
        <f t="shared" si="29"/>
        <v>-4.7999999999999996E-3</v>
      </c>
    </row>
    <row r="98" spans="1:14" ht="24">
      <c r="A98" s="3378" t="s">
        <v>3283</v>
      </c>
      <c r="B98" s="3385" t="s">
        <v>3293</v>
      </c>
      <c r="C98" s="2043" t="s">
        <v>3406</v>
      </c>
      <c r="D98" s="3365">
        <f t="shared" si="30"/>
        <v>2.8999999999999998E-3</v>
      </c>
      <c r="E98" s="3382"/>
      <c r="F98" s="1813"/>
      <c r="G98" s="3372">
        <f t="shared" si="31"/>
        <v>2.8999999999999998E-3</v>
      </c>
      <c r="H98" s="3420">
        <f t="shared" si="32"/>
        <v>2.8999999999999998E-3</v>
      </c>
      <c r="I98" s="3366">
        <v>0.06</v>
      </c>
      <c r="J98" s="3806">
        <f t="shared" si="27"/>
        <v>5.7999999999999996E-3</v>
      </c>
      <c r="K98" s="3806">
        <f t="shared" si="28"/>
        <v>2.8999999999999998E-3</v>
      </c>
      <c r="L98" s="3806">
        <v>0</v>
      </c>
      <c r="M98" s="3806">
        <f t="shared" si="29"/>
        <v>-2.8999999999999998E-3</v>
      </c>
      <c r="N98" s="3806">
        <f t="shared" si="29"/>
        <v>-5.7999999999999996E-3</v>
      </c>
    </row>
    <row r="99" spans="1:14" ht="25.5">
      <c r="A99" s="3378" t="s">
        <v>3284</v>
      </c>
      <c r="B99" s="3369" t="str">
        <f>估价对象房地状况!C21</f>
        <v>估价对象所在区域公共配套设施齐备情况</v>
      </c>
      <c r="C99" s="2043" t="s">
        <v>3407</v>
      </c>
      <c r="D99" s="3365">
        <f t="shared" si="30"/>
        <v>5.7999999999999996E-3</v>
      </c>
      <c r="E99" s="3382"/>
      <c r="F99" s="1813"/>
      <c r="G99" s="3372">
        <f t="shared" si="31"/>
        <v>2.8999999999999998E-3</v>
      </c>
      <c r="H99" s="3420">
        <f t="shared" si="32"/>
        <v>2.8999999999999998E-3</v>
      </c>
      <c r="I99" s="3366">
        <v>0.06</v>
      </c>
      <c r="J99" s="3806">
        <f t="shared" si="27"/>
        <v>5.7999999999999996E-3</v>
      </c>
      <c r="K99" s="3806">
        <f t="shared" si="28"/>
        <v>2.8999999999999998E-3</v>
      </c>
      <c r="L99" s="3806">
        <v>0</v>
      </c>
      <c r="M99" s="3806">
        <f t="shared" si="29"/>
        <v>-2.8999999999999998E-3</v>
      </c>
      <c r="N99" s="3806">
        <f t="shared" si="29"/>
        <v>-5.7999999999999996E-3</v>
      </c>
    </row>
    <row r="100" spans="1:14" ht="25.5">
      <c r="A100" s="3378" t="s">
        <v>3285</v>
      </c>
      <c r="B100" s="3369" t="str">
        <f>估价对象房地状况!C22</f>
        <v>估价对象所在区域基础设施水平</v>
      </c>
      <c r="C100" s="2043" t="s">
        <v>3407</v>
      </c>
      <c r="D100" s="3365">
        <f t="shared" si="30"/>
        <v>8.8000000000000005E-3</v>
      </c>
      <c r="E100" s="3382"/>
      <c r="F100" s="1813"/>
      <c r="G100" s="3372">
        <f t="shared" si="31"/>
        <v>4.4000000000000003E-3</v>
      </c>
      <c r="H100" s="3420">
        <f t="shared" si="32"/>
        <v>4.4000000000000003E-3</v>
      </c>
      <c r="I100" s="3366">
        <v>0.09</v>
      </c>
      <c r="J100" s="3806">
        <f t="shared" si="27"/>
        <v>8.8000000000000005E-3</v>
      </c>
      <c r="K100" s="3806">
        <f t="shared" si="28"/>
        <v>4.4000000000000003E-3</v>
      </c>
      <c r="L100" s="3806">
        <v>0</v>
      </c>
      <c r="M100" s="3806">
        <f t="shared" si="29"/>
        <v>-4.4000000000000003E-3</v>
      </c>
      <c r="N100" s="3806">
        <f t="shared" si="29"/>
        <v>-8.8000000000000005E-3</v>
      </c>
    </row>
    <row r="101" spans="1:14" ht="26.25" thickBot="1">
      <c r="A101" s="3379" t="s">
        <v>3286</v>
      </c>
      <c r="B101" s="3386" t="str">
        <f>估价对象房地状况!C20</f>
        <v>区域自然环境：；人文环境；综合评价环境状况一般</v>
      </c>
      <c r="C101" s="2043" t="s">
        <v>3406</v>
      </c>
      <c r="D101" s="3365">
        <f t="shared" si="30"/>
        <v>3.3999999999999998E-3</v>
      </c>
      <c r="E101" s="3383"/>
      <c r="F101" s="1813"/>
      <c r="G101" s="3372">
        <f t="shared" si="31"/>
        <v>3.3999999999999998E-3</v>
      </c>
      <c r="H101" s="3420">
        <f t="shared" si="32"/>
        <v>3.3999999999999998E-3</v>
      </c>
      <c r="I101" s="3367">
        <v>7.0000000000000007E-2</v>
      </c>
      <c r="J101" s="3806">
        <f t="shared" si="27"/>
        <v>6.7999999999999996E-3</v>
      </c>
      <c r="K101" s="3806">
        <f t="shared" si="28"/>
        <v>3.3999999999999998E-3</v>
      </c>
      <c r="L101" s="3806">
        <v>0</v>
      </c>
      <c r="M101" s="3806">
        <f t="shared" si="29"/>
        <v>-3.3999999999999998E-3</v>
      </c>
      <c r="N101" s="3806">
        <f t="shared" si="29"/>
        <v>-6.7999999999999996E-3</v>
      </c>
    </row>
    <row r="103" spans="1:14">
      <c r="A103" s="3766" t="s">
        <v>3301</v>
      </c>
      <c r="B103" s="3766"/>
      <c r="C103" s="3766"/>
      <c r="D103" s="3766"/>
      <c r="E103" s="3766"/>
      <c r="F103" s="3766"/>
      <c r="G103" s="3766"/>
      <c r="H103" s="3766"/>
      <c r="I103" s="3766"/>
      <c r="J103" s="3766"/>
      <c r="K103" s="3389"/>
      <c r="L103" s="3389"/>
      <c r="M103" s="3389"/>
      <c r="N103" s="3389"/>
    </row>
    <row r="104" spans="1:14">
      <c r="A104" s="3767" t="s">
        <v>3302</v>
      </c>
      <c r="B104" s="3767" t="s">
        <v>3303</v>
      </c>
      <c r="C104" s="3390" t="s">
        <v>3304</v>
      </c>
      <c r="D104" s="3391"/>
      <c r="E104" s="3391"/>
      <c r="F104" s="3391"/>
      <c r="G104" s="3391"/>
      <c r="H104" s="3391"/>
      <c r="I104" s="3391"/>
      <c r="J104" s="3392"/>
      <c r="K104" s="3393"/>
      <c r="L104" s="3393"/>
      <c r="M104" s="3393"/>
      <c r="N104" s="3393"/>
    </row>
    <row r="105" spans="1:14">
      <c r="A105" s="3767"/>
      <c r="B105" s="3767"/>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53"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3275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6" t="s">
        <v>3318</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3.18</v>
      </c>
      <c r="C116" s="3399" t="s">
        <v>3320</v>
      </c>
      <c r="D116" s="3400">
        <f>SUMPRODUCT((A118:A122=F116)*(B117:M117=H116)*B118:M122)</f>
        <v>0.90669999999999995</v>
      </c>
      <c r="E116" s="1999" t="s">
        <v>3321</v>
      </c>
      <c r="F116" s="3401" t="str">
        <f>E2</f>
        <v>公共服务</v>
      </c>
      <c r="G116" s="1999" t="s">
        <v>3322</v>
      </c>
      <c r="H116" s="3401" t="str">
        <f>G2</f>
        <v>二级</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0.96179999999999999</v>
      </c>
      <c r="C118" s="3387">
        <f>B118</f>
        <v>0.96179999999999999</v>
      </c>
      <c r="D118" s="3387">
        <f>ROUND(0.949-0.014*B116,4)</f>
        <v>0.90449999999999997</v>
      </c>
      <c r="E118" s="3387">
        <f>D118</f>
        <v>0.90449999999999997</v>
      </c>
      <c r="F118" s="3387">
        <f>E118</f>
        <v>0.90449999999999997</v>
      </c>
      <c r="G118" s="3387">
        <f>F118</f>
        <v>0.90449999999999997</v>
      </c>
      <c r="H118" s="3387">
        <f>G118</f>
        <v>0.90449999999999997</v>
      </c>
      <c r="I118" s="3387">
        <f>ROUND(0.8486-0.018*B116,4)</f>
        <v>0.79139999999999999</v>
      </c>
      <c r="J118" s="3387">
        <f t="shared" ref="J118:M122" si="36">I118</f>
        <v>0.79139999999999999</v>
      </c>
      <c r="K118" s="3387">
        <f t="shared" si="36"/>
        <v>0.79139999999999999</v>
      </c>
      <c r="L118" s="3387">
        <f t="shared" si="36"/>
        <v>0.79139999999999999</v>
      </c>
      <c r="M118" s="3410">
        <f t="shared" si="36"/>
        <v>0.79139999999999999</v>
      </c>
      <c r="N118" s="3397"/>
    </row>
    <row r="119" spans="1:14">
      <c r="A119" s="3409" t="s">
        <v>3336</v>
      </c>
      <c r="B119" s="3387">
        <f>ROUND(0.993-0.0112*B116,4)</f>
        <v>0.95740000000000003</v>
      </c>
      <c r="C119" s="3387">
        <f>B119</f>
        <v>0.95740000000000003</v>
      </c>
      <c r="D119" s="3387">
        <f>ROUND(0.9415-0.0142*B116,4)</f>
        <v>0.89629999999999999</v>
      </c>
      <c r="E119" s="3387">
        <f t="shared" ref="E119:H120" si="37">D119</f>
        <v>0.89629999999999999</v>
      </c>
      <c r="F119" s="3387">
        <f t="shared" si="37"/>
        <v>0.89629999999999999</v>
      </c>
      <c r="G119" s="3387">
        <f t="shared" si="37"/>
        <v>0.89629999999999999</v>
      </c>
      <c r="H119" s="3387">
        <f t="shared" si="37"/>
        <v>0.89629999999999999</v>
      </c>
      <c r="I119" s="3387">
        <f>ROUND(0.838-0.0182*B116,4)</f>
        <v>0.78010000000000002</v>
      </c>
      <c r="J119" s="3387">
        <f t="shared" si="36"/>
        <v>0.78010000000000002</v>
      </c>
      <c r="K119" s="3387">
        <f t="shared" si="36"/>
        <v>0.78010000000000002</v>
      </c>
      <c r="L119" s="3387">
        <f t="shared" si="36"/>
        <v>0.78010000000000002</v>
      </c>
      <c r="M119" s="3410">
        <f t="shared" si="36"/>
        <v>0.78010000000000002</v>
      </c>
      <c r="N119" s="3397"/>
    </row>
    <row r="120" spans="1:14">
      <c r="A120" s="3409" t="s">
        <v>3337</v>
      </c>
      <c r="B120" s="3387">
        <f>ROUND(0.9448-0.0115*B116,4)</f>
        <v>0.90820000000000001</v>
      </c>
      <c r="C120" s="3387">
        <f>B120</f>
        <v>0.90820000000000001</v>
      </c>
      <c r="D120" s="3387">
        <f>ROUND(0.937-0.0145*B116,4)</f>
        <v>0.89090000000000003</v>
      </c>
      <c r="E120" s="3387">
        <f t="shared" si="37"/>
        <v>0.89090000000000003</v>
      </c>
      <c r="F120" s="3387">
        <f t="shared" si="37"/>
        <v>0.89090000000000003</v>
      </c>
      <c r="G120" s="3387">
        <f t="shared" si="37"/>
        <v>0.89090000000000003</v>
      </c>
      <c r="H120" s="3387">
        <f t="shared" si="37"/>
        <v>0.89090000000000003</v>
      </c>
      <c r="I120" s="3387">
        <f>ROUND(0.7965-0.0185*B116,4)</f>
        <v>0.73770000000000002</v>
      </c>
      <c r="J120" s="3387">
        <f t="shared" si="36"/>
        <v>0.73770000000000002</v>
      </c>
      <c r="K120" s="3387">
        <f t="shared" si="36"/>
        <v>0.73770000000000002</v>
      </c>
      <c r="L120" s="3387">
        <f t="shared" si="36"/>
        <v>0.73770000000000002</v>
      </c>
      <c r="M120" s="3410">
        <f t="shared" si="36"/>
        <v>0.73770000000000002</v>
      </c>
      <c r="N120" s="3397"/>
    </row>
    <row r="121" spans="1:14" ht="13.5" thickBot="1">
      <c r="A121" s="3411" t="s">
        <v>3338</v>
      </c>
      <c r="B121" s="3412">
        <f>ROUND(0.7836-0.012*B116,4)</f>
        <v>0.74539999999999995</v>
      </c>
      <c r="C121" s="3412">
        <f>B121</f>
        <v>0.74539999999999995</v>
      </c>
      <c r="D121" s="3412">
        <f>ROUND(0.753-0.015*B116,4)</f>
        <v>0.70530000000000004</v>
      </c>
      <c r="E121" s="3412">
        <f>D121</f>
        <v>0.70530000000000004</v>
      </c>
      <c r="F121" s="3412">
        <f>E121</f>
        <v>0.70530000000000004</v>
      </c>
      <c r="G121" s="3412">
        <f>ROUND(0.6612-0.018*B116,4)</f>
        <v>0.60399999999999998</v>
      </c>
      <c r="H121" s="3412">
        <f>G121</f>
        <v>0.60399999999999998</v>
      </c>
      <c r="I121" s="3412">
        <f>ROUND(0.5905-0.019*B116,4)</f>
        <v>0.53010000000000002</v>
      </c>
      <c r="J121" s="3412">
        <f t="shared" si="36"/>
        <v>0.53010000000000002</v>
      </c>
      <c r="K121" s="3412">
        <f t="shared" si="36"/>
        <v>0.53010000000000002</v>
      </c>
      <c r="L121" s="3412">
        <f t="shared" si="36"/>
        <v>0.53010000000000002</v>
      </c>
      <c r="M121" s="3413">
        <f t="shared" si="36"/>
        <v>0.53010000000000002</v>
      </c>
      <c r="N121" s="3397"/>
    </row>
    <row r="122" spans="1:14">
      <c r="A122" s="3414" t="s">
        <v>2615</v>
      </c>
      <c r="B122" s="3387">
        <f>ROUND(0.9404-0.0106*B116,4)</f>
        <v>0.90669999999999995</v>
      </c>
      <c r="C122" s="3387">
        <f>B122</f>
        <v>0.90669999999999995</v>
      </c>
      <c r="D122" s="3387">
        <f>ROUND(0.8955-0.0135*B116,4)</f>
        <v>0.85260000000000002</v>
      </c>
      <c r="E122" s="3387">
        <f t="shared" ref="E122:H122" si="38">D122</f>
        <v>0.85260000000000002</v>
      </c>
      <c r="F122" s="3387">
        <f t="shared" si="38"/>
        <v>0.85260000000000002</v>
      </c>
      <c r="G122" s="3387">
        <f t="shared" si="38"/>
        <v>0.85260000000000002</v>
      </c>
      <c r="H122" s="3387">
        <f t="shared" si="38"/>
        <v>0.85260000000000002</v>
      </c>
      <c r="I122" s="3387">
        <f>ROUND(0.7632-0.0166*B116,4)</f>
        <v>0.71040000000000003</v>
      </c>
      <c r="J122" s="3387">
        <f t="shared" si="36"/>
        <v>0.71040000000000003</v>
      </c>
      <c r="K122" s="3387">
        <f t="shared" si="36"/>
        <v>0.71040000000000003</v>
      </c>
      <c r="L122" s="3387">
        <f t="shared" si="36"/>
        <v>0.71040000000000003</v>
      </c>
      <c r="M122" s="3410">
        <f t="shared" si="36"/>
        <v>0.71040000000000003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2"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4"/>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5" t="s">
        <v>2634</v>
      </c>
      <c r="B27" s="3772" t="s">
        <v>2615</v>
      </c>
      <c r="C27" s="3102" t="s">
        <v>2455</v>
      </c>
      <c r="D27" s="3103"/>
      <c r="E27" s="3104">
        <v>1</v>
      </c>
      <c r="F27" s="3105" t="s">
        <v>2456</v>
      </c>
      <c r="G27" s="3105"/>
    </row>
    <row r="28" spans="1:13" ht="19.5" customHeight="1">
      <c r="A28" s="3776"/>
      <c r="B28" s="3773"/>
      <c r="C28" s="3106" t="s">
        <v>2457</v>
      </c>
      <c r="D28" s="3107"/>
      <c r="E28" s="3108">
        <v>1</v>
      </c>
      <c r="F28" s="3105" t="s">
        <v>2458</v>
      </c>
      <c r="G28" s="3105"/>
    </row>
    <row r="29" spans="1:13" ht="19.5" customHeight="1">
      <c r="A29" s="3776"/>
      <c r="B29" s="3773"/>
      <c r="C29" s="3106" t="s">
        <v>2459</v>
      </c>
      <c r="D29" s="3107"/>
      <c r="E29" s="3108">
        <v>0.8</v>
      </c>
      <c r="F29" s="3105" t="s">
        <v>2460</v>
      </c>
      <c r="G29" s="3105"/>
    </row>
    <row r="30" spans="1:13" ht="19.5" customHeight="1">
      <c r="A30" s="3776"/>
      <c r="B30" s="3773"/>
      <c r="C30" s="3106" t="s">
        <v>2461</v>
      </c>
      <c r="D30" s="3107"/>
      <c r="E30" s="3108">
        <v>0.8</v>
      </c>
      <c r="F30" s="3105" t="s">
        <v>2462</v>
      </c>
      <c r="G30" s="3105"/>
    </row>
    <row r="31" spans="1:13" ht="19.5" customHeight="1">
      <c r="A31" s="3776"/>
      <c r="B31" s="3773"/>
      <c r="C31" s="3106" t="s">
        <v>2463</v>
      </c>
      <c r="D31" s="3107"/>
      <c r="E31" s="3108">
        <v>0.8</v>
      </c>
      <c r="F31" s="3105" t="s">
        <v>2464</v>
      </c>
      <c r="G31" s="3105"/>
    </row>
    <row r="32" spans="1:13" ht="19.5" customHeight="1">
      <c r="A32" s="3776"/>
      <c r="B32" s="3773"/>
      <c r="C32" s="3106" t="s">
        <v>2465</v>
      </c>
      <c r="D32" s="3107"/>
      <c r="E32" s="3108">
        <v>0.7</v>
      </c>
      <c r="F32" s="3105" t="s">
        <v>2466</v>
      </c>
      <c r="G32" s="3105"/>
    </row>
    <row r="33" spans="1:7" ht="19.5" customHeight="1">
      <c r="A33" s="3776"/>
      <c r="B33" s="3773"/>
      <c r="C33" s="3106" t="s">
        <v>2467</v>
      </c>
      <c r="D33" s="3107"/>
      <c r="E33" s="3108">
        <v>0.8</v>
      </c>
      <c r="F33" s="3105" t="s">
        <v>2468</v>
      </c>
      <c r="G33" s="3105"/>
    </row>
    <row r="34" spans="1:7" ht="19.5" customHeight="1">
      <c r="A34" s="3776"/>
      <c r="B34" s="3773"/>
      <c r="C34" s="3106" t="s">
        <v>2469</v>
      </c>
      <c r="D34" s="3107"/>
      <c r="E34" s="3108">
        <v>0.6</v>
      </c>
      <c r="F34" s="3105" t="s">
        <v>2470</v>
      </c>
      <c r="G34" s="3105"/>
    </row>
    <row r="35" spans="1:7" ht="19.5" customHeight="1">
      <c r="A35" s="3776"/>
      <c r="B35" s="3773"/>
      <c r="C35" s="3106" t="s">
        <v>2471</v>
      </c>
      <c r="D35" s="3107"/>
      <c r="E35" s="3108">
        <v>0.2</v>
      </c>
      <c r="F35" s="3105" t="s">
        <v>2472</v>
      </c>
      <c r="G35" s="3105"/>
    </row>
    <row r="36" spans="1:7" ht="19.5" customHeight="1">
      <c r="A36" s="3776"/>
      <c r="B36" s="3773"/>
      <c r="C36" s="3106" t="s">
        <v>2473</v>
      </c>
      <c r="D36" s="3107"/>
      <c r="E36" s="3108">
        <v>0.2</v>
      </c>
      <c r="F36" s="3105" t="s">
        <v>2474</v>
      </c>
      <c r="G36" s="3105"/>
    </row>
    <row r="37" spans="1:7" ht="19.5" customHeight="1">
      <c r="A37" s="3776"/>
      <c r="B37" s="3778" t="s">
        <v>2635</v>
      </c>
      <c r="C37" s="3106" t="s">
        <v>2475</v>
      </c>
      <c r="D37" s="3107"/>
      <c r="E37" s="3108">
        <v>0.6</v>
      </c>
      <c r="F37" s="3105" t="s">
        <v>2476</v>
      </c>
      <c r="G37" s="3105"/>
    </row>
    <row r="38" spans="1:7" ht="19.5" customHeight="1">
      <c r="A38" s="3776"/>
      <c r="B38" s="3773"/>
      <c r="C38" s="3106" t="s">
        <v>2477</v>
      </c>
      <c r="D38" s="3107"/>
      <c r="E38" s="3108">
        <v>0.6</v>
      </c>
      <c r="F38" s="3105" t="s">
        <v>2478</v>
      </c>
      <c r="G38" s="3105"/>
    </row>
    <row r="39" spans="1:7" ht="19.5" customHeight="1" thickBot="1">
      <c r="A39" s="3777"/>
      <c r="B39" s="3774"/>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2"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8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8"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4"/>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8"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82"/>
      <c r="C89" s="3091" t="s">
        <v>2687</v>
      </c>
      <c r="D89" s="3091" t="s">
        <v>2688</v>
      </c>
      <c r="E89" s="3117">
        <v>0.1</v>
      </c>
      <c r="F89" s="3117">
        <v>15</v>
      </c>
    </row>
    <row r="90" spans="1:6" ht="13.5">
      <c r="A90" s="3117">
        <v>18</v>
      </c>
      <c r="B90" s="3778"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82"/>
      <c r="C106" s="3091" t="s">
        <v>2722</v>
      </c>
      <c r="D106" s="3091" t="s">
        <v>2723</v>
      </c>
      <c r="E106" s="3117">
        <v>0.1</v>
      </c>
      <c r="F106" s="3117">
        <v>15</v>
      </c>
    </row>
    <row r="107" spans="1:6" ht="24">
      <c r="A107" s="3117">
        <v>35</v>
      </c>
      <c r="B107" s="3778"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82"/>
      <c r="C112" s="3117" t="s">
        <v>2735</v>
      </c>
      <c r="D112" s="3091" t="s">
        <v>2736</v>
      </c>
      <c r="E112" s="3117">
        <v>0.1</v>
      </c>
      <c r="F112" s="3117">
        <v>15</v>
      </c>
    </row>
    <row r="113" spans="1:6" ht="13.5">
      <c r="A113" s="3117">
        <v>41</v>
      </c>
      <c r="B113" s="3783" t="s">
        <v>2737</v>
      </c>
      <c r="C113" s="3117" t="s">
        <v>2738</v>
      </c>
      <c r="D113" s="3091" t="s">
        <v>2739</v>
      </c>
      <c r="E113" s="3117">
        <v>0.1</v>
      </c>
      <c r="F113" s="3117">
        <v>15</v>
      </c>
    </row>
    <row r="114" spans="1:6" ht="13.5">
      <c r="A114" s="3117">
        <v>42</v>
      </c>
      <c r="B114" s="3783"/>
      <c r="C114" s="3117" t="s">
        <v>2740</v>
      </c>
      <c r="D114" s="3091" t="s">
        <v>2741</v>
      </c>
      <c r="E114" s="3117">
        <v>0.1</v>
      </c>
      <c r="F114" s="3117">
        <v>15</v>
      </c>
    </row>
    <row r="115" spans="1:6" ht="24">
      <c r="A115" s="3117">
        <v>43</v>
      </c>
      <c r="B115" s="3783"/>
      <c r="C115" s="3117" t="s">
        <v>2742</v>
      </c>
      <c r="D115" s="3091" t="s">
        <v>2743</v>
      </c>
      <c r="E115" s="3117">
        <v>0.1</v>
      </c>
      <c r="F115" s="3117">
        <v>15</v>
      </c>
    </row>
    <row r="116" spans="1:6" ht="13.5">
      <c r="A116" s="3117">
        <v>44</v>
      </c>
      <c r="B116" s="3778" t="s">
        <v>2744</v>
      </c>
      <c r="C116" s="3117" t="s">
        <v>2745</v>
      </c>
      <c r="D116" s="3091" t="s">
        <v>2746</v>
      </c>
      <c r="E116" s="3117">
        <v>0.1</v>
      </c>
      <c r="F116" s="3117">
        <v>15</v>
      </c>
    </row>
    <row r="117" spans="1:6" ht="24">
      <c r="A117" s="3117">
        <v>45</v>
      </c>
      <c r="B117" s="3782"/>
      <c r="C117" s="3091" t="s">
        <v>2747</v>
      </c>
      <c r="D117" s="3091" t="s">
        <v>2748</v>
      </c>
      <c r="E117" s="3117">
        <v>0.1</v>
      </c>
      <c r="F117" s="3117">
        <v>15</v>
      </c>
    </row>
    <row r="118" spans="1:6" ht="24">
      <c r="A118" s="3117">
        <v>46</v>
      </c>
      <c r="B118" s="3778" t="s">
        <v>2749</v>
      </c>
      <c r="C118" s="3117" t="s">
        <v>2750</v>
      </c>
      <c r="D118" s="3091" t="s">
        <v>2751</v>
      </c>
      <c r="E118" s="3117">
        <v>0.1</v>
      </c>
      <c r="F118" s="3117">
        <v>15</v>
      </c>
    </row>
    <row r="119" spans="1:6" ht="24">
      <c r="A119" s="3117">
        <v>47</v>
      </c>
      <c r="B119" s="3782"/>
      <c r="C119" s="3117" t="s">
        <v>2752</v>
      </c>
      <c r="D119" s="3091" t="s">
        <v>2753</v>
      </c>
      <c r="E119" s="3117">
        <v>0.1</v>
      </c>
      <c r="F119" s="3117">
        <v>15</v>
      </c>
    </row>
    <row r="120" spans="1:6" ht="13.5">
      <c r="A120" s="3117">
        <v>48</v>
      </c>
      <c r="B120" s="3778" t="s">
        <v>2754</v>
      </c>
      <c r="C120" s="3117" t="s">
        <v>2755</v>
      </c>
      <c r="D120" s="3091" t="s">
        <v>2756</v>
      </c>
      <c r="E120" s="3117">
        <v>0.1</v>
      </c>
      <c r="F120" s="3117">
        <v>15</v>
      </c>
    </row>
    <row r="121" spans="1:6" ht="13.5">
      <c r="A121" s="3117">
        <v>49</v>
      </c>
      <c r="B121" s="3782"/>
      <c r="C121" s="3117" t="s">
        <v>2757</v>
      </c>
      <c r="D121" s="3091" t="s">
        <v>2758</v>
      </c>
      <c r="E121" s="3117">
        <v>0.1</v>
      </c>
      <c r="F121" s="3117">
        <v>15</v>
      </c>
    </row>
    <row r="122" spans="1:6" ht="24">
      <c r="A122" s="3117">
        <v>50</v>
      </c>
      <c r="B122" s="3783" t="s">
        <v>2759</v>
      </c>
      <c r="C122" s="3117" t="s">
        <v>2760</v>
      </c>
      <c r="D122" s="3091" t="s">
        <v>2761</v>
      </c>
      <c r="E122" s="3117">
        <v>0.1</v>
      </c>
      <c r="F122" s="3117">
        <v>15</v>
      </c>
    </row>
    <row r="123" spans="1:6" ht="24">
      <c r="A123" s="3117">
        <v>51</v>
      </c>
      <c r="B123" s="3783"/>
      <c r="C123" s="3117" t="s">
        <v>2762</v>
      </c>
      <c r="D123" s="3091" t="s">
        <v>2763</v>
      </c>
      <c r="E123" s="3117">
        <v>0.1</v>
      </c>
      <c r="F123" s="3117">
        <v>15</v>
      </c>
    </row>
    <row r="124" spans="1:6" ht="24">
      <c r="A124" s="3117">
        <v>52</v>
      </c>
      <c r="B124" s="3783" t="s">
        <v>2764</v>
      </c>
      <c r="C124" s="3117" t="s">
        <v>2765</v>
      </c>
      <c r="D124" s="3091" t="s">
        <v>2766</v>
      </c>
      <c r="E124" s="3117">
        <v>0.1</v>
      </c>
      <c r="F124" s="3117">
        <v>15</v>
      </c>
    </row>
    <row r="125" spans="1:6" ht="24">
      <c r="A125" s="3117">
        <v>53</v>
      </c>
      <c r="B125" s="378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3" t="s">
        <v>2772</v>
      </c>
      <c r="C127" s="3117" t="s">
        <v>2773</v>
      </c>
      <c r="D127" s="3091" t="s">
        <v>2774</v>
      </c>
      <c r="E127" s="3117">
        <v>0.1</v>
      </c>
      <c r="F127" s="3117">
        <v>15</v>
      </c>
    </row>
    <row r="128" spans="1:6" ht="13.5">
      <c r="A128" s="3117">
        <v>56</v>
      </c>
      <c r="B128" s="3783"/>
      <c r="C128" s="3117" t="s">
        <v>2775</v>
      </c>
      <c r="D128" s="3091" t="s">
        <v>2776</v>
      </c>
      <c r="E128" s="3117">
        <v>0.1</v>
      </c>
      <c r="F128" s="3117">
        <v>15</v>
      </c>
    </row>
    <row r="129" spans="1:6" ht="24">
      <c r="A129" s="3117">
        <v>57</v>
      </c>
      <c r="B129" s="3783"/>
      <c r="C129" s="3117" t="s">
        <v>2777</v>
      </c>
      <c r="D129" s="3091" t="s">
        <v>2778</v>
      </c>
      <c r="E129" s="3117">
        <v>0.1</v>
      </c>
      <c r="F129" s="3117">
        <v>15</v>
      </c>
    </row>
    <row r="130" spans="1:6" ht="24">
      <c r="A130" s="3117">
        <v>58</v>
      </c>
      <c r="B130" s="3783" t="s">
        <v>2779</v>
      </c>
      <c r="C130" s="3117" t="s">
        <v>2780</v>
      </c>
      <c r="D130" s="3091" t="s">
        <v>2781</v>
      </c>
      <c r="E130" s="3117">
        <v>0.1</v>
      </c>
      <c r="F130" s="3117">
        <v>15</v>
      </c>
    </row>
    <row r="131" spans="1:6" ht="13.5">
      <c r="A131" s="3117">
        <v>59</v>
      </c>
      <c r="B131" s="3783"/>
      <c r="C131" s="3117" t="s">
        <v>2782</v>
      </c>
      <c r="D131" s="3091" t="s">
        <v>2783</v>
      </c>
      <c r="E131" s="3117">
        <v>0.1</v>
      </c>
      <c r="F131" s="3117">
        <v>15</v>
      </c>
    </row>
    <row r="132" spans="1:6" ht="13.5">
      <c r="A132" s="3117">
        <v>60</v>
      </c>
      <c r="B132" s="3778" t="s">
        <v>2784</v>
      </c>
      <c r="C132" s="3117" t="s">
        <v>2785</v>
      </c>
      <c r="D132" s="3091" t="s">
        <v>2786</v>
      </c>
      <c r="E132" s="3117">
        <v>0.1</v>
      </c>
      <c r="F132" s="3117">
        <v>15</v>
      </c>
    </row>
    <row r="133" spans="1:6" ht="13.5">
      <c r="A133" s="3117">
        <v>61</v>
      </c>
      <c r="B133" s="378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3" t="s">
        <v>2792</v>
      </c>
      <c r="C135" s="3117" t="s">
        <v>2793</v>
      </c>
      <c r="D135" s="3091" t="s">
        <v>2794</v>
      </c>
      <c r="E135" s="3117">
        <v>0.1</v>
      </c>
      <c r="F135" s="3117">
        <v>15</v>
      </c>
    </row>
    <row r="136" spans="1:6" ht="13.5">
      <c r="A136" s="3117">
        <v>64</v>
      </c>
      <c r="B136" s="378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167013</v>
      </c>
      <c r="E5" s="1490"/>
    </row>
    <row r="6" spans="1:5" ht="15.75">
      <c r="A6" s="1490"/>
      <c r="B6" s="3465"/>
      <c r="C6" s="1493" t="s">
        <v>911</v>
      </c>
      <c r="D6" s="849" t="str">
        <f ca="1">NUMBERSTRING(INT(D5*10000),2)&amp;"元整"</f>
        <v>壹拾陆亿柒仟零壹拾叁万元整</v>
      </c>
      <c r="E6" s="1490"/>
    </row>
    <row r="7" spans="1:5" ht="15.75">
      <c r="A7" s="1490"/>
      <c r="B7" s="3470"/>
      <c r="C7" s="1494" t="s">
        <v>912</v>
      </c>
      <c r="D7" s="850">
        <f ca="1">结果表!H102</f>
        <v>39328</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167013</v>
      </c>
      <c r="E13" s="1490"/>
    </row>
    <row r="14" spans="1:5" ht="15.75">
      <c r="A14" s="1490"/>
      <c r="B14" s="3465"/>
      <c r="C14" s="1493" t="s">
        <v>911</v>
      </c>
      <c r="D14" s="849" t="str">
        <f ca="1">NUMBERSTRING(INT(D13*10000),2)&amp;"元整"</f>
        <v>壹拾陆亿柒仟零壹拾叁万元整</v>
      </c>
      <c r="E14" s="1490"/>
    </row>
    <row r="15" spans="1:5" ht="15">
      <c r="A15" s="1490"/>
      <c r="B15" s="3470"/>
      <c r="C15" s="1494" t="s">
        <v>921</v>
      </c>
      <c r="D15" s="858">
        <f ca="1">结果表!H108</f>
        <v>39328</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4.抵押净值</v>
      </c>
      <c r="C19" s="1498" t="s">
        <v>910</v>
      </c>
      <c r="D19" s="850">
        <f ca="1">结果表!H111</f>
        <v>166703</v>
      </c>
      <c r="E19" s="1490"/>
    </row>
    <row r="20" spans="1:5" ht="15.75">
      <c r="A20" s="1490"/>
      <c r="B20" s="3465"/>
      <c r="C20" s="1493" t="s">
        <v>923</v>
      </c>
      <c r="D20" s="849" t="str">
        <f ca="1">NUMBERSTRING(INT(D19*10000),2)&amp;"元整"</f>
        <v>壹拾陆亿陆仟柒佰零叁万元整</v>
      </c>
      <c r="E20" s="1490"/>
    </row>
    <row r="21" spans="1:5" ht="15.75" thickBot="1">
      <c r="A21" s="1490"/>
      <c r="B21" s="3466"/>
      <c r="C21" s="1500" t="s">
        <v>921</v>
      </c>
      <c r="D21" s="859">
        <f ca="1">结果表!H112</f>
        <v>39255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422" zoomScaleNormal="100" workbookViewId="0">
      <selection activeCell="K465" sqref="K465"/>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1.0177</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0.96389999999999998</v>
      </c>
      <c r="Q370" s="3141" t="s">
        <v>2807</v>
      </c>
      <c r="R370" s="3141" t="s">
        <v>2808</v>
      </c>
      <c r="S370" s="3141" t="s">
        <v>2809</v>
      </c>
      <c r="T370" s="3141" t="s">
        <v>2810</v>
      </c>
    </row>
    <row r="371" spans="1:20">
      <c r="A371" s="3132">
        <v>1</v>
      </c>
      <c r="B371" s="3133">
        <v>1.1839999999999999</v>
      </c>
      <c r="C371" s="3804">
        <v>1.1839999999999999</v>
      </c>
      <c r="D371" s="3804">
        <v>1.1565000000000001</v>
      </c>
      <c r="E371" s="3133">
        <v>1.1565000000000001</v>
      </c>
      <c r="F371" s="3133">
        <v>1.1565000000000001</v>
      </c>
      <c r="G371" s="3133">
        <v>1.1565000000000001</v>
      </c>
      <c r="H371" s="3133">
        <v>1.1565000000000001</v>
      </c>
      <c r="I371" s="3804">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804">
        <v>1.1658999999999999</v>
      </c>
      <c r="D372" s="3804">
        <v>1.1364000000000001</v>
      </c>
      <c r="E372" s="3133">
        <v>1.1364000000000001</v>
      </c>
      <c r="F372" s="3133">
        <v>1.1364000000000001</v>
      </c>
      <c r="G372" s="3133">
        <v>1.1364000000000001</v>
      </c>
      <c r="H372" s="3133">
        <v>1.1364000000000001</v>
      </c>
      <c r="I372" s="3804">
        <v>1.0931</v>
      </c>
      <c r="J372" s="3133">
        <v>1.0931</v>
      </c>
      <c r="K372" s="3133">
        <v>1.0931</v>
      </c>
      <c r="L372" s="3133">
        <v>1.0931</v>
      </c>
      <c r="M372" s="3134">
        <v>1.0931</v>
      </c>
    </row>
    <row r="373" spans="1:20">
      <c r="A373" s="3132">
        <v>1.2</v>
      </c>
      <c r="B373" s="3133">
        <v>1.1489</v>
      </c>
      <c r="C373" s="3804">
        <v>1.1489</v>
      </c>
      <c r="D373" s="3804">
        <v>1.1174999999999999</v>
      </c>
      <c r="E373" s="3133">
        <v>1.1174999999999999</v>
      </c>
      <c r="F373" s="3133">
        <v>1.1174999999999999</v>
      </c>
      <c r="G373" s="3133">
        <v>1.1174999999999999</v>
      </c>
      <c r="H373" s="3133">
        <v>1.1174999999999999</v>
      </c>
      <c r="I373" s="3804">
        <v>1.0678000000000001</v>
      </c>
      <c r="J373" s="3133">
        <v>1.0678000000000001</v>
      </c>
      <c r="K373" s="3133">
        <v>1.0678000000000001</v>
      </c>
      <c r="L373" s="3133">
        <v>1.0678000000000001</v>
      </c>
      <c r="M373" s="3134">
        <v>1.0678000000000001</v>
      </c>
    </row>
    <row r="374" spans="1:20">
      <c r="A374" s="3132">
        <v>1.3</v>
      </c>
      <c r="B374" s="3133">
        <v>1.1328</v>
      </c>
      <c r="C374" s="3804">
        <v>1.1328</v>
      </c>
      <c r="D374" s="3804">
        <v>1.0995999999999999</v>
      </c>
      <c r="E374" s="3133">
        <v>1.0995999999999999</v>
      </c>
      <c r="F374" s="3133">
        <v>1.0995999999999999</v>
      </c>
      <c r="G374" s="3133">
        <v>1.0995999999999999</v>
      </c>
      <c r="H374" s="3133">
        <v>1.0995999999999999</v>
      </c>
      <c r="I374" s="3804">
        <v>1.044</v>
      </c>
      <c r="J374" s="3133">
        <v>1.044</v>
      </c>
      <c r="K374" s="3133">
        <v>1.044</v>
      </c>
      <c r="L374" s="3133">
        <v>1.044</v>
      </c>
      <c r="M374" s="3134">
        <v>1.044</v>
      </c>
    </row>
    <row r="375" spans="1:20">
      <c r="A375" s="3132">
        <v>1.4</v>
      </c>
      <c r="B375" s="3133">
        <v>1.1175999999999999</v>
      </c>
      <c r="C375" s="3804">
        <v>1.1175999999999999</v>
      </c>
      <c r="D375" s="3804">
        <v>1.0827</v>
      </c>
      <c r="E375" s="3133">
        <v>1.0827</v>
      </c>
      <c r="F375" s="3133">
        <v>1.0827</v>
      </c>
      <c r="G375" s="3133">
        <v>1.0827</v>
      </c>
      <c r="H375" s="3133">
        <v>1.0827</v>
      </c>
      <c r="I375" s="3804">
        <v>1.0214000000000001</v>
      </c>
      <c r="J375" s="3133">
        <v>1.0214000000000001</v>
      </c>
      <c r="K375" s="3133">
        <v>1.0214000000000001</v>
      </c>
      <c r="L375" s="3133">
        <v>1.0214000000000001</v>
      </c>
      <c r="M375" s="3134">
        <v>1.0214000000000001</v>
      </c>
    </row>
    <row r="376" spans="1:20">
      <c r="A376" s="3132">
        <v>1.5</v>
      </c>
      <c r="B376" s="3133">
        <v>1.1032999999999999</v>
      </c>
      <c r="C376" s="3804">
        <v>1.1032999999999999</v>
      </c>
      <c r="D376" s="3804">
        <v>1.0668</v>
      </c>
      <c r="E376" s="3133">
        <v>1.0668</v>
      </c>
      <c r="F376" s="3133">
        <v>1.0668</v>
      </c>
      <c r="G376" s="3133">
        <v>1.0668</v>
      </c>
      <c r="H376" s="3133">
        <v>1.0668</v>
      </c>
      <c r="I376" s="3804">
        <v>1</v>
      </c>
      <c r="J376" s="3133">
        <v>1</v>
      </c>
      <c r="K376" s="3133">
        <v>1</v>
      </c>
      <c r="L376" s="3133">
        <v>1</v>
      </c>
      <c r="M376" s="3134">
        <v>1</v>
      </c>
    </row>
    <row r="377" spans="1:20">
      <c r="A377" s="3132">
        <v>1.6</v>
      </c>
      <c r="B377" s="3133">
        <v>1.0899000000000001</v>
      </c>
      <c r="C377" s="3804">
        <v>1.0899000000000001</v>
      </c>
      <c r="D377" s="3804">
        <v>1.0517000000000001</v>
      </c>
      <c r="E377" s="3133">
        <v>1.0517000000000001</v>
      </c>
      <c r="F377" s="3133">
        <v>1.0517000000000001</v>
      </c>
      <c r="G377" s="3133">
        <v>1.0517000000000001</v>
      </c>
      <c r="H377" s="3133">
        <v>1.0517000000000001</v>
      </c>
      <c r="I377" s="3804">
        <v>0.97989999999999999</v>
      </c>
      <c r="J377" s="3133">
        <v>0.97989999999999999</v>
      </c>
      <c r="K377" s="3133">
        <v>0.97989999999999999</v>
      </c>
      <c r="L377" s="3133">
        <v>0.97989999999999999</v>
      </c>
      <c r="M377" s="3134">
        <v>0.97989999999999999</v>
      </c>
    </row>
    <row r="378" spans="1:20">
      <c r="A378" s="3132">
        <v>1.7</v>
      </c>
      <c r="B378" s="3133">
        <v>1.0771999999999999</v>
      </c>
      <c r="C378" s="3804">
        <v>1.0771999999999999</v>
      </c>
      <c r="D378" s="3804">
        <v>1.0376000000000001</v>
      </c>
      <c r="E378" s="3133">
        <v>1.0376000000000001</v>
      </c>
      <c r="F378" s="3133">
        <v>1.0376000000000001</v>
      </c>
      <c r="G378" s="3133">
        <v>1.0376000000000001</v>
      </c>
      <c r="H378" s="3133">
        <v>1.0376000000000001</v>
      </c>
      <c r="I378" s="3804">
        <v>0.96089999999999998</v>
      </c>
      <c r="J378" s="3133">
        <v>0.96089999999999998</v>
      </c>
      <c r="K378" s="3133">
        <v>0.96089999999999998</v>
      </c>
      <c r="L378" s="3133">
        <v>0.96089999999999998</v>
      </c>
      <c r="M378" s="3134">
        <v>0.96089999999999998</v>
      </c>
    </row>
    <row r="379" spans="1:20">
      <c r="A379" s="3132">
        <v>1.8</v>
      </c>
      <c r="B379" s="3133">
        <v>1.0652999999999999</v>
      </c>
      <c r="C379" s="3804">
        <v>1.0652999999999999</v>
      </c>
      <c r="D379" s="3804">
        <v>1.0243</v>
      </c>
      <c r="E379" s="3133">
        <v>1.0243</v>
      </c>
      <c r="F379" s="3133">
        <v>1.0243</v>
      </c>
      <c r="G379" s="3133">
        <v>1.0243</v>
      </c>
      <c r="H379" s="3133">
        <v>1.0243</v>
      </c>
      <c r="I379" s="3804">
        <v>0.94299999999999995</v>
      </c>
      <c r="J379" s="3133">
        <v>0.94299999999999995</v>
      </c>
      <c r="K379" s="3133">
        <v>0.94299999999999995</v>
      </c>
      <c r="L379" s="3133">
        <v>0.94299999999999995</v>
      </c>
      <c r="M379" s="3134">
        <v>0.94299999999999995</v>
      </c>
    </row>
    <row r="380" spans="1:20">
      <c r="A380" s="3132">
        <v>1.9</v>
      </c>
      <c r="B380" s="3133">
        <v>1.054</v>
      </c>
      <c r="C380" s="3804">
        <v>1.054</v>
      </c>
      <c r="D380" s="3804">
        <v>1.0118</v>
      </c>
      <c r="E380" s="3133">
        <v>1.0118</v>
      </c>
      <c r="F380" s="3133">
        <v>1.0118</v>
      </c>
      <c r="G380" s="3133">
        <v>1.0118</v>
      </c>
      <c r="H380" s="3133">
        <v>1.0118</v>
      </c>
      <c r="I380" s="3804">
        <v>0.92620000000000002</v>
      </c>
      <c r="J380" s="3133">
        <v>0.92620000000000002</v>
      </c>
      <c r="K380" s="3133">
        <v>0.92620000000000002</v>
      </c>
      <c r="L380" s="3133">
        <v>0.92620000000000002</v>
      </c>
      <c r="M380" s="3134">
        <v>0.92620000000000002</v>
      </c>
    </row>
    <row r="381" spans="1:20">
      <c r="A381" s="3132">
        <v>2</v>
      </c>
      <c r="B381" s="3133">
        <v>1.0435000000000001</v>
      </c>
      <c r="C381" s="3804">
        <v>1.0435000000000001</v>
      </c>
      <c r="D381" s="3804">
        <v>1</v>
      </c>
      <c r="E381" s="3133">
        <v>1</v>
      </c>
      <c r="F381" s="3133">
        <v>1</v>
      </c>
      <c r="G381" s="3133">
        <v>1</v>
      </c>
      <c r="H381" s="3133">
        <v>1</v>
      </c>
      <c r="I381" s="3804">
        <v>0.9103</v>
      </c>
      <c r="J381" s="3133">
        <v>0.9103</v>
      </c>
      <c r="K381" s="3133">
        <v>0.9103</v>
      </c>
      <c r="L381" s="3133">
        <v>0.9103</v>
      </c>
      <c r="M381" s="3134">
        <v>0.9103</v>
      </c>
    </row>
    <row r="382" spans="1:20">
      <c r="A382" s="3135">
        <v>2.1</v>
      </c>
      <c r="B382" s="3133">
        <v>1.0336000000000001</v>
      </c>
      <c r="C382" s="3804">
        <v>1.0336000000000001</v>
      </c>
      <c r="D382" s="3804">
        <v>0.98899999999999999</v>
      </c>
      <c r="E382" s="3133">
        <v>0.98899999999999999</v>
      </c>
      <c r="F382" s="3133">
        <v>0.98899999999999999</v>
      </c>
      <c r="G382" s="3133">
        <v>0.98899999999999999</v>
      </c>
      <c r="H382" s="3133">
        <v>0.98899999999999999</v>
      </c>
      <c r="I382" s="3804">
        <v>0.89539999999999997</v>
      </c>
      <c r="J382" s="3133">
        <v>0.89539999999999997</v>
      </c>
      <c r="K382" s="3133">
        <v>0.89539999999999997</v>
      </c>
      <c r="L382" s="3133">
        <v>0.89539999999999997</v>
      </c>
      <c r="M382" s="3134">
        <v>0.89539999999999997</v>
      </c>
    </row>
    <row r="383" spans="1:20">
      <c r="A383" s="3135">
        <v>2.2000000000000002</v>
      </c>
      <c r="B383" s="3133">
        <v>1.0243</v>
      </c>
      <c r="C383" s="3804">
        <v>1.0243</v>
      </c>
      <c r="D383" s="3804">
        <v>0.97860000000000003</v>
      </c>
      <c r="E383" s="3133">
        <v>0.97860000000000003</v>
      </c>
      <c r="F383" s="3133">
        <v>0.97860000000000003</v>
      </c>
      <c r="G383" s="3133">
        <v>0.97860000000000003</v>
      </c>
      <c r="H383" s="3133">
        <v>0.97860000000000003</v>
      </c>
      <c r="I383" s="3804">
        <v>0.88139999999999996</v>
      </c>
      <c r="J383" s="3133">
        <v>0.88139999999999996</v>
      </c>
      <c r="K383" s="3133">
        <v>0.88139999999999996</v>
      </c>
      <c r="L383" s="3133">
        <v>0.88139999999999996</v>
      </c>
      <c r="M383" s="3134">
        <v>0.88139999999999996</v>
      </c>
    </row>
    <row r="384" spans="1:20">
      <c r="A384" s="3135">
        <v>2.2999999999999998</v>
      </c>
      <c r="B384" s="3133">
        <v>1.0157</v>
      </c>
      <c r="C384" s="3804">
        <v>1.0157</v>
      </c>
      <c r="D384" s="3804">
        <v>0.96889999999999998</v>
      </c>
      <c r="E384" s="3133">
        <v>0.96889999999999998</v>
      </c>
      <c r="F384" s="3133">
        <v>0.96889999999999998</v>
      </c>
      <c r="G384" s="3133">
        <v>0.96889999999999998</v>
      </c>
      <c r="H384" s="3133">
        <v>0.96889999999999998</v>
      </c>
      <c r="I384" s="3804">
        <v>0.86819999999999997</v>
      </c>
      <c r="J384" s="3133">
        <v>0.86819999999999997</v>
      </c>
      <c r="K384" s="3133">
        <v>0.86819999999999997</v>
      </c>
      <c r="L384" s="3133">
        <v>0.86819999999999997</v>
      </c>
      <c r="M384" s="3134">
        <v>0.86819999999999997</v>
      </c>
    </row>
    <row r="385" spans="1:13">
      <c r="A385" s="3135">
        <v>2.4</v>
      </c>
      <c r="B385" s="3133">
        <v>1.0076000000000001</v>
      </c>
      <c r="C385" s="3804">
        <v>1.0076000000000001</v>
      </c>
      <c r="D385" s="3804">
        <v>0.95979999999999999</v>
      </c>
      <c r="E385" s="3133">
        <v>0.95979999999999999</v>
      </c>
      <c r="F385" s="3133">
        <v>0.95979999999999999</v>
      </c>
      <c r="G385" s="3133">
        <v>0.95979999999999999</v>
      </c>
      <c r="H385" s="3133">
        <v>0.95979999999999999</v>
      </c>
      <c r="I385" s="3804">
        <v>0.85580000000000001</v>
      </c>
      <c r="J385" s="3133">
        <v>0.85580000000000001</v>
      </c>
      <c r="K385" s="3133">
        <v>0.85580000000000001</v>
      </c>
      <c r="L385" s="3133">
        <v>0.85580000000000001</v>
      </c>
      <c r="M385" s="3134">
        <v>0.85580000000000001</v>
      </c>
    </row>
    <row r="386" spans="1:13">
      <c r="A386" s="3135">
        <v>2.5</v>
      </c>
      <c r="B386" s="3133">
        <v>1</v>
      </c>
      <c r="C386" s="3804">
        <v>1</v>
      </c>
      <c r="D386" s="3804">
        <v>0.95120000000000005</v>
      </c>
      <c r="E386" s="3133">
        <v>0.95120000000000005</v>
      </c>
      <c r="F386" s="3133">
        <v>0.95120000000000005</v>
      </c>
      <c r="G386" s="3133">
        <v>0.95120000000000005</v>
      </c>
      <c r="H386" s="3133">
        <v>0.95120000000000005</v>
      </c>
      <c r="I386" s="3804">
        <v>0.84419999999999995</v>
      </c>
      <c r="J386" s="3133">
        <v>0.84419999999999995</v>
      </c>
      <c r="K386" s="3133">
        <v>0.84419999999999995</v>
      </c>
      <c r="L386" s="3133">
        <v>0.84419999999999995</v>
      </c>
      <c r="M386" s="3134">
        <v>0.84419999999999995</v>
      </c>
    </row>
    <row r="387" spans="1:13">
      <c r="A387" s="3135">
        <v>2.6</v>
      </c>
      <c r="B387" s="3133">
        <v>0.9929</v>
      </c>
      <c r="C387" s="3804">
        <v>0.9929</v>
      </c>
      <c r="D387" s="3804">
        <v>0.94320000000000004</v>
      </c>
      <c r="E387" s="3133">
        <v>0.94320000000000004</v>
      </c>
      <c r="F387" s="3133">
        <v>0.94320000000000004</v>
      </c>
      <c r="G387" s="3133">
        <v>0.94320000000000004</v>
      </c>
      <c r="H387" s="3133">
        <v>0.94320000000000004</v>
      </c>
      <c r="I387" s="3804">
        <v>0.83330000000000004</v>
      </c>
      <c r="J387" s="3133">
        <v>0.83330000000000004</v>
      </c>
      <c r="K387" s="3133">
        <v>0.83330000000000004</v>
      </c>
      <c r="L387" s="3133">
        <v>0.83330000000000004</v>
      </c>
      <c r="M387" s="3134">
        <v>0.83330000000000004</v>
      </c>
    </row>
    <row r="388" spans="1:13">
      <c r="A388" s="3135">
        <v>2.7</v>
      </c>
      <c r="B388" s="3133">
        <v>0.98629999999999995</v>
      </c>
      <c r="C388" s="3804">
        <v>0.98629999999999995</v>
      </c>
      <c r="D388" s="3804">
        <v>0.93569999999999998</v>
      </c>
      <c r="E388" s="3133">
        <v>0.93569999999999998</v>
      </c>
      <c r="F388" s="3133">
        <v>0.93569999999999998</v>
      </c>
      <c r="G388" s="3133">
        <v>0.93569999999999998</v>
      </c>
      <c r="H388" s="3133">
        <v>0.93569999999999998</v>
      </c>
      <c r="I388" s="3804">
        <v>0.82320000000000004</v>
      </c>
      <c r="J388" s="3133">
        <v>0.82320000000000004</v>
      </c>
      <c r="K388" s="3133">
        <v>0.82320000000000004</v>
      </c>
      <c r="L388" s="3133">
        <v>0.82320000000000004</v>
      </c>
      <c r="M388" s="3134">
        <v>0.82320000000000004</v>
      </c>
    </row>
    <row r="389" spans="1:13">
      <c r="A389" s="3135">
        <v>2.8</v>
      </c>
      <c r="B389" s="3133">
        <v>0.98009999999999997</v>
      </c>
      <c r="C389" s="3804">
        <v>0.98009999999999997</v>
      </c>
      <c r="D389" s="3804">
        <v>0.92879999999999996</v>
      </c>
      <c r="E389" s="3133">
        <v>0.92879999999999996</v>
      </c>
      <c r="F389" s="3133">
        <v>0.92879999999999996</v>
      </c>
      <c r="G389" s="3133">
        <v>0.92879999999999996</v>
      </c>
      <c r="H389" s="3133">
        <v>0.92879999999999996</v>
      </c>
      <c r="I389" s="3804">
        <v>0.81359999999999999</v>
      </c>
      <c r="J389" s="3133">
        <v>0.81359999999999999</v>
      </c>
      <c r="K389" s="3133">
        <v>0.81359999999999999</v>
      </c>
      <c r="L389" s="3133">
        <v>0.81359999999999999</v>
      </c>
      <c r="M389" s="3134">
        <v>0.81359999999999999</v>
      </c>
    </row>
    <row r="390" spans="1:13">
      <c r="A390" s="3135">
        <v>2.9</v>
      </c>
      <c r="B390" s="3133">
        <v>0.97430000000000005</v>
      </c>
      <c r="C390" s="3804">
        <v>0.97430000000000005</v>
      </c>
      <c r="D390" s="3804">
        <v>0.92220000000000002</v>
      </c>
      <c r="E390" s="3133">
        <v>0.92220000000000002</v>
      </c>
      <c r="F390" s="3133">
        <v>0.92220000000000002</v>
      </c>
      <c r="G390" s="3133">
        <v>0.92220000000000002</v>
      </c>
      <c r="H390" s="3133">
        <v>0.92220000000000002</v>
      </c>
      <c r="I390" s="3804">
        <v>0.80459999999999998</v>
      </c>
      <c r="J390" s="3133">
        <v>0.80459999999999998</v>
      </c>
      <c r="K390" s="3133">
        <v>0.80459999999999998</v>
      </c>
      <c r="L390" s="3133">
        <v>0.80459999999999998</v>
      </c>
      <c r="M390" s="3134">
        <v>0.80459999999999998</v>
      </c>
    </row>
    <row r="391" spans="1:13">
      <c r="A391" s="3135">
        <v>3</v>
      </c>
      <c r="B391" s="3133">
        <v>0.96889999999999998</v>
      </c>
      <c r="C391" s="3804">
        <v>0.96889999999999998</v>
      </c>
      <c r="D391" s="3804">
        <v>0.91610000000000003</v>
      </c>
      <c r="E391" s="3133">
        <v>0.91610000000000003</v>
      </c>
      <c r="F391" s="3133">
        <v>0.91610000000000003</v>
      </c>
      <c r="G391" s="3133">
        <v>0.91610000000000003</v>
      </c>
      <c r="H391" s="3133">
        <v>0.91610000000000003</v>
      </c>
      <c r="I391" s="3804">
        <v>0.79620000000000002</v>
      </c>
      <c r="J391" s="3133">
        <v>0.79620000000000002</v>
      </c>
      <c r="K391" s="3133">
        <v>0.79620000000000002</v>
      </c>
      <c r="L391" s="3133">
        <v>0.79620000000000002</v>
      </c>
      <c r="M391" s="3134">
        <v>0.79620000000000002</v>
      </c>
    </row>
    <row r="392" spans="1:13">
      <c r="A392" s="3135">
        <v>3.1</v>
      </c>
      <c r="B392" s="3133">
        <v>0.96389999999999998</v>
      </c>
      <c r="C392" s="3804">
        <v>0.96389999999999998</v>
      </c>
      <c r="D392" s="3804">
        <v>0.91039999999999999</v>
      </c>
      <c r="E392" s="3133">
        <v>0.91039999999999999</v>
      </c>
      <c r="F392" s="3133">
        <v>0.91039999999999999</v>
      </c>
      <c r="G392" s="3133">
        <v>0.91039999999999999</v>
      </c>
      <c r="H392" s="3133">
        <v>0.91039999999999999</v>
      </c>
      <c r="I392" s="3804">
        <v>0.7883</v>
      </c>
      <c r="J392" s="3133">
        <v>0.7883</v>
      </c>
      <c r="K392" s="3133">
        <v>0.7883</v>
      </c>
      <c r="L392" s="3133">
        <v>0.7883</v>
      </c>
      <c r="M392" s="3134">
        <v>0.7883</v>
      </c>
    </row>
    <row r="393" spans="1:13">
      <c r="A393" s="3135">
        <v>3.2</v>
      </c>
      <c r="B393" s="3133">
        <v>0.95930000000000004</v>
      </c>
      <c r="C393" s="3804">
        <v>0.95930000000000004</v>
      </c>
      <c r="D393" s="3804">
        <v>0.9052</v>
      </c>
      <c r="E393" s="3133">
        <v>0.9052</v>
      </c>
      <c r="F393" s="3133">
        <v>0.9052</v>
      </c>
      <c r="G393" s="3133">
        <v>0.9052</v>
      </c>
      <c r="H393" s="3133">
        <v>0.9052</v>
      </c>
      <c r="I393" s="3804">
        <v>0.78090000000000004</v>
      </c>
      <c r="J393" s="3133">
        <v>0.78090000000000004</v>
      </c>
      <c r="K393" s="3133">
        <v>0.78090000000000004</v>
      </c>
      <c r="L393" s="3133">
        <v>0.78090000000000004</v>
      </c>
      <c r="M393" s="3134">
        <v>0.78090000000000004</v>
      </c>
    </row>
    <row r="394" spans="1:13">
      <c r="A394" s="3135">
        <v>3.3</v>
      </c>
      <c r="B394" s="3133">
        <v>0.95489999999999997</v>
      </c>
      <c r="C394" s="3804">
        <v>0.95489999999999997</v>
      </c>
      <c r="D394" s="3804">
        <v>0.9002</v>
      </c>
      <c r="E394" s="3133">
        <v>0.9002</v>
      </c>
      <c r="F394" s="3133">
        <v>0.9002</v>
      </c>
      <c r="G394" s="3133">
        <v>0.9002</v>
      </c>
      <c r="H394" s="3133">
        <v>0.9002</v>
      </c>
      <c r="I394" s="3804">
        <v>0.77410000000000001</v>
      </c>
      <c r="J394" s="3133">
        <v>0.77410000000000001</v>
      </c>
      <c r="K394" s="3133">
        <v>0.77410000000000001</v>
      </c>
      <c r="L394" s="3133">
        <v>0.77410000000000001</v>
      </c>
      <c r="M394" s="3134">
        <v>0.77410000000000001</v>
      </c>
    </row>
    <row r="395" spans="1:13">
      <c r="A395" s="3135">
        <v>3.4</v>
      </c>
      <c r="B395" s="3133">
        <v>0.95089999999999997</v>
      </c>
      <c r="C395" s="3804">
        <v>0.95089999999999997</v>
      </c>
      <c r="D395" s="3804">
        <v>0.89559999999999995</v>
      </c>
      <c r="E395" s="3133">
        <v>0.89559999999999995</v>
      </c>
      <c r="F395" s="3133">
        <v>0.89559999999999995</v>
      </c>
      <c r="G395" s="3133">
        <v>0.89559999999999995</v>
      </c>
      <c r="H395" s="3133">
        <v>0.89559999999999995</v>
      </c>
      <c r="I395" s="3804">
        <v>0.76759999999999995</v>
      </c>
      <c r="J395" s="3133">
        <v>0.76759999999999995</v>
      </c>
      <c r="K395" s="3133">
        <v>0.76759999999999995</v>
      </c>
      <c r="L395" s="3133">
        <v>0.76759999999999995</v>
      </c>
      <c r="M395" s="3134">
        <v>0.76759999999999995</v>
      </c>
    </row>
    <row r="396" spans="1:13">
      <c r="A396" s="3135">
        <v>3.5</v>
      </c>
      <c r="B396" s="3133">
        <v>0.94710000000000005</v>
      </c>
      <c r="C396" s="3804">
        <v>0.94710000000000005</v>
      </c>
      <c r="D396" s="3804">
        <v>0.89129999999999998</v>
      </c>
      <c r="E396" s="3133">
        <v>0.89129999999999998</v>
      </c>
      <c r="F396" s="3133">
        <v>0.89129999999999998</v>
      </c>
      <c r="G396" s="3133">
        <v>0.89129999999999998</v>
      </c>
      <c r="H396" s="3133">
        <v>0.89129999999999998</v>
      </c>
      <c r="I396" s="3804">
        <v>0.76160000000000005</v>
      </c>
      <c r="J396" s="3133">
        <v>0.76160000000000005</v>
      </c>
      <c r="K396" s="3133">
        <v>0.76160000000000005</v>
      </c>
      <c r="L396" s="3133">
        <v>0.76160000000000005</v>
      </c>
      <c r="M396" s="3134">
        <v>0.76160000000000005</v>
      </c>
    </row>
    <row r="397" spans="1:13">
      <c r="A397" s="3135">
        <v>3.6</v>
      </c>
      <c r="B397" s="3133">
        <v>0.94359999999999999</v>
      </c>
      <c r="C397" s="3804">
        <v>0.94359999999999999</v>
      </c>
      <c r="D397" s="3804">
        <v>0.88729999999999998</v>
      </c>
      <c r="E397" s="3133">
        <v>0.88729999999999998</v>
      </c>
      <c r="F397" s="3133">
        <v>0.88729999999999998</v>
      </c>
      <c r="G397" s="3133">
        <v>0.88729999999999998</v>
      </c>
      <c r="H397" s="3133">
        <v>0.88729999999999998</v>
      </c>
      <c r="I397" s="3804">
        <v>0.75590000000000002</v>
      </c>
      <c r="J397" s="3133">
        <v>0.75590000000000002</v>
      </c>
      <c r="K397" s="3133">
        <v>0.75590000000000002</v>
      </c>
      <c r="L397" s="3133">
        <v>0.75590000000000002</v>
      </c>
      <c r="M397" s="3134">
        <v>0.75590000000000002</v>
      </c>
    </row>
    <row r="398" spans="1:13">
      <c r="A398" s="3135">
        <v>3.7</v>
      </c>
      <c r="B398" s="3133">
        <v>0.94040000000000001</v>
      </c>
      <c r="C398" s="3804">
        <v>0.94040000000000001</v>
      </c>
      <c r="D398" s="3804">
        <v>0.88349999999999995</v>
      </c>
      <c r="E398" s="3133">
        <v>0.88349999999999995</v>
      </c>
      <c r="F398" s="3133">
        <v>0.88349999999999995</v>
      </c>
      <c r="G398" s="3133">
        <v>0.88349999999999995</v>
      </c>
      <c r="H398" s="3133">
        <v>0.88349999999999995</v>
      </c>
      <c r="I398" s="3804">
        <v>0.75070000000000003</v>
      </c>
      <c r="J398" s="3133">
        <v>0.75070000000000003</v>
      </c>
      <c r="K398" s="3133">
        <v>0.75070000000000003</v>
      </c>
      <c r="L398" s="3133">
        <v>0.75070000000000003</v>
      </c>
      <c r="M398" s="3134">
        <v>0.75070000000000003</v>
      </c>
    </row>
    <row r="399" spans="1:13">
      <c r="A399" s="3135">
        <v>3.8</v>
      </c>
      <c r="B399" s="3133">
        <v>0.93740000000000001</v>
      </c>
      <c r="C399" s="3804">
        <v>0.93740000000000001</v>
      </c>
      <c r="D399" s="3804">
        <v>0.88009999999999999</v>
      </c>
      <c r="E399" s="3133">
        <v>0.88009999999999999</v>
      </c>
      <c r="F399" s="3133">
        <v>0.88009999999999999</v>
      </c>
      <c r="G399" s="3133">
        <v>0.88009999999999999</v>
      </c>
      <c r="H399" s="3133">
        <v>0.88009999999999999</v>
      </c>
      <c r="I399" s="3804">
        <v>0.74570000000000003</v>
      </c>
      <c r="J399" s="3133">
        <v>0.74570000000000003</v>
      </c>
      <c r="K399" s="3133">
        <v>0.74570000000000003</v>
      </c>
      <c r="L399" s="3133">
        <v>0.74570000000000003</v>
      </c>
      <c r="M399" s="3134">
        <v>0.74570000000000003</v>
      </c>
    </row>
    <row r="400" spans="1:13">
      <c r="A400" s="3135">
        <v>3.9</v>
      </c>
      <c r="B400" s="3133">
        <v>0.93459999999999999</v>
      </c>
      <c r="C400" s="3804">
        <v>0.93459999999999999</v>
      </c>
      <c r="D400" s="3804">
        <v>0.87680000000000002</v>
      </c>
      <c r="E400" s="3133">
        <v>0.87680000000000002</v>
      </c>
      <c r="F400" s="3133">
        <v>0.87680000000000002</v>
      </c>
      <c r="G400" s="3133">
        <v>0.87680000000000002</v>
      </c>
      <c r="H400" s="3133">
        <v>0.87680000000000002</v>
      </c>
      <c r="I400" s="3804">
        <v>0.74109999999999998</v>
      </c>
      <c r="J400" s="3133">
        <v>0.74109999999999998</v>
      </c>
      <c r="K400" s="3133">
        <v>0.74109999999999998</v>
      </c>
      <c r="L400" s="3133">
        <v>0.74109999999999998</v>
      </c>
      <c r="M400" s="3134">
        <v>0.74109999999999998</v>
      </c>
    </row>
    <row r="401" spans="1:13">
      <c r="A401" s="3135">
        <v>4</v>
      </c>
      <c r="B401" s="3133">
        <v>0.93179999999999996</v>
      </c>
      <c r="C401" s="3804">
        <v>0.93179999999999996</v>
      </c>
      <c r="D401" s="3804">
        <v>0.87380000000000002</v>
      </c>
      <c r="E401" s="3133">
        <v>0.87380000000000002</v>
      </c>
      <c r="F401" s="3133">
        <v>0.87380000000000002</v>
      </c>
      <c r="G401" s="3133">
        <v>0.87380000000000002</v>
      </c>
      <c r="H401" s="3133">
        <v>0.87380000000000002</v>
      </c>
      <c r="I401" s="3804">
        <v>0.73680000000000001</v>
      </c>
      <c r="J401" s="3133">
        <v>0.73680000000000001</v>
      </c>
      <c r="K401" s="3133">
        <v>0.73680000000000001</v>
      </c>
      <c r="L401" s="3133">
        <v>0.73680000000000001</v>
      </c>
      <c r="M401" s="3134">
        <v>0.73680000000000001</v>
      </c>
    </row>
    <row r="402" spans="1:13">
      <c r="A402" s="3135">
        <v>4.0999999999999996</v>
      </c>
      <c r="B402" s="3133">
        <v>0.92920000000000003</v>
      </c>
      <c r="C402" s="3804">
        <v>0.92920000000000003</v>
      </c>
      <c r="D402" s="3804">
        <v>0.87090000000000001</v>
      </c>
      <c r="E402" s="3133">
        <v>0.87090000000000001</v>
      </c>
      <c r="F402" s="3133">
        <v>0.87090000000000001</v>
      </c>
      <c r="G402" s="3133">
        <v>0.87090000000000001</v>
      </c>
      <c r="H402" s="3133">
        <v>0.87090000000000001</v>
      </c>
      <c r="I402" s="3804">
        <v>0.73270000000000002</v>
      </c>
      <c r="J402" s="3133">
        <v>0.73270000000000002</v>
      </c>
      <c r="K402" s="3133">
        <v>0.73270000000000002</v>
      </c>
      <c r="L402" s="3133">
        <v>0.73270000000000002</v>
      </c>
      <c r="M402" s="3134">
        <v>0.73270000000000002</v>
      </c>
    </row>
    <row r="403" spans="1:13">
      <c r="A403" s="3135">
        <v>4.2</v>
      </c>
      <c r="B403" s="3133">
        <v>0.92659999999999998</v>
      </c>
      <c r="C403" s="3804">
        <v>0.92659999999999998</v>
      </c>
      <c r="D403" s="3804">
        <v>0.86819999999999997</v>
      </c>
      <c r="E403" s="3133">
        <v>0.86819999999999997</v>
      </c>
      <c r="F403" s="3133">
        <v>0.86819999999999997</v>
      </c>
      <c r="G403" s="3133">
        <v>0.86819999999999997</v>
      </c>
      <c r="H403" s="3133">
        <v>0.86819999999999997</v>
      </c>
      <c r="I403" s="3804">
        <v>0.7288</v>
      </c>
      <c r="J403" s="3133">
        <v>0.7288</v>
      </c>
      <c r="K403" s="3133">
        <v>0.7288</v>
      </c>
      <c r="L403" s="3133">
        <v>0.7288</v>
      </c>
      <c r="M403" s="3134">
        <v>0.7288</v>
      </c>
    </row>
    <row r="404" spans="1:13">
      <c r="A404" s="3135">
        <v>4.3</v>
      </c>
      <c r="B404" s="3133">
        <v>0.92410000000000003</v>
      </c>
      <c r="C404" s="3804">
        <v>0.92410000000000003</v>
      </c>
      <c r="D404" s="3804">
        <v>0.86550000000000005</v>
      </c>
      <c r="E404" s="3133">
        <v>0.86550000000000005</v>
      </c>
      <c r="F404" s="3133">
        <v>0.86550000000000005</v>
      </c>
      <c r="G404" s="3133">
        <v>0.86550000000000005</v>
      </c>
      <c r="H404" s="3133">
        <v>0.86550000000000005</v>
      </c>
      <c r="I404" s="3804">
        <v>0.72509999999999997</v>
      </c>
      <c r="J404" s="3133">
        <v>0.72509999999999997</v>
      </c>
      <c r="K404" s="3133">
        <v>0.72509999999999997</v>
      </c>
      <c r="L404" s="3133">
        <v>0.72509999999999997</v>
      </c>
      <c r="M404" s="3134">
        <v>0.72509999999999997</v>
      </c>
    </row>
    <row r="405" spans="1:13">
      <c r="A405" s="3135">
        <v>4.4000000000000004</v>
      </c>
      <c r="B405" s="3133">
        <v>0.92179999999999995</v>
      </c>
      <c r="C405" s="3804">
        <v>0.92179999999999995</v>
      </c>
      <c r="D405" s="3804">
        <v>0.8629</v>
      </c>
      <c r="E405" s="3133">
        <v>0.8629</v>
      </c>
      <c r="F405" s="3133">
        <v>0.8629</v>
      </c>
      <c r="G405" s="3133">
        <v>0.8629</v>
      </c>
      <c r="H405" s="3133">
        <v>0.8629</v>
      </c>
      <c r="I405" s="3804">
        <v>0.72150000000000003</v>
      </c>
      <c r="J405" s="3133">
        <v>0.72150000000000003</v>
      </c>
      <c r="K405" s="3133">
        <v>0.72150000000000003</v>
      </c>
      <c r="L405" s="3133">
        <v>0.72150000000000003</v>
      </c>
      <c r="M405" s="3134">
        <v>0.72150000000000003</v>
      </c>
    </row>
    <row r="406" spans="1:13">
      <c r="A406" s="3135">
        <v>4.5</v>
      </c>
      <c r="B406" s="3133">
        <v>0.91949999999999998</v>
      </c>
      <c r="C406" s="3804">
        <v>0.91949999999999998</v>
      </c>
      <c r="D406" s="3804">
        <v>0.86050000000000004</v>
      </c>
      <c r="E406" s="3133">
        <v>0.86050000000000004</v>
      </c>
      <c r="F406" s="3133">
        <v>0.86050000000000004</v>
      </c>
      <c r="G406" s="3133">
        <v>0.86050000000000004</v>
      </c>
      <c r="H406" s="3133">
        <v>0.86050000000000004</v>
      </c>
      <c r="I406" s="3804">
        <v>0.71819999999999995</v>
      </c>
      <c r="J406" s="3133">
        <v>0.71819999999999995</v>
      </c>
      <c r="K406" s="3133">
        <v>0.71819999999999995</v>
      </c>
      <c r="L406" s="3133">
        <v>0.71819999999999995</v>
      </c>
      <c r="M406" s="3134">
        <v>0.71819999999999995</v>
      </c>
    </row>
    <row r="407" spans="1:13">
      <c r="A407" s="3135">
        <v>4.5999999999999996</v>
      </c>
      <c r="B407" s="3133">
        <v>0.9173</v>
      </c>
      <c r="C407" s="3804">
        <v>0.9173</v>
      </c>
      <c r="D407" s="3804">
        <v>0.85809999999999997</v>
      </c>
      <c r="E407" s="3133">
        <v>0.85809999999999997</v>
      </c>
      <c r="F407" s="3133">
        <v>0.85809999999999997</v>
      </c>
      <c r="G407" s="3133">
        <v>0.85809999999999997</v>
      </c>
      <c r="H407" s="3133">
        <v>0.85809999999999997</v>
      </c>
      <c r="I407" s="3804">
        <v>0.71499999999999997</v>
      </c>
      <c r="J407" s="3133">
        <v>0.71499999999999997</v>
      </c>
      <c r="K407" s="3133">
        <v>0.71499999999999997</v>
      </c>
      <c r="L407" s="3133">
        <v>0.71499999999999997</v>
      </c>
      <c r="M407" s="3134">
        <v>0.71499999999999997</v>
      </c>
    </row>
    <row r="408" spans="1:13">
      <c r="A408" s="3135">
        <v>4.7</v>
      </c>
      <c r="B408" s="3133">
        <v>0.91520000000000001</v>
      </c>
      <c r="C408" s="3804">
        <v>0.91520000000000001</v>
      </c>
      <c r="D408" s="3804">
        <v>0.85570000000000002</v>
      </c>
      <c r="E408" s="3133">
        <v>0.85570000000000002</v>
      </c>
      <c r="F408" s="3133">
        <v>0.85570000000000002</v>
      </c>
      <c r="G408" s="3133">
        <v>0.85570000000000002</v>
      </c>
      <c r="H408" s="3133">
        <v>0.85570000000000002</v>
      </c>
      <c r="I408" s="3804">
        <v>0.71199999999999997</v>
      </c>
      <c r="J408" s="3133">
        <v>0.71199999999999997</v>
      </c>
      <c r="K408" s="3133">
        <v>0.71199999999999997</v>
      </c>
      <c r="L408" s="3133">
        <v>0.71199999999999997</v>
      </c>
      <c r="M408" s="3134">
        <v>0.71199999999999997</v>
      </c>
    </row>
    <row r="409" spans="1:13">
      <c r="A409" s="3135">
        <v>4.8</v>
      </c>
      <c r="B409" s="3133">
        <v>0.91310000000000002</v>
      </c>
      <c r="C409" s="3804">
        <v>0.91310000000000002</v>
      </c>
      <c r="D409" s="3804">
        <v>0.85340000000000005</v>
      </c>
      <c r="E409" s="3133">
        <v>0.85340000000000005</v>
      </c>
      <c r="F409" s="3133">
        <v>0.85340000000000005</v>
      </c>
      <c r="G409" s="3133">
        <v>0.85340000000000005</v>
      </c>
      <c r="H409" s="3133">
        <v>0.85340000000000005</v>
      </c>
      <c r="I409" s="3804">
        <v>0.70909999999999995</v>
      </c>
      <c r="J409" s="3133">
        <v>0.70909999999999995</v>
      </c>
      <c r="K409" s="3133">
        <v>0.70909999999999995</v>
      </c>
      <c r="L409" s="3133">
        <v>0.70909999999999995</v>
      </c>
      <c r="M409" s="3134">
        <v>0.70909999999999995</v>
      </c>
    </row>
    <row r="410" spans="1:13">
      <c r="A410" s="3135">
        <v>4.9000000000000004</v>
      </c>
      <c r="B410" s="3133">
        <v>0.91120000000000001</v>
      </c>
      <c r="C410" s="3804">
        <v>0.91120000000000001</v>
      </c>
      <c r="D410" s="3804">
        <v>0.85109999999999997</v>
      </c>
      <c r="E410" s="3133">
        <v>0.85109999999999997</v>
      </c>
      <c r="F410" s="3133">
        <v>0.85109999999999997</v>
      </c>
      <c r="G410" s="3133">
        <v>0.85109999999999997</v>
      </c>
      <c r="H410" s="3133">
        <v>0.85109999999999997</v>
      </c>
      <c r="I410" s="3804">
        <v>0.70620000000000005</v>
      </c>
      <c r="J410" s="3133">
        <v>0.70620000000000005</v>
      </c>
      <c r="K410" s="3133">
        <v>0.70620000000000005</v>
      </c>
      <c r="L410" s="3133">
        <v>0.70620000000000005</v>
      </c>
      <c r="M410" s="3134">
        <v>0.70620000000000005</v>
      </c>
    </row>
    <row r="411" spans="1:13">
      <c r="A411" s="3135">
        <v>5</v>
      </c>
      <c r="B411" s="3133">
        <v>0.90920000000000001</v>
      </c>
      <c r="C411" s="3804">
        <v>0.90920000000000001</v>
      </c>
      <c r="D411" s="3804">
        <v>0.84889999999999999</v>
      </c>
      <c r="E411" s="3133">
        <v>0.84889999999999999</v>
      </c>
      <c r="F411" s="3133">
        <v>0.84889999999999999</v>
      </c>
      <c r="G411" s="3133">
        <v>0.84889999999999999</v>
      </c>
      <c r="H411" s="3133">
        <v>0.84889999999999999</v>
      </c>
      <c r="I411" s="3804">
        <v>0.70350000000000001</v>
      </c>
      <c r="J411" s="3133">
        <v>0.70350000000000001</v>
      </c>
      <c r="K411" s="3133">
        <v>0.70350000000000001</v>
      </c>
      <c r="L411" s="3133">
        <v>0.70350000000000001</v>
      </c>
      <c r="M411" s="3134">
        <v>0.70350000000000001</v>
      </c>
    </row>
    <row r="412" spans="1:13">
      <c r="A412" s="3132">
        <v>5.0999999999999996</v>
      </c>
      <c r="B412" s="3133">
        <v>0.90720000000000001</v>
      </c>
      <c r="C412" s="3804">
        <v>0.90720000000000001</v>
      </c>
      <c r="D412" s="3804">
        <v>0.84670000000000001</v>
      </c>
      <c r="E412" s="3133">
        <v>0.84670000000000001</v>
      </c>
      <c r="F412" s="3133">
        <v>0.84670000000000001</v>
      </c>
      <c r="G412" s="3133">
        <v>0.84670000000000001</v>
      </c>
      <c r="H412" s="3133">
        <v>0.84670000000000001</v>
      </c>
      <c r="I412" s="3804">
        <v>0.70089999999999997</v>
      </c>
      <c r="J412" s="3133">
        <v>0.70089999999999997</v>
      </c>
      <c r="K412" s="3133">
        <v>0.70089999999999997</v>
      </c>
      <c r="L412" s="3133">
        <v>0.70089999999999997</v>
      </c>
      <c r="M412" s="3134">
        <v>0.70089999999999997</v>
      </c>
    </row>
    <row r="413" spans="1:13">
      <c r="A413" s="3132">
        <v>5.2</v>
      </c>
      <c r="B413" s="3133">
        <v>0.90529999999999999</v>
      </c>
      <c r="C413" s="3804">
        <v>0.90529999999999999</v>
      </c>
      <c r="D413" s="3804">
        <v>0.84450000000000003</v>
      </c>
      <c r="E413" s="3133">
        <v>0.84450000000000003</v>
      </c>
      <c r="F413" s="3133">
        <v>0.84450000000000003</v>
      </c>
      <c r="G413" s="3133">
        <v>0.84450000000000003</v>
      </c>
      <c r="H413" s="3133">
        <v>0.84450000000000003</v>
      </c>
      <c r="I413" s="3804">
        <v>0.69820000000000004</v>
      </c>
      <c r="J413" s="3133">
        <v>0.69820000000000004</v>
      </c>
      <c r="K413" s="3133">
        <v>0.69820000000000004</v>
      </c>
      <c r="L413" s="3133">
        <v>0.69820000000000004</v>
      </c>
      <c r="M413" s="3134">
        <v>0.69820000000000004</v>
      </c>
    </row>
    <row r="414" spans="1:13">
      <c r="A414" s="3132">
        <v>5.3</v>
      </c>
      <c r="B414" s="3133">
        <v>0.90339999999999998</v>
      </c>
      <c r="C414" s="3804">
        <v>0.90339999999999998</v>
      </c>
      <c r="D414" s="3804">
        <v>0.84230000000000005</v>
      </c>
      <c r="E414" s="3133">
        <v>0.84230000000000005</v>
      </c>
      <c r="F414" s="3133">
        <v>0.84230000000000005</v>
      </c>
      <c r="G414" s="3133">
        <v>0.84230000000000005</v>
      </c>
      <c r="H414" s="3133">
        <v>0.84230000000000005</v>
      </c>
      <c r="I414" s="3804">
        <v>0.69569999999999999</v>
      </c>
      <c r="J414" s="3133">
        <v>0.69569999999999999</v>
      </c>
      <c r="K414" s="3133">
        <v>0.69569999999999999</v>
      </c>
      <c r="L414" s="3133">
        <v>0.69569999999999999</v>
      </c>
      <c r="M414" s="3134">
        <v>0.69569999999999999</v>
      </c>
    </row>
    <row r="415" spans="1:13">
      <c r="A415" s="3132">
        <v>5.4</v>
      </c>
      <c r="B415" s="3133">
        <v>0.90149999999999997</v>
      </c>
      <c r="C415" s="3804">
        <v>0.90149999999999997</v>
      </c>
      <c r="D415" s="3804">
        <v>0.84019999999999995</v>
      </c>
      <c r="E415" s="3133">
        <v>0.84019999999999995</v>
      </c>
      <c r="F415" s="3133">
        <v>0.84019999999999995</v>
      </c>
      <c r="G415" s="3133">
        <v>0.84019999999999995</v>
      </c>
      <c r="H415" s="3133">
        <v>0.84019999999999995</v>
      </c>
      <c r="I415" s="3804">
        <v>0.69310000000000005</v>
      </c>
      <c r="J415" s="3133">
        <v>0.69310000000000005</v>
      </c>
      <c r="K415" s="3133">
        <v>0.69310000000000005</v>
      </c>
      <c r="L415" s="3133">
        <v>0.69310000000000005</v>
      </c>
      <c r="M415" s="3134">
        <v>0.69310000000000005</v>
      </c>
    </row>
    <row r="416" spans="1:13">
      <c r="A416" s="3132">
        <v>5.5</v>
      </c>
      <c r="B416" s="3133">
        <v>0.89959999999999996</v>
      </c>
      <c r="C416" s="3804">
        <v>0.89959999999999996</v>
      </c>
      <c r="D416" s="3804">
        <v>0.83809999999999996</v>
      </c>
      <c r="E416" s="3133">
        <v>0.83809999999999996</v>
      </c>
      <c r="F416" s="3133">
        <v>0.83809999999999996</v>
      </c>
      <c r="G416" s="3133">
        <v>0.83809999999999996</v>
      </c>
      <c r="H416" s="3133">
        <v>0.83809999999999996</v>
      </c>
      <c r="I416" s="3804">
        <v>0.69059999999999999</v>
      </c>
      <c r="J416" s="3133">
        <v>0.69059999999999999</v>
      </c>
      <c r="K416" s="3133">
        <v>0.69059999999999999</v>
      </c>
      <c r="L416" s="3133">
        <v>0.69059999999999999</v>
      </c>
      <c r="M416" s="3134">
        <v>0.69059999999999999</v>
      </c>
    </row>
    <row r="417" spans="1:13">
      <c r="A417" s="3132">
        <v>5.6</v>
      </c>
      <c r="B417" s="3133">
        <v>0.89780000000000004</v>
      </c>
      <c r="C417" s="3804">
        <v>0.89780000000000004</v>
      </c>
      <c r="D417" s="3804">
        <v>0.83599999999999997</v>
      </c>
      <c r="E417" s="3133">
        <v>0.83599999999999997</v>
      </c>
      <c r="F417" s="3133">
        <v>0.83599999999999997</v>
      </c>
      <c r="G417" s="3133">
        <v>0.83599999999999997</v>
      </c>
      <c r="H417" s="3133">
        <v>0.83599999999999997</v>
      </c>
      <c r="I417" s="3804">
        <v>0.68810000000000004</v>
      </c>
      <c r="J417" s="3133">
        <v>0.68810000000000004</v>
      </c>
      <c r="K417" s="3133">
        <v>0.68810000000000004</v>
      </c>
      <c r="L417" s="3133">
        <v>0.68810000000000004</v>
      </c>
      <c r="M417" s="3134">
        <v>0.68810000000000004</v>
      </c>
    </row>
    <row r="418" spans="1:13">
      <c r="A418" s="3135">
        <v>5.7</v>
      </c>
      <c r="B418" s="3133">
        <v>0.89600000000000002</v>
      </c>
      <c r="C418" s="3804">
        <v>0.89600000000000002</v>
      </c>
      <c r="D418" s="3804">
        <v>0.83389999999999997</v>
      </c>
      <c r="E418" s="3133">
        <v>0.83389999999999997</v>
      </c>
      <c r="F418" s="3133">
        <v>0.83389999999999997</v>
      </c>
      <c r="G418" s="3133">
        <v>0.83389999999999997</v>
      </c>
      <c r="H418" s="3133">
        <v>0.83389999999999997</v>
      </c>
      <c r="I418" s="3804">
        <v>0.68569999999999998</v>
      </c>
      <c r="J418" s="3133">
        <v>0.68569999999999998</v>
      </c>
      <c r="K418" s="3133">
        <v>0.68569999999999998</v>
      </c>
      <c r="L418" s="3133">
        <v>0.68569999999999998</v>
      </c>
      <c r="M418" s="3134">
        <v>0.68569999999999998</v>
      </c>
    </row>
    <row r="419" spans="1:13">
      <c r="A419" s="3132">
        <v>5.8</v>
      </c>
      <c r="B419" s="3133">
        <v>0.89419999999999999</v>
      </c>
      <c r="C419" s="3804">
        <v>0.89419999999999999</v>
      </c>
      <c r="D419" s="3804">
        <v>0.83189999999999997</v>
      </c>
      <c r="E419" s="3133">
        <v>0.83189999999999997</v>
      </c>
      <c r="F419" s="3133">
        <v>0.83189999999999997</v>
      </c>
      <c r="G419" s="3133">
        <v>0.83189999999999997</v>
      </c>
      <c r="H419" s="3133">
        <v>0.83189999999999997</v>
      </c>
      <c r="I419" s="3804">
        <v>0.68320000000000003</v>
      </c>
      <c r="J419" s="3133">
        <v>0.68320000000000003</v>
      </c>
      <c r="K419" s="3133">
        <v>0.68320000000000003</v>
      </c>
      <c r="L419" s="3133">
        <v>0.68320000000000003</v>
      </c>
      <c r="M419" s="3134">
        <v>0.68320000000000003</v>
      </c>
    </row>
    <row r="420" spans="1:13">
      <c r="A420" s="3132">
        <v>5.9</v>
      </c>
      <c r="B420" s="3133">
        <v>0.89239999999999997</v>
      </c>
      <c r="C420" s="3804">
        <v>0.89239999999999997</v>
      </c>
      <c r="D420" s="3804">
        <v>0.82989999999999997</v>
      </c>
      <c r="E420" s="3133">
        <v>0.82989999999999997</v>
      </c>
      <c r="F420" s="3133">
        <v>0.82989999999999997</v>
      </c>
      <c r="G420" s="3133">
        <v>0.82989999999999997</v>
      </c>
      <c r="H420" s="3133">
        <v>0.82989999999999997</v>
      </c>
      <c r="I420" s="3804">
        <v>0.68069999999999997</v>
      </c>
      <c r="J420" s="3133">
        <v>0.68069999999999997</v>
      </c>
      <c r="K420" s="3133">
        <v>0.68069999999999997</v>
      </c>
      <c r="L420" s="3133">
        <v>0.68069999999999997</v>
      </c>
      <c r="M420" s="3134">
        <v>0.68069999999999997</v>
      </c>
    </row>
    <row r="421" spans="1:13">
      <c r="A421" s="3132">
        <v>6</v>
      </c>
      <c r="B421" s="3133">
        <v>0.89070000000000005</v>
      </c>
      <c r="C421" s="3804">
        <v>0.89070000000000005</v>
      </c>
      <c r="D421" s="3804">
        <v>0.82789999999999997</v>
      </c>
      <c r="E421" s="3133">
        <v>0.82789999999999997</v>
      </c>
      <c r="F421" s="3133">
        <v>0.82789999999999997</v>
      </c>
      <c r="G421" s="3133">
        <v>0.82789999999999997</v>
      </c>
      <c r="H421" s="3133">
        <v>0.82789999999999997</v>
      </c>
      <c r="I421" s="3804">
        <v>0.6784</v>
      </c>
      <c r="J421" s="3133">
        <v>0.6784</v>
      </c>
      <c r="K421" s="3133">
        <v>0.6784</v>
      </c>
      <c r="L421" s="3133">
        <v>0.6784</v>
      </c>
      <c r="M421" s="3134">
        <v>0.6784</v>
      </c>
    </row>
    <row r="422" spans="1:13">
      <c r="A422" s="3132">
        <v>6.1</v>
      </c>
      <c r="B422" s="3133">
        <v>0.88900000000000001</v>
      </c>
      <c r="C422" s="3804">
        <v>0.88900000000000001</v>
      </c>
      <c r="D422" s="3804">
        <v>0.82589999999999997</v>
      </c>
      <c r="E422" s="3133">
        <v>0.82589999999999997</v>
      </c>
      <c r="F422" s="3133">
        <v>0.82589999999999997</v>
      </c>
      <c r="G422" s="3133">
        <v>0.82589999999999997</v>
      </c>
      <c r="H422" s="3133">
        <v>0.82589999999999997</v>
      </c>
      <c r="I422" s="3804">
        <v>0.67600000000000005</v>
      </c>
      <c r="J422" s="3133">
        <v>0.67600000000000005</v>
      </c>
      <c r="K422" s="3133">
        <v>0.67600000000000005</v>
      </c>
      <c r="L422" s="3133">
        <v>0.67600000000000005</v>
      </c>
      <c r="M422" s="3134">
        <v>0.67600000000000005</v>
      </c>
    </row>
    <row r="423" spans="1:13">
      <c r="A423" s="3132">
        <v>6.2</v>
      </c>
      <c r="B423" s="3133">
        <v>0.88729999999999998</v>
      </c>
      <c r="C423" s="3804">
        <v>0.88729999999999998</v>
      </c>
      <c r="D423" s="3804">
        <v>0.82389999999999997</v>
      </c>
      <c r="E423" s="3133">
        <v>0.82389999999999997</v>
      </c>
      <c r="F423" s="3133">
        <v>0.82389999999999997</v>
      </c>
      <c r="G423" s="3133">
        <v>0.82389999999999997</v>
      </c>
      <c r="H423" s="3133">
        <v>0.82389999999999997</v>
      </c>
      <c r="I423" s="3804">
        <v>0.67359999999999998</v>
      </c>
      <c r="J423" s="3133">
        <v>0.67359999999999998</v>
      </c>
      <c r="K423" s="3133">
        <v>0.67359999999999998</v>
      </c>
      <c r="L423" s="3133">
        <v>0.67359999999999998</v>
      </c>
      <c r="M423" s="3134">
        <v>0.67359999999999998</v>
      </c>
    </row>
    <row r="424" spans="1:13">
      <c r="A424" s="3132">
        <v>6.3</v>
      </c>
      <c r="B424" s="3133">
        <v>0.88560000000000005</v>
      </c>
      <c r="C424" s="3804">
        <v>0.88560000000000005</v>
      </c>
      <c r="D424" s="3804">
        <v>0.82189999999999996</v>
      </c>
      <c r="E424" s="3133">
        <v>0.82189999999999996</v>
      </c>
      <c r="F424" s="3133">
        <v>0.82189999999999996</v>
      </c>
      <c r="G424" s="3133">
        <v>0.82189999999999996</v>
      </c>
      <c r="H424" s="3133">
        <v>0.82189999999999996</v>
      </c>
      <c r="I424" s="3804">
        <v>0.67130000000000001</v>
      </c>
      <c r="J424" s="3133">
        <v>0.67130000000000001</v>
      </c>
      <c r="K424" s="3133">
        <v>0.67130000000000001</v>
      </c>
      <c r="L424" s="3133">
        <v>0.67130000000000001</v>
      </c>
      <c r="M424" s="3134">
        <v>0.67130000000000001</v>
      </c>
    </row>
    <row r="425" spans="1:13">
      <c r="A425" s="3132">
        <v>6.4</v>
      </c>
      <c r="B425" s="3133">
        <v>0.88390000000000002</v>
      </c>
      <c r="C425" s="3804">
        <v>0.88390000000000002</v>
      </c>
      <c r="D425" s="3804">
        <v>0.82</v>
      </c>
      <c r="E425" s="3133">
        <v>0.82</v>
      </c>
      <c r="F425" s="3133">
        <v>0.82</v>
      </c>
      <c r="G425" s="3133">
        <v>0.82</v>
      </c>
      <c r="H425" s="3133">
        <v>0.82</v>
      </c>
      <c r="I425" s="3804">
        <v>0.66890000000000005</v>
      </c>
      <c r="J425" s="3133">
        <v>0.66890000000000005</v>
      </c>
      <c r="K425" s="3133">
        <v>0.66890000000000005</v>
      </c>
      <c r="L425" s="3133">
        <v>0.66890000000000005</v>
      </c>
      <c r="M425" s="3134">
        <v>0.66890000000000005</v>
      </c>
    </row>
    <row r="426" spans="1:13">
      <c r="A426" s="3132">
        <v>6.5</v>
      </c>
      <c r="B426" s="3133">
        <v>0.88229999999999997</v>
      </c>
      <c r="C426" s="3804">
        <v>0.88229999999999997</v>
      </c>
      <c r="D426" s="3804">
        <v>0.81810000000000005</v>
      </c>
      <c r="E426" s="3133">
        <v>0.81810000000000005</v>
      </c>
      <c r="F426" s="3133">
        <v>0.81810000000000005</v>
      </c>
      <c r="G426" s="3133">
        <v>0.81810000000000005</v>
      </c>
      <c r="H426" s="3133">
        <v>0.81810000000000005</v>
      </c>
      <c r="I426" s="3804">
        <v>0.66659999999999997</v>
      </c>
      <c r="J426" s="3133">
        <v>0.66659999999999997</v>
      </c>
      <c r="K426" s="3133">
        <v>0.66659999999999997</v>
      </c>
      <c r="L426" s="3133">
        <v>0.66659999999999997</v>
      </c>
      <c r="M426" s="3134">
        <v>0.66659999999999997</v>
      </c>
    </row>
    <row r="427" spans="1:13">
      <c r="A427" s="3132">
        <v>6.6</v>
      </c>
      <c r="B427" s="3133">
        <v>0.88070000000000004</v>
      </c>
      <c r="C427" s="3804">
        <v>0.88070000000000004</v>
      </c>
      <c r="D427" s="3804">
        <v>0.81620000000000004</v>
      </c>
      <c r="E427" s="3133">
        <v>0.81620000000000004</v>
      </c>
      <c r="F427" s="3133">
        <v>0.81620000000000004</v>
      </c>
      <c r="G427" s="3133">
        <v>0.81620000000000004</v>
      </c>
      <c r="H427" s="3133">
        <v>0.81620000000000004</v>
      </c>
      <c r="I427" s="3804">
        <v>0.66439999999999999</v>
      </c>
      <c r="J427" s="3133">
        <v>0.66439999999999999</v>
      </c>
      <c r="K427" s="3133">
        <v>0.66439999999999999</v>
      </c>
      <c r="L427" s="3133">
        <v>0.66439999999999999</v>
      </c>
      <c r="M427" s="3134">
        <v>0.66439999999999999</v>
      </c>
    </row>
    <row r="428" spans="1:13">
      <c r="A428" s="3132">
        <v>6.7</v>
      </c>
      <c r="B428" s="3133">
        <v>0.879</v>
      </c>
      <c r="C428" s="3804">
        <v>0.879</v>
      </c>
      <c r="D428" s="3804">
        <v>0.81430000000000002</v>
      </c>
      <c r="E428" s="3133">
        <v>0.81430000000000002</v>
      </c>
      <c r="F428" s="3133">
        <v>0.81430000000000002</v>
      </c>
      <c r="G428" s="3133">
        <v>0.81430000000000002</v>
      </c>
      <c r="H428" s="3133">
        <v>0.81430000000000002</v>
      </c>
      <c r="I428" s="3804">
        <v>0.66210000000000002</v>
      </c>
      <c r="J428" s="3133">
        <v>0.66210000000000002</v>
      </c>
      <c r="K428" s="3133">
        <v>0.66210000000000002</v>
      </c>
      <c r="L428" s="3133">
        <v>0.66210000000000002</v>
      </c>
      <c r="M428" s="3134">
        <v>0.66210000000000002</v>
      </c>
    </row>
    <row r="429" spans="1:13">
      <c r="A429" s="3132">
        <v>6.8</v>
      </c>
      <c r="B429" s="3133">
        <v>0.87739999999999996</v>
      </c>
      <c r="C429" s="3804">
        <v>0.87739999999999996</v>
      </c>
      <c r="D429" s="3804">
        <v>0.81240000000000001</v>
      </c>
      <c r="E429" s="3133">
        <v>0.81240000000000001</v>
      </c>
      <c r="F429" s="3133">
        <v>0.81240000000000001</v>
      </c>
      <c r="G429" s="3133">
        <v>0.81240000000000001</v>
      </c>
      <c r="H429" s="3133">
        <v>0.81240000000000001</v>
      </c>
      <c r="I429" s="3804">
        <v>0.65980000000000005</v>
      </c>
      <c r="J429" s="3133">
        <v>0.65980000000000005</v>
      </c>
      <c r="K429" s="3133">
        <v>0.65980000000000005</v>
      </c>
      <c r="L429" s="3133">
        <v>0.65980000000000005</v>
      </c>
      <c r="M429" s="3134">
        <v>0.65980000000000005</v>
      </c>
    </row>
    <row r="430" spans="1:13">
      <c r="A430" s="3132">
        <v>6.9</v>
      </c>
      <c r="B430" s="3133">
        <v>0.87580000000000002</v>
      </c>
      <c r="C430" s="3804">
        <v>0.87580000000000002</v>
      </c>
      <c r="D430" s="3804">
        <v>0.8105</v>
      </c>
      <c r="E430" s="3133">
        <v>0.8105</v>
      </c>
      <c r="F430" s="3133">
        <v>0.8105</v>
      </c>
      <c r="G430" s="3133">
        <v>0.8105</v>
      </c>
      <c r="H430" s="3133">
        <v>0.8105</v>
      </c>
      <c r="I430" s="3804">
        <v>0.65749999999999997</v>
      </c>
      <c r="J430" s="3133">
        <v>0.65749999999999997</v>
      </c>
      <c r="K430" s="3133">
        <v>0.65749999999999997</v>
      </c>
      <c r="L430" s="3133">
        <v>0.65749999999999997</v>
      </c>
      <c r="M430" s="3134">
        <v>0.65749999999999997</v>
      </c>
    </row>
    <row r="431" spans="1:13">
      <c r="A431" s="3132">
        <v>7</v>
      </c>
      <c r="B431" s="3133">
        <v>0.87419999999999998</v>
      </c>
      <c r="C431" s="3804">
        <v>0.87419999999999998</v>
      </c>
      <c r="D431" s="3804">
        <v>0.80869999999999997</v>
      </c>
      <c r="E431" s="3133">
        <v>0.80869999999999997</v>
      </c>
      <c r="F431" s="3133">
        <v>0.80869999999999997</v>
      </c>
      <c r="G431" s="3133">
        <v>0.80869999999999997</v>
      </c>
      <c r="H431" s="3133">
        <v>0.80869999999999997</v>
      </c>
      <c r="I431" s="3804">
        <v>0.65529999999999999</v>
      </c>
      <c r="J431" s="3133">
        <v>0.65529999999999999</v>
      </c>
      <c r="K431" s="3133">
        <v>0.65529999999999999</v>
      </c>
      <c r="L431" s="3133">
        <v>0.65529999999999999</v>
      </c>
      <c r="M431" s="3134">
        <v>0.65529999999999999</v>
      </c>
    </row>
    <row r="432" spans="1:13">
      <c r="A432" s="3132">
        <v>7.1</v>
      </c>
      <c r="B432" s="3133">
        <v>0.87270000000000003</v>
      </c>
      <c r="C432" s="3804">
        <v>0.87270000000000003</v>
      </c>
      <c r="D432" s="3804">
        <v>0.80689999999999995</v>
      </c>
      <c r="E432" s="3133">
        <v>0.80689999999999995</v>
      </c>
      <c r="F432" s="3133">
        <v>0.80689999999999995</v>
      </c>
      <c r="G432" s="3133">
        <v>0.80689999999999995</v>
      </c>
      <c r="H432" s="3133">
        <v>0.80689999999999995</v>
      </c>
      <c r="I432" s="3804">
        <v>0.6532</v>
      </c>
      <c r="J432" s="3133">
        <v>0.6532</v>
      </c>
      <c r="K432" s="3133">
        <v>0.6532</v>
      </c>
      <c r="L432" s="3133">
        <v>0.6532</v>
      </c>
      <c r="M432" s="3134">
        <v>0.6532</v>
      </c>
    </row>
    <row r="433" spans="1:13">
      <c r="A433" s="3132">
        <v>7.2</v>
      </c>
      <c r="B433" s="3133">
        <v>0.87119999999999997</v>
      </c>
      <c r="C433" s="3804">
        <v>0.87119999999999997</v>
      </c>
      <c r="D433" s="3804">
        <v>0.80510000000000004</v>
      </c>
      <c r="E433" s="3133">
        <v>0.80510000000000004</v>
      </c>
      <c r="F433" s="3133">
        <v>0.80510000000000004</v>
      </c>
      <c r="G433" s="3133">
        <v>0.80510000000000004</v>
      </c>
      <c r="H433" s="3133">
        <v>0.80510000000000004</v>
      </c>
      <c r="I433" s="3804">
        <v>0.65100000000000002</v>
      </c>
      <c r="J433" s="3133">
        <v>0.65100000000000002</v>
      </c>
      <c r="K433" s="3133">
        <v>0.65100000000000002</v>
      </c>
      <c r="L433" s="3133">
        <v>0.65100000000000002</v>
      </c>
      <c r="M433" s="3134">
        <v>0.65100000000000002</v>
      </c>
    </row>
    <row r="434" spans="1:13">
      <c r="A434" s="3132">
        <v>7.3</v>
      </c>
      <c r="B434" s="3133">
        <v>0.86970000000000003</v>
      </c>
      <c r="C434" s="3804">
        <v>0.86970000000000003</v>
      </c>
      <c r="D434" s="3804">
        <v>0.80330000000000001</v>
      </c>
      <c r="E434" s="3133">
        <v>0.80330000000000001</v>
      </c>
      <c r="F434" s="3133">
        <v>0.80330000000000001</v>
      </c>
      <c r="G434" s="3133">
        <v>0.80330000000000001</v>
      </c>
      <c r="H434" s="3133">
        <v>0.80330000000000001</v>
      </c>
      <c r="I434" s="3804">
        <v>0.64880000000000004</v>
      </c>
      <c r="J434" s="3133">
        <v>0.64880000000000004</v>
      </c>
      <c r="K434" s="3133">
        <v>0.64880000000000004</v>
      </c>
      <c r="L434" s="3133">
        <v>0.64880000000000004</v>
      </c>
      <c r="M434" s="3134">
        <v>0.64880000000000004</v>
      </c>
    </row>
    <row r="435" spans="1:13">
      <c r="A435" s="3132">
        <v>7.4</v>
      </c>
      <c r="B435" s="3133">
        <v>0.86819999999999997</v>
      </c>
      <c r="C435" s="3804">
        <v>0.86819999999999997</v>
      </c>
      <c r="D435" s="3804">
        <v>0.80149999999999999</v>
      </c>
      <c r="E435" s="3133">
        <v>0.80149999999999999</v>
      </c>
      <c r="F435" s="3133">
        <v>0.80149999999999999</v>
      </c>
      <c r="G435" s="3133">
        <v>0.80149999999999999</v>
      </c>
      <c r="H435" s="3133">
        <v>0.80149999999999999</v>
      </c>
      <c r="I435" s="3804">
        <v>0.64659999999999995</v>
      </c>
      <c r="J435" s="3133">
        <v>0.64659999999999995</v>
      </c>
      <c r="K435" s="3133">
        <v>0.64659999999999995</v>
      </c>
      <c r="L435" s="3133">
        <v>0.64659999999999995</v>
      </c>
      <c r="M435" s="3134">
        <v>0.64659999999999995</v>
      </c>
    </row>
    <row r="436" spans="1:13">
      <c r="A436" s="3132">
        <v>7.5</v>
      </c>
      <c r="B436" s="3133">
        <v>0.86660000000000004</v>
      </c>
      <c r="C436" s="3804">
        <v>0.86660000000000004</v>
      </c>
      <c r="D436" s="3804">
        <v>0.79969999999999997</v>
      </c>
      <c r="E436" s="3133">
        <v>0.79969999999999997</v>
      </c>
      <c r="F436" s="3133">
        <v>0.79969999999999997</v>
      </c>
      <c r="G436" s="3133">
        <v>0.79969999999999997</v>
      </c>
      <c r="H436" s="3133">
        <v>0.79969999999999997</v>
      </c>
      <c r="I436" s="3804">
        <v>0.64449999999999996</v>
      </c>
      <c r="J436" s="3133">
        <v>0.64449999999999996</v>
      </c>
      <c r="K436" s="3133">
        <v>0.64449999999999996</v>
      </c>
      <c r="L436" s="3133">
        <v>0.64449999999999996</v>
      </c>
      <c r="M436" s="3134">
        <v>0.64449999999999996</v>
      </c>
    </row>
    <row r="437" spans="1:13">
      <c r="A437" s="3132">
        <v>7.6</v>
      </c>
      <c r="B437" s="3133">
        <v>0.86509999999999998</v>
      </c>
      <c r="C437" s="3804">
        <v>0.86509999999999998</v>
      </c>
      <c r="D437" s="3804">
        <v>0.79800000000000004</v>
      </c>
      <c r="E437" s="3133">
        <v>0.79800000000000004</v>
      </c>
      <c r="F437" s="3133">
        <v>0.79800000000000004</v>
      </c>
      <c r="G437" s="3133">
        <v>0.79800000000000004</v>
      </c>
      <c r="H437" s="3133">
        <v>0.79800000000000004</v>
      </c>
      <c r="I437" s="3804">
        <v>0.64239999999999997</v>
      </c>
      <c r="J437" s="3133">
        <v>0.64239999999999997</v>
      </c>
      <c r="K437" s="3133">
        <v>0.64239999999999997</v>
      </c>
      <c r="L437" s="3133">
        <v>0.64239999999999997</v>
      </c>
      <c r="M437" s="3134">
        <v>0.64239999999999997</v>
      </c>
    </row>
    <row r="438" spans="1:13">
      <c r="A438" s="3132">
        <v>7.7</v>
      </c>
      <c r="B438" s="3133">
        <v>0.86370000000000002</v>
      </c>
      <c r="C438" s="3804">
        <v>0.86370000000000002</v>
      </c>
      <c r="D438" s="3804">
        <v>0.79630000000000001</v>
      </c>
      <c r="E438" s="3133">
        <v>0.79630000000000001</v>
      </c>
      <c r="F438" s="3133">
        <v>0.79630000000000001</v>
      </c>
      <c r="G438" s="3133">
        <v>0.79630000000000001</v>
      </c>
      <c r="H438" s="3133">
        <v>0.79630000000000001</v>
      </c>
      <c r="I438" s="3804">
        <v>0.64029999999999998</v>
      </c>
      <c r="J438" s="3133">
        <v>0.64029999999999998</v>
      </c>
      <c r="K438" s="3133">
        <v>0.64029999999999998</v>
      </c>
      <c r="L438" s="3133">
        <v>0.64029999999999998</v>
      </c>
      <c r="M438" s="3134">
        <v>0.64029999999999998</v>
      </c>
    </row>
    <row r="439" spans="1:13">
      <c r="A439" s="3132">
        <v>7.8</v>
      </c>
      <c r="B439" s="3133">
        <v>0.86229999999999996</v>
      </c>
      <c r="C439" s="3804">
        <v>0.86229999999999996</v>
      </c>
      <c r="D439" s="3804">
        <v>0.79449999999999998</v>
      </c>
      <c r="E439" s="3133">
        <v>0.79449999999999998</v>
      </c>
      <c r="F439" s="3133">
        <v>0.79449999999999998</v>
      </c>
      <c r="G439" s="3133">
        <v>0.79449999999999998</v>
      </c>
      <c r="H439" s="3133">
        <v>0.79449999999999998</v>
      </c>
      <c r="I439" s="3804">
        <v>0.63819999999999999</v>
      </c>
      <c r="J439" s="3133">
        <v>0.63819999999999999</v>
      </c>
      <c r="K439" s="3133">
        <v>0.63819999999999999</v>
      </c>
      <c r="L439" s="3133">
        <v>0.63819999999999999</v>
      </c>
      <c r="M439" s="3134">
        <v>0.63819999999999999</v>
      </c>
    </row>
    <row r="440" spans="1:13">
      <c r="A440" s="3132">
        <v>7.9</v>
      </c>
      <c r="B440" s="3133">
        <v>0.8609</v>
      </c>
      <c r="C440" s="3804">
        <v>0.8609</v>
      </c>
      <c r="D440" s="3804">
        <v>0.79279999999999995</v>
      </c>
      <c r="E440" s="3133">
        <v>0.79279999999999995</v>
      </c>
      <c r="F440" s="3133">
        <v>0.79279999999999995</v>
      </c>
      <c r="G440" s="3133">
        <v>0.79279999999999995</v>
      </c>
      <c r="H440" s="3133">
        <v>0.79279999999999995</v>
      </c>
      <c r="I440" s="3804">
        <v>0.6361</v>
      </c>
      <c r="J440" s="3133">
        <v>0.6361</v>
      </c>
      <c r="K440" s="3133">
        <v>0.6361</v>
      </c>
      <c r="L440" s="3133">
        <v>0.6361</v>
      </c>
      <c r="M440" s="3134">
        <v>0.6361</v>
      </c>
    </row>
    <row r="441" spans="1:13">
      <c r="A441" s="3132">
        <v>8</v>
      </c>
      <c r="B441" s="3133">
        <v>0.85940000000000005</v>
      </c>
      <c r="C441" s="3804">
        <v>0.85940000000000005</v>
      </c>
      <c r="D441" s="3804">
        <v>0.79110000000000003</v>
      </c>
      <c r="E441" s="3133">
        <v>0.79110000000000003</v>
      </c>
      <c r="F441" s="3133">
        <v>0.79110000000000003</v>
      </c>
      <c r="G441" s="3133">
        <v>0.79110000000000003</v>
      </c>
      <c r="H441" s="3133">
        <v>0.79110000000000003</v>
      </c>
      <c r="I441" s="3804">
        <v>0.6341</v>
      </c>
      <c r="J441" s="3133">
        <v>0.6341</v>
      </c>
      <c r="K441" s="3133">
        <v>0.6341</v>
      </c>
      <c r="L441" s="3133">
        <v>0.6341</v>
      </c>
      <c r="M441" s="3134">
        <v>0.6341</v>
      </c>
    </row>
    <row r="442" spans="1:13">
      <c r="A442" s="3132">
        <v>8.1</v>
      </c>
      <c r="B442" s="3133">
        <v>0.85799999999999998</v>
      </c>
      <c r="C442" s="3804">
        <v>0.85799999999999998</v>
      </c>
      <c r="D442" s="3804">
        <v>0.78939999999999999</v>
      </c>
      <c r="E442" s="3133">
        <v>0.78939999999999999</v>
      </c>
      <c r="F442" s="3133">
        <v>0.78939999999999999</v>
      </c>
      <c r="G442" s="3133">
        <v>0.78939999999999999</v>
      </c>
      <c r="H442" s="3133">
        <v>0.78939999999999999</v>
      </c>
      <c r="I442" s="3804">
        <v>0.6321</v>
      </c>
      <c r="J442" s="3133">
        <v>0.6321</v>
      </c>
      <c r="K442" s="3133">
        <v>0.6321</v>
      </c>
      <c r="L442" s="3133">
        <v>0.6321</v>
      </c>
      <c r="M442" s="3134">
        <v>0.6321</v>
      </c>
    </row>
    <row r="443" spans="1:13">
      <c r="A443" s="3132">
        <v>8.1999999999999993</v>
      </c>
      <c r="B443" s="3133">
        <v>0.85660000000000003</v>
      </c>
      <c r="C443" s="3804">
        <v>0.85660000000000003</v>
      </c>
      <c r="D443" s="3804">
        <v>0.78779999999999994</v>
      </c>
      <c r="E443" s="3133">
        <v>0.78779999999999994</v>
      </c>
      <c r="F443" s="3133">
        <v>0.78779999999999994</v>
      </c>
      <c r="G443" s="3133">
        <v>0.78779999999999994</v>
      </c>
      <c r="H443" s="3133">
        <v>0.78779999999999994</v>
      </c>
      <c r="I443" s="3804">
        <v>0.63009999999999999</v>
      </c>
      <c r="J443" s="3133">
        <v>0.63009999999999999</v>
      </c>
      <c r="K443" s="3133">
        <v>0.63009999999999999</v>
      </c>
      <c r="L443" s="3133">
        <v>0.63009999999999999</v>
      </c>
      <c r="M443" s="3134">
        <v>0.63009999999999999</v>
      </c>
    </row>
    <row r="444" spans="1:13">
      <c r="A444" s="3132">
        <v>8.3000000000000007</v>
      </c>
      <c r="B444" s="3133">
        <v>0.85529999999999995</v>
      </c>
      <c r="C444" s="3804">
        <v>0.85529999999999995</v>
      </c>
      <c r="D444" s="3804">
        <v>0.78620000000000001</v>
      </c>
      <c r="E444" s="3133">
        <v>0.78620000000000001</v>
      </c>
      <c r="F444" s="3133">
        <v>0.78620000000000001</v>
      </c>
      <c r="G444" s="3133">
        <v>0.78620000000000001</v>
      </c>
      <c r="H444" s="3133">
        <v>0.78620000000000001</v>
      </c>
      <c r="I444" s="3804">
        <v>0.62809999999999999</v>
      </c>
      <c r="J444" s="3133">
        <v>0.62809999999999999</v>
      </c>
      <c r="K444" s="3133">
        <v>0.62809999999999999</v>
      </c>
      <c r="L444" s="3133">
        <v>0.62809999999999999</v>
      </c>
      <c r="M444" s="3134">
        <v>0.62809999999999999</v>
      </c>
    </row>
    <row r="445" spans="1:13">
      <c r="A445" s="3132">
        <v>8.4</v>
      </c>
      <c r="B445" s="3133">
        <v>0.85389999999999999</v>
      </c>
      <c r="C445" s="3804">
        <v>0.85389999999999999</v>
      </c>
      <c r="D445" s="3804">
        <v>0.78459999999999996</v>
      </c>
      <c r="E445" s="3133">
        <v>0.78459999999999996</v>
      </c>
      <c r="F445" s="3133">
        <v>0.78459999999999996</v>
      </c>
      <c r="G445" s="3133">
        <v>0.78459999999999996</v>
      </c>
      <c r="H445" s="3133">
        <v>0.78459999999999996</v>
      </c>
      <c r="I445" s="3804">
        <v>0.62609999999999999</v>
      </c>
      <c r="J445" s="3133">
        <v>0.62609999999999999</v>
      </c>
      <c r="K445" s="3133">
        <v>0.62609999999999999</v>
      </c>
      <c r="L445" s="3133">
        <v>0.62609999999999999</v>
      </c>
      <c r="M445" s="3134">
        <v>0.62609999999999999</v>
      </c>
    </row>
    <row r="446" spans="1:13">
      <c r="A446" s="3132">
        <v>8.5</v>
      </c>
      <c r="B446" s="3133">
        <v>0.85260000000000002</v>
      </c>
      <c r="C446" s="3804">
        <v>0.85260000000000002</v>
      </c>
      <c r="D446" s="3804">
        <v>0.78290000000000004</v>
      </c>
      <c r="E446" s="3133">
        <v>0.78290000000000004</v>
      </c>
      <c r="F446" s="3133">
        <v>0.78290000000000004</v>
      </c>
      <c r="G446" s="3133">
        <v>0.78290000000000004</v>
      </c>
      <c r="H446" s="3133">
        <v>0.78290000000000004</v>
      </c>
      <c r="I446" s="3804">
        <v>0.62419999999999998</v>
      </c>
      <c r="J446" s="3133">
        <v>0.62419999999999998</v>
      </c>
      <c r="K446" s="3133">
        <v>0.62419999999999998</v>
      </c>
      <c r="L446" s="3133">
        <v>0.62419999999999998</v>
      </c>
      <c r="M446" s="3134">
        <v>0.62419999999999998</v>
      </c>
    </row>
    <row r="447" spans="1:13">
      <c r="A447" s="3132">
        <v>8.6</v>
      </c>
      <c r="B447" s="3133">
        <v>0.85129999999999995</v>
      </c>
      <c r="C447" s="3804">
        <v>0.85129999999999995</v>
      </c>
      <c r="D447" s="3804">
        <v>0.78129999999999999</v>
      </c>
      <c r="E447" s="3133">
        <v>0.78129999999999999</v>
      </c>
      <c r="F447" s="3133">
        <v>0.78129999999999999</v>
      </c>
      <c r="G447" s="3133">
        <v>0.78129999999999999</v>
      </c>
      <c r="H447" s="3133">
        <v>0.78129999999999999</v>
      </c>
      <c r="I447" s="3804">
        <v>0.62229999999999996</v>
      </c>
      <c r="J447" s="3133">
        <v>0.62229999999999996</v>
      </c>
      <c r="K447" s="3133">
        <v>0.62229999999999996</v>
      </c>
      <c r="L447" s="3133">
        <v>0.62229999999999996</v>
      </c>
      <c r="M447" s="3134">
        <v>0.62229999999999996</v>
      </c>
    </row>
    <row r="448" spans="1:13">
      <c r="A448" s="3132">
        <v>8.6999999999999993</v>
      </c>
      <c r="B448" s="3133">
        <v>0.85</v>
      </c>
      <c r="C448" s="3804">
        <v>0.85</v>
      </c>
      <c r="D448" s="3804">
        <v>0.77969999999999995</v>
      </c>
      <c r="E448" s="3133">
        <v>0.77969999999999995</v>
      </c>
      <c r="F448" s="3133">
        <v>0.77969999999999995</v>
      </c>
      <c r="G448" s="3133">
        <v>0.77969999999999995</v>
      </c>
      <c r="H448" s="3133">
        <v>0.77969999999999995</v>
      </c>
      <c r="I448" s="3804">
        <v>0.62039999999999995</v>
      </c>
      <c r="J448" s="3133">
        <v>0.62039999999999995</v>
      </c>
      <c r="K448" s="3133">
        <v>0.62039999999999995</v>
      </c>
      <c r="L448" s="3133">
        <v>0.62039999999999995</v>
      </c>
      <c r="M448" s="3134">
        <v>0.62039999999999995</v>
      </c>
    </row>
    <row r="449" spans="1:13">
      <c r="A449" s="3132">
        <v>8.8000000000000007</v>
      </c>
      <c r="B449" s="3133">
        <v>0.84860000000000002</v>
      </c>
      <c r="C449" s="3804">
        <v>0.84860000000000002</v>
      </c>
      <c r="D449" s="3804">
        <v>0.7782</v>
      </c>
      <c r="E449" s="3133">
        <v>0.7782</v>
      </c>
      <c r="F449" s="3133">
        <v>0.7782</v>
      </c>
      <c r="G449" s="3133">
        <v>0.7782</v>
      </c>
      <c r="H449" s="3133">
        <v>0.7782</v>
      </c>
      <c r="I449" s="3804">
        <v>0.61850000000000005</v>
      </c>
      <c r="J449" s="3133">
        <v>0.61850000000000005</v>
      </c>
      <c r="K449" s="3133">
        <v>0.61850000000000005</v>
      </c>
      <c r="L449" s="3133">
        <v>0.61850000000000005</v>
      </c>
      <c r="M449" s="3134">
        <v>0.61850000000000005</v>
      </c>
    </row>
    <row r="450" spans="1:13">
      <c r="A450" s="3132">
        <v>8.9</v>
      </c>
      <c r="B450" s="3133">
        <v>0.84740000000000004</v>
      </c>
      <c r="C450" s="3804">
        <v>0.84740000000000004</v>
      </c>
      <c r="D450" s="3804">
        <v>0.77669999999999995</v>
      </c>
      <c r="E450" s="3133">
        <v>0.77669999999999995</v>
      </c>
      <c r="F450" s="3133">
        <v>0.77669999999999995</v>
      </c>
      <c r="G450" s="3133">
        <v>0.77669999999999995</v>
      </c>
      <c r="H450" s="3133">
        <v>0.77669999999999995</v>
      </c>
      <c r="I450" s="3804">
        <v>0.61670000000000003</v>
      </c>
      <c r="J450" s="3133">
        <v>0.61670000000000003</v>
      </c>
      <c r="K450" s="3133">
        <v>0.61670000000000003</v>
      </c>
      <c r="L450" s="3133">
        <v>0.61670000000000003</v>
      </c>
      <c r="M450" s="3134">
        <v>0.61670000000000003</v>
      </c>
    </row>
    <row r="451" spans="1:13">
      <c r="A451" s="3135">
        <v>9</v>
      </c>
      <c r="B451" s="3133">
        <v>0.84619999999999995</v>
      </c>
      <c r="C451" s="3804">
        <v>0.84619999999999995</v>
      </c>
      <c r="D451" s="3804">
        <v>0.77510000000000001</v>
      </c>
      <c r="E451" s="3133">
        <v>0.77510000000000001</v>
      </c>
      <c r="F451" s="3133">
        <v>0.77510000000000001</v>
      </c>
      <c r="G451" s="3133">
        <v>0.77510000000000001</v>
      </c>
      <c r="H451" s="3133">
        <v>0.77510000000000001</v>
      </c>
      <c r="I451" s="3804">
        <v>0.61480000000000001</v>
      </c>
      <c r="J451" s="3133">
        <v>0.61480000000000001</v>
      </c>
      <c r="K451" s="3133">
        <v>0.61480000000000001</v>
      </c>
      <c r="L451" s="3133">
        <v>0.61480000000000001</v>
      </c>
      <c r="M451" s="3134">
        <v>0.61480000000000001</v>
      </c>
    </row>
    <row r="452" spans="1:13">
      <c r="A452" s="3135">
        <v>9.1</v>
      </c>
      <c r="B452" s="3133">
        <v>0.84499999999999997</v>
      </c>
      <c r="C452" s="3804">
        <v>0.84499999999999997</v>
      </c>
      <c r="D452" s="3804">
        <v>0.77359999999999995</v>
      </c>
      <c r="E452" s="3133">
        <v>0.77359999999999995</v>
      </c>
      <c r="F452" s="3133">
        <v>0.77359999999999995</v>
      </c>
      <c r="G452" s="3133">
        <v>0.77359999999999995</v>
      </c>
      <c r="H452" s="3133">
        <v>0.77359999999999995</v>
      </c>
      <c r="I452" s="3804">
        <v>0.61299999999999999</v>
      </c>
      <c r="J452" s="3133">
        <v>0.61299999999999999</v>
      </c>
      <c r="K452" s="3133">
        <v>0.61299999999999999</v>
      </c>
      <c r="L452" s="3133">
        <v>0.61299999999999999</v>
      </c>
      <c r="M452" s="3134">
        <v>0.61299999999999999</v>
      </c>
    </row>
    <row r="453" spans="1:13">
      <c r="A453" s="3135">
        <v>9.1999999999999993</v>
      </c>
      <c r="B453" s="3133">
        <v>0.84370000000000001</v>
      </c>
      <c r="C453" s="3804">
        <v>0.84370000000000001</v>
      </c>
      <c r="D453" s="3804">
        <v>0.77210000000000001</v>
      </c>
      <c r="E453" s="3133">
        <v>0.77210000000000001</v>
      </c>
      <c r="F453" s="3133">
        <v>0.77210000000000001</v>
      </c>
      <c r="G453" s="3133">
        <v>0.77210000000000001</v>
      </c>
      <c r="H453" s="3133">
        <v>0.77210000000000001</v>
      </c>
      <c r="I453" s="3804">
        <v>0.61119999999999997</v>
      </c>
      <c r="J453" s="3133">
        <v>0.61119999999999997</v>
      </c>
      <c r="K453" s="3133">
        <v>0.61119999999999997</v>
      </c>
      <c r="L453" s="3133">
        <v>0.61119999999999997</v>
      </c>
      <c r="M453" s="3134">
        <v>0.61119999999999997</v>
      </c>
    </row>
    <row r="454" spans="1:13">
      <c r="A454" s="3135">
        <v>9.3000000000000007</v>
      </c>
      <c r="B454" s="3133">
        <v>0.84250000000000003</v>
      </c>
      <c r="C454" s="3804">
        <v>0.84250000000000003</v>
      </c>
      <c r="D454" s="3804">
        <v>0.77059999999999995</v>
      </c>
      <c r="E454" s="3133">
        <v>0.77059999999999995</v>
      </c>
      <c r="F454" s="3133">
        <v>0.77059999999999995</v>
      </c>
      <c r="G454" s="3133">
        <v>0.77059999999999995</v>
      </c>
      <c r="H454" s="3133">
        <v>0.77059999999999995</v>
      </c>
      <c r="I454" s="3804">
        <v>0.60940000000000005</v>
      </c>
      <c r="J454" s="3133">
        <v>0.60940000000000005</v>
      </c>
      <c r="K454" s="3133">
        <v>0.60940000000000005</v>
      </c>
      <c r="L454" s="3133">
        <v>0.60940000000000005</v>
      </c>
      <c r="M454" s="3134">
        <v>0.60940000000000005</v>
      </c>
    </row>
    <row r="455" spans="1:13">
      <c r="A455" s="3135">
        <v>9.4</v>
      </c>
      <c r="B455" s="3133">
        <v>0.84130000000000005</v>
      </c>
      <c r="C455" s="3804">
        <v>0.84130000000000005</v>
      </c>
      <c r="D455" s="3804">
        <v>0.76900000000000002</v>
      </c>
      <c r="E455" s="3133">
        <v>0.76900000000000002</v>
      </c>
      <c r="F455" s="3133">
        <v>0.76900000000000002</v>
      </c>
      <c r="G455" s="3133">
        <v>0.76900000000000002</v>
      </c>
      <c r="H455" s="3133">
        <v>0.76900000000000002</v>
      </c>
      <c r="I455" s="3804">
        <v>0.60760000000000003</v>
      </c>
      <c r="J455" s="3133">
        <v>0.60760000000000003</v>
      </c>
      <c r="K455" s="3133">
        <v>0.60760000000000003</v>
      </c>
      <c r="L455" s="3133">
        <v>0.60760000000000003</v>
      </c>
      <c r="M455" s="3134">
        <v>0.60760000000000003</v>
      </c>
    </row>
    <row r="456" spans="1:13">
      <c r="A456" s="3135">
        <v>9.5</v>
      </c>
      <c r="B456" s="3133">
        <v>0.84009999999999996</v>
      </c>
      <c r="C456" s="3804">
        <v>0.84009999999999996</v>
      </c>
      <c r="D456" s="3804">
        <v>0.76759999999999995</v>
      </c>
      <c r="E456" s="3133">
        <v>0.76759999999999995</v>
      </c>
      <c r="F456" s="3133">
        <v>0.76759999999999995</v>
      </c>
      <c r="G456" s="3133">
        <v>0.76759999999999995</v>
      </c>
      <c r="H456" s="3133">
        <v>0.76759999999999995</v>
      </c>
      <c r="I456" s="3804">
        <v>0.60580000000000001</v>
      </c>
      <c r="J456" s="3133">
        <v>0.60580000000000001</v>
      </c>
      <c r="K456" s="3133">
        <v>0.60580000000000001</v>
      </c>
      <c r="L456" s="3133">
        <v>0.60580000000000001</v>
      </c>
      <c r="M456" s="3134">
        <v>0.60580000000000001</v>
      </c>
    </row>
    <row r="457" spans="1:13">
      <c r="A457" s="3135">
        <v>9.6</v>
      </c>
      <c r="B457" s="3133">
        <v>0.83899999999999997</v>
      </c>
      <c r="C457" s="3804">
        <v>0.83899999999999997</v>
      </c>
      <c r="D457" s="3804">
        <v>0.76619999999999999</v>
      </c>
      <c r="E457" s="3133">
        <v>0.76619999999999999</v>
      </c>
      <c r="F457" s="3133">
        <v>0.76619999999999999</v>
      </c>
      <c r="G457" s="3133">
        <v>0.76619999999999999</v>
      </c>
      <c r="H457" s="3133">
        <v>0.76619999999999999</v>
      </c>
      <c r="I457" s="3804">
        <v>0.60409999999999997</v>
      </c>
      <c r="J457" s="3133">
        <v>0.60409999999999997</v>
      </c>
      <c r="K457" s="3133">
        <v>0.60409999999999997</v>
      </c>
      <c r="L457" s="3133">
        <v>0.60409999999999997</v>
      </c>
      <c r="M457" s="3134">
        <v>0.60409999999999997</v>
      </c>
    </row>
    <row r="458" spans="1:13">
      <c r="A458" s="3135">
        <v>9.6999999999999993</v>
      </c>
      <c r="B458" s="3133">
        <v>0.83779999999999999</v>
      </c>
      <c r="C458" s="3804">
        <v>0.83779999999999999</v>
      </c>
      <c r="D458" s="3804">
        <v>0.76480000000000004</v>
      </c>
      <c r="E458" s="3133">
        <v>0.76480000000000004</v>
      </c>
      <c r="F458" s="3133">
        <v>0.76480000000000004</v>
      </c>
      <c r="G458" s="3133">
        <v>0.76480000000000004</v>
      </c>
      <c r="H458" s="3133">
        <v>0.76480000000000004</v>
      </c>
      <c r="I458" s="3804">
        <v>0.60240000000000005</v>
      </c>
      <c r="J458" s="3133">
        <v>0.60240000000000005</v>
      </c>
      <c r="K458" s="3133">
        <v>0.60240000000000005</v>
      </c>
      <c r="L458" s="3133">
        <v>0.60240000000000005</v>
      </c>
      <c r="M458" s="3134">
        <v>0.60240000000000005</v>
      </c>
    </row>
    <row r="459" spans="1:13">
      <c r="A459" s="3135">
        <v>9.8000000000000007</v>
      </c>
      <c r="B459" s="3133">
        <v>0.8367</v>
      </c>
      <c r="C459" s="3804">
        <v>0.8367</v>
      </c>
      <c r="D459" s="3804">
        <v>0.76329999999999998</v>
      </c>
      <c r="E459" s="3133">
        <v>0.76329999999999998</v>
      </c>
      <c r="F459" s="3133">
        <v>0.76329999999999998</v>
      </c>
      <c r="G459" s="3133">
        <v>0.76329999999999998</v>
      </c>
      <c r="H459" s="3133">
        <v>0.76329999999999998</v>
      </c>
      <c r="I459" s="3804">
        <v>0.60060000000000002</v>
      </c>
      <c r="J459" s="3133">
        <v>0.60060000000000002</v>
      </c>
      <c r="K459" s="3133">
        <v>0.60060000000000002</v>
      </c>
      <c r="L459" s="3133">
        <v>0.60060000000000002</v>
      </c>
      <c r="M459" s="3134">
        <v>0.60060000000000002</v>
      </c>
    </row>
    <row r="460" spans="1:13" ht="14.25" thickBot="1">
      <c r="A460" s="3136">
        <v>9.9</v>
      </c>
      <c r="B460" s="3137">
        <v>0.83560000000000001</v>
      </c>
      <c r="C460" s="3805">
        <v>0.83560000000000001</v>
      </c>
      <c r="D460" s="3805">
        <v>0.76190000000000002</v>
      </c>
      <c r="E460" s="3137">
        <v>0.76190000000000002</v>
      </c>
      <c r="F460" s="3137">
        <v>0.76190000000000002</v>
      </c>
      <c r="G460" s="3137">
        <v>0.76190000000000002</v>
      </c>
      <c r="H460" s="3137">
        <v>0.76190000000000002</v>
      </c>
      <c r="I460" s="3805">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59024</v>
      </c>
      <c r="C2" s="2" t="s">
        <v>106</v>
      </c>
      <c r="D2" s="198"/>
      <c r="E2" s="198"/>
      <c r="F2" s="198"/>
      <c r="G2" s="198"/>
    </row>
    <row r="3" spans="1:7" s="199" customFormat="1" ht="18" customHeight="1" thickBot="1">
      <c r="A3" s="202" t="s">
        <v>58</v>
      </c>
      <c r="B3" s="203">
        <f ca="1">ROUND(B2*10000/'数据-汇总表'!E3,0)</f>
        <v>13899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849</v>
      </c>
      <c r="D10" s="844">
        <f>'数据-汇总表'!E6</f>
        <v>42466.65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849</v>
      </c>
      <c r="D19" s="848">
        <f>'数据-汇总表'!E3</f>
        <v>42466.65</v>
      </c>
      <c r="E19" s="210">
        <f>'数据-取费表'!B31</f>
        <v>200</v>
      </c>
      <c r="F19" s="230"/>
      <c r="G19" s="1" t="s">
        <v>436</v>
      </c>
    </row>
    <row r="20" spans="1:7" s="213" customFormat="1" ht="13.5" customHeight="1">
      <c r="A20" s="776" t="s">
        <v>419</v>
      </c>
      <c r="B20" s="209" t="s">
        <v>77</v>
      </c>
      <c r="C20" s="231">
        <f>ROUND((C5+C19)*F20,0)</f>
        <v>536</v>
      </c>
      <c r="D20" s="231"/>
      <c r="E20" s="231"/>
      <c r="F20" s="232">
        <f>'数据-取费表'!B37</f>
        <v>2.5000000000000001E-2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1840</v>
      </c>
      <c r="D22" s="234">
        <f ca="1">C26</f>
        <v>8.0000000000000004E-4</v>
      </c>
      <c r="E22" s="235" t="s">
        <v>99</v>
      </c>
      <c r="F22" s="236">
        <f ca="1">'数据-取费表'!B40</f>
        <v>4.1499999999999995E-2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1746</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72</v>
      </c>
      <c r="D24" s="237"/>
      <c r="E24" s="237"/>
      <c r="F24" s="238"/>
      <c r="G24" s="239" t="s">
        <v>82</v>
      </c>
    </row>
    <row r="25" spans="1:7" s="213" customFormat="1" ht="24">
      <c r="A25" s="779" t="s">
        <v>348</v>
      </c>
      <c r="B25" s="214" t="s">
        <v>420</v>
      </c>
      <c r="C25" s="1104">
        <f ca="1">ROUND(IF('数据-取费表'!B22&lt;=1,C20*F22*'数据-取费表'!B23/2,C20*(POWER((1+F22),'数据-取费表'!B23/2)-1)),0)</f>
        <v>22</v>
      </c>
      <c r="D25" s="237"/>
      <c r="E25" s="240"/>
      <c r="F25" s="238"/>
      <c r="G25" s="241" t="s">
        <v>83</v>
      </c>
    </row>
    <row r="26" spans="1:7" s="213" customFormat="1">
      <c r="A26" s="779" t="s">
        <v>350</v>
      </c>
      <c r="B26" s="214" t="s">
        <v>422</v>
      </c>
      <c r="C26" s="237">
        <f ca="1">ROUND(IF('数据-取费表'!B22&lt;=1,F21*F22*'数据-取费表'!B23/2,F21*(POWER((1+F22),'数据-取费表'!B23/2)-1)),4)</f>
        <v>8.0000000000000004E-4</v>
      </c>
      <c r="D26" s="237"/>
      <c r="E26" s="240"/>
      <c r="F26" s="238"/>
      <c r="G26" s="242"/>
    </row>
    <row r="27" spans="1:7" s="213" customFormat="1" ht="24.75">
      <c r="A27" s="776" t="s">
        <v>342</v>
      </c>
      <c r="B27" s="243" t="s">
        <v>85</v>
      </c>
      <c r="C27" s="244">
        <f>C28</f>
        <v>2859</v>
      </c>
      <c r="D27" s="234">
        <f>C29</f>
        <v>2.5999999999999999E-3</v>
      </c>
      <c r="E27" s="235" t="s">
        <v>99</v>
      </c>
      <c r="F27" s="245">
        <f>'数据-取费表'!Q16</f>
        <v>0.13</v>
      </c>
      <c r="G27" s="246" t="s">
        <v>431</v>
      </c>
    </row>
    <row r="28" spans="1:7" s="213" customFormat="1" ht="13.5" customHeight="1">
      <c r="A28" s="779" t="s">
        <v>349</v>
      </c>
      <c r="B28" s="247" t="s">
        <v>424</v>
      </c>
      <c r="C28" s="248">
        <f>ROUND((C5+C19+C20)*F27*'数据-取费表'!B21/'数据-取费表'!B20,0)</f>
        <v>2859</v>
      </c>
      <c r="D28" s="234"/>
      <c r="E28" s="235"/>
      <c r="F28" s="245"/>
      <c r="G28" s="246"/>
    </row>
    <row r="29" spans="1:7" s="213" customFormat="1" ht="13.5" customHeight="1">
      <c r="A29" s="779" t="s">
        <v>347</v>
      </c>
      <c r="B29" s="247" t="s">
        <v>425</v>
      </c>
      <c r="C29" s="237">
        <f>ROUND(C21*F27*'数据-取费表'!B21/'数据-取费表'!B20,4)</f>
        <v>2.5999999999999999E-3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28913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25724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23357</v>
      </c>
      <c r="D34" s="216"/>
      <c r="E34" s="219"/>
      <c r="F34" s="256">
        <f>IF('数据-取费表'!B24=0,1,'数据-取费表'!N16)</f>
        <v>1</v>
      </c>
      <c r="G34" s="218" t="s">
        <v>89</v>
      </c>
    </row>
    <row r="35" spans="1:7" ht="13.5" customHeight="1">
      <c r="A35" s="779" t="s">
        <v>351</v>
      </c>
      <c r="B35" s="214" t="s">
        <v>33</v>
      </c>
      <c r="C35" s="219">
        <f>ROUND(C34*F35,0)</f>
        <v>1168</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849</v>
      </c>
      <c r="D37" s="216">
        <f>'数据-汇总表'!E3</f>
        <v>42466.65</v>
      </c>
      <c r="E37" s="248">
        <f>'数据-取费表'!B35</f>
        <v>200</v>
      </c>
      <c r="F37" s="258"/>
      <c r="G37" s="260" t="s">
        <v>92</v>
      </c>
    </row>
    <row r="38" spans="1:7" ht="13.5" customHeight="1">
      <c r="A38" s="779" t="s">
        <v>354</v>
      </c>
      <c r="B38" s="214" t="s">
        <v>36</v>
      </c>
      <c r="C38" s="219">
        <f>ROUND(C34*F38,0)</f>
        <v>350</v>
      </c>
      <c r="D38" s="219"/>
      <c r="E38" s="219"/>
      <c r="F38" s="258">
        <f>'数据-取费表'!B36</f>
        <v>1.4999999999999999E-2</v>
      </c>
      <c r="G38" s="218" t="s">
        <v>90</v>
      </c>
    </row>
    <row r="39" spans="1:7" s="213" customFormat="1" ht="13.5" customHeight="1">
      <c r="A39" s="776" t="s">
        <v>338</v>
      </c>
      <c r="B39" s="209" t="s">
        <v>77</v>
      </c>
      <c r="C39" s="231">
        <f>ROUND(C33*F20,0)</f>
        <v>643</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1095</v>
      </c>
      <c r="D41" s="234">
        <f ca="1">C44</f>
        <v>8.0000000000000004E-4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1068</v>
      </c>
      <c r="D42" s="237"/>
      <c r="E42" s="237"/>
      <c r="F42" s="238"/>
      <c r="G42" s="3648" t="s">
        <v>94</v>
      </c>
    </row>
    <row r="43" spans="1:7" ht="13.5" customHeight="1">
      <c r="A43" s="779" t="s">
        <v>347</v>
      </c>
      <c r="B43" s="214" t="s">
        <v>426</v>
      </c>
      <c r="C43" s="237">
        <f ca="1">ROUND(IF('数据-取费表'!B22&lt;=1,C39*F22*'数据-取费表'!B21/2,C39*(POWER((1+F22),'数据-取费表'!B21/2)-1)),0)</f>
        <v>27</v>
      </c>
      <c r="D43" s="237"/>
      <c r="E43" s="237"/>
      <c r="F43" s="238"/>
      <c r="G43" s="3649"/>
    </row>
    <row r="44" spans="1:7" ht="13.5" customHeight="1">
      <c r="A44" s="779" t="s">
        <v>348</v>
      </c>
      <c r="B44" s="214" t="s">
        <v>428</v>
      </c>
      <c r="C44" s="237">
        <f ca="1">ROUND(IF('数据-取费表'!B22&lt;=1,C40*F22*'数据-取费表'!B21/2,C40*(POWER((1+F22),'数据-取费表'!B21/2)-1)),4)</f>
        <v>8.0000000000000004E-4</v>
      </c>
      <c r="D44" s="237"/>
      <c r="E44" s="237"/>
      <c r="F44" s="238"/>
      <c r="G44" s="3650"/>
    </row>
    <row r="45" spans="1:7" s="213" customFormat="1" ht="13.5" customHeight="1">
      <c r="A45" s="776" t="s">
        <v>341</v>
      </c>
      <c r="B45" s="243" t="s">
        <v>85</v>
      </c>
      <c r="C45" s="244">
        <f>C46</f>
        <v>3428</v>
      </c>
      <c r="D45" s="234">
        <f>C47</f>
        <v>2.5999999999999999E-3</v>
      </c>
      <c r="E45" s="235" t="s">
        <v>102</v>
      </c>
      <c r="F45" s="245"/>
      <c r="G45" s="246" t="s">
        <v>434</v>
      </c>
    </row>
    <row r="46" spans="1:7" s="213" customFormat="1" ht="13.5" customHeight="1">
      <c r="A46" s="779" t="s">
        <v>349</v>
      </c>
      <c r="B46" s="247" t="s">
        <v>427</v>
      </c>
      <c r="C46" s="248">
        <f>ROUND((C33+C39)*F27,0)</f>
        <v>3428</v>
      </c>
      <c r="D46" s="262"/>
      <c r="E46" s="235"/>
      <c r="F46" s="245"/>
      <c r="G46" s="246"/>
    </row>
    <row r="47" spans="1:7" s="213" customFormat="1" ht="13.5" customHeight="1">
      <c r="A47" s="779" t="s">
        <v>347</v>
      </c>
      <c r="B47" s="247" t="s">
        <v>429</v>
      </c>
      <c r="C47" s="237">
        <f>ROUND(C40*F27,4)</f>
        <v>2.5999999999999999E-3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33457</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 ca="1">ROUND(C49*F50,0)</f>
        <v>30111</v>
      </c>
      <c r="D51" s="231"/>
      <c r="E51" s="231"/>
      <c r="F51" s="263"/>
      <c r="G51" s="233" t="s">
        <v>37</v>
      </c>
    </row>
    <row r="52" spans="1:7" s="207" customFormat="1" ht="16.5" thickBot="1">
      <c r="A52" s="264" t="s">
        <v>38</v>
      </c>
      <c r="B52" s="265"/>
      <c r="C52" s="266">
        <f ca="1">C31+C51</f>
        <v>59024</v>
      </c>
      <c r="D52" s="265"/>
      <c r="E52" s="265"/>
      <c r="F52" s="265"/>
      <c r="G52" s="267"/>
    </row>
    <row r="55" spans="1:7" ht="15">
      <c r="B55" s="269" t="s">
        <v>39</v>
      </c>
      <c r="C55" s="270"/>
    </row>
    <row r="56" spans="1:7">
      <c r="B56" s="272" t="s">
        <v>40</v>
      </c>
      <c r="C56" s="273">
        <f ca="1">ROUND(C51/C52,3)</f>
        <v>0.51</v>
      </c>
    </row>
    <row r="57" spans="1:7">
      <c r="B57" s="272" t="s">
        <v>41</v>
      </c>
      <c r="C57" s="274">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2846</v>
      </c>
      <c r="B1" s="3786"/>
      <c r="C1" s="3786"/>
      <c r="D1" s="3786"/>
      <c r="E1" s="3786"/>
      <c r="F1" s="3786"/>
      <c r="G1" s="3787"/>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84"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85"/>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3188</v>
      </c>
      <c r="B1" s="3788"/>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3239</v>
      </c>
      <c r="B1" s="3789"/>
      <c r="C1" s="3789"/>
      <c r="D1" s="3789"/>
      <c r="E1" s="3789"/>
      <c r="F1" s="3790"/>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Normal="100" workbookViewId="0">
      <selection activeCell="I16" sqref="I16"/>
    </sheetView>
  </sheetViews>
  <sheetFormatPr defaultRowHeight="13.5"/>
  <cols>
    <col min="1" max="1" width="13.875" customWidth="1"/>
    <col min="11" max="17" width="0" hidden="1" customWidth="1"/>
    <col min="25" max="30" width="0" hidden="1" customWidth="1"/>
  </cols>
  <sheetData>
    <row r="1" spans="1:30">
      <c r="A1" s="3220">
        <f>基准地价修正!G23</f>
        <v>45023</v>
      </c>
      <c r="B1" s="3209" t="s">
        <v>2845</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91" t="s">
        <v>2833</v>
      </c>
      <c r="S21" s="3792"/>
      <c r="T21" s="3792"/>
      <c r="U21" s="3792"/>
      <c r="V21" s="3792"/>
      <c r="W21" s="3792"/>
      <c r="X21" s="3164"/>
      <c r="Y21" s="3791" t="s">
        <v>2834</v>
      </c>
      <c r="Z21" s="3792"/>
      <c r="AA21" s="3792"/>
      <c r="AB21" s="3792"/>
      <c r="AC21" s="3792"/>
      <c r="AD21" s="3792"/>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W57" sqref="W57"/>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45023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2313</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42466.65</v>
      </c>
      <c r="C4" s="853">
        <f>项目基本情况!C18</f>
        <v>6799.81</v>
      </c>
      <c r="D4" s="853">
        <f ca="1">结果表!D118</f>
        <v>113569</v>
      </c>
      <c r="E4" s="853">
        <f ca="1">结果表!E118</f>
        <v>26743</v>
      </c>
      <c r="F4" s="853">
        <f ca="1">结果表!F118</f>
        <v>53444</v>
      </c>
      <c r="G4" s="853">
        <f ca="1">结果表!G118</f>
        <v>12585</v>
      </c>
      <c r="H4" s="853">
        <f ca="1">结果表!H118</f>
        <v>167013</v>
      </c>
      <c r="I4" s="853">
        <f ca="1">结果表!I118</f>
        <v>39328</v>
      </c>
    </row>
    <row r="5" spans="1:9" ht="30" customHeight="1">
      <c r="A5" s="3476" t="s">
        <v>927</v>
      </c>
      <c r="B5" s="3476"/>
      <c r="C5" s="3476"/>
      <c r="D5" s="3476" t="str">
        <f ca="1">结果表!D119</f>
        <v>壹拾壹亿叁仟伍佰陆拾玖万元整</v>
      </c>
      <c r="E5" s="3476"/>
      <c r="F5" s="3476" t="str">
        <f ca="1">结果表!F119</f>
        <v>伍亿叁仟肆佰肆拾肆万元整</v>
      </c>
      <c r="G5" s="3476"/>
      <c r="H5" s="3476" t="str">
        <f ca="1">结果表!H119</f>
        <v>壹拾陆亿柒仟零壹拾叁万元整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167013</v>
      </c>
      <c r="E8" s="3477"/>
      <c r="F8" s="3477"/>
      <c r="G8" s="3477"/>
      <c r="H8" s="3477"/>
      <c r="I8" s="3477"/>
    </row>
    <row r="9" spans="1:9" ht="15">
      <c r="A9" s="3476" t="s">
        <v>927</v>
      </c>
      <c r="B9" s="3476"/>
      <c r="C9" s="3476"/>
      <c r="D9" s="3476" t="str">
        <f ca="1">结果表!D123</f>
        <v>壹拾陆亿柒仟零壹拾叁万元整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抵押净值</v>
      </c>
      <c r="B12" s="3477"/>
      <c r="C12" s="3477"/>
      <c r="D12" s="3477">
        <f ca="1">结果表!D126</f>
        <v>166703</v>
      </c>
      <c r="E12" s="3477"/>
      <c r="F12" s="3477"/>
      <c r="G12" s="3477"/>
      <c r="H12" s="3477"/>
      <c r="I12" s="3477"/>
    </row>
    <row r="13" spans="1:9" ht="15.75" thickBot="1">
      <c r="A13" s="3481" t="s">
        <v>927</v>
      </c>
      <c r="B13" s="3481"/>
      <c r="C13" s="3481"/>
      <c r="D13" s="3481" t="str">
        <f ca="1">结果表!D127</f>
        <v>壹拾陆亿陆仟柒佰零叁万元整</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45029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2023-04-13T08:40:55Z</dcterms:modified>
</cp:coreProperties>
</file>