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D:\2024\2024询价\8月\2024-1-E000547永昌中路4号-吴琼\"/>
    </mc:Choice>
  </mc:AlternateContent>
  <xr:revisionPtr revIDLastSave="0" documentId="13_ncr:1_{69B1105D-3A45-4D6E-9408-6A00BBBAAD46}" xr6:coauthVersionLast="47" xr6:coauthVersionMax="47" xr10:uidLastSave="{00000000-0000-0000-0000-000000000000}"/>
  <bookViews>
    <workbookView xWindow="-120" yWindow="-120" windowWidth="21840" windowHeight="131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成本法" sheetId="68" r:id="rId22"/>
    <sheet name="收益法 (元)" sheetId="67" state="hidden" r:id="rId23"/>
    <sheet name="收益法-酒店模型" sheetId="77" state="hidden"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1、3号收益法" sheetId="83" state="hidden" r:id="rId33"/>
    <sheet name="2号收益法" sheetId="84"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汇总）" sheetId="70" state="hidden" r:id="rId45"/>
    <sheet name="收益法" sheetId="15" r:id="rId46"/>
    <sheet name="4号楼租金比较法" sheetId="37" r:id="rId47"/>
    <sheet name="比较法-办公" sheetId="34" state="hidden" r:id="rId48"/>
    <sheet name="1、3号楼租金比较法" sheetId="82" state="hidden" r:id="rId49"/>
    <sheet name="2号楼租金比较法" sheetId="81" state="hidden" r:id="rId50"/>
  </sheets>
  <externalReferences>
    <externalReference r:id="rId51"/>
  </externalReferences>
  <definedNames>
    <definedName name="_xlnm._FilterDatabase" localSheetId="48" hidden="1">'1、3号楼租金比较法'!$A$1:$L$43</definedName>
    <definedName name="_xlnm._FilterDatabase" localSheetId="49" hidden="1">'2号楼租金比较法'!$A$1:$L$43</definedName>
    <definedName name="_xlnm._FilterDatabase" localSheetId="46" hidden="1">'4号楼租金比较法'!$A$1:$L$43</definedName>
    <definedName name="_xlnm._FilterDatabase" localSheetId="4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8">'1、3号楼租金比较法'!$A$1:$K$48,'1、3号楼租金比较法'!$A$51:$M$113</definedName>
    <definedName name="_xlnm.Print_Area" localSheetId="32">'1、3号收益法'!$A$1:$F$43,'1、3号收益法'!$H$3:$M$29,'1、3号收益法'!$A$46:$F$71,'1、3号收益法'!$I$46:$N$65</definedName>
    <definedName name="_xlnm.Print_Area" localSheetId="49">'2号楼租金比较法'!$A$1:$K$48,'2号楼租金比较法'!$A$51:$M$113</definedName>
    <definedName name="_xlnm.Print_Area" localSheetId="33">'2号收益法'!$A$1:$F$43,'2号收益法'!$H$3:$M$29,'2号收益法'!$A$46:$F$71,'2号收益法'!$I$46:$N$65</definedName>
    <definedName name="_xlnm.Print_Area" localSheetId="46">'4号楼租金比较法'!$A$1:$K$48,'4号楼租金比较法'!$A$51:$M$113</definedName>
    <definedName name="_xlnm.Print_Area" localSheetId="4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'比较法-商业'!$A$1:$K$54,'比较法-商业'!$A$57:$M$131</definedName>
    <definedName name="_xlnm.Print_Area" localSheetId="24">'比较法-住宅'!$A$1:$K$54,'比较法-住宅'!$A$57:$M$131</definedName>
    <definedName name="_xlnm.Print_Area" localSheetId="2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8">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44">'收益法（汇总）'!$A$1:$F$13</definedName>
    <definedName name="_xlnm.Print_Area" localSheetId="14">'数据-汇总表'!$A$1:$P$32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48">'1、3号楼租金比较法'!$B$95:$M$95</definedName>
    <definedName name="工业公共部分装修" localSheetId="49">'2号楼租金比较法'!$B$95:$M$95</definedName>
    <definedName name="工业公共部分装修">'4号楼租金比较法'!$B$95:$M$95</definedName>
    <definedName name="工业基础设施水平" localSheetId="48">'1、3号楼租金比较法'!$B$102:$M$102</definedName>
    <definedName name="工业基础设施水平" localSheetId="49">'2号楼租金比较法'!$B$102:$M$102</definedName>
    <definedName name="工业基础设施水平">'4号楼租金比较法'!$B$102:$M$102</definedName>
    <definedName name="工业建筑结构" localSheetId="48">'1、3号楼租金比较法'!$B$93:$M$93</definedName>
    <definedName name="工业建筑结构" localSheetId="49">'2号楼租金比较法'!$B$93:$M$93</definedName>
    <definedName name="工业建筑结构">'4号楼租金比较法'!$B$93:$M$93</definedName>
    <definedName name="工业建筑类型" localSheetId="48">'1、3号楼租金比较法'!$B$88:$M$88</definedName>
    <definedName name="工业建筑类型" localSheetId="49">'2号楼租金比较法'!$B$88:$M$88</definedName>
    <definedName name="工业建筑类型">'4号楼租金比较法'!$B$88:$M$88</definedName>
    <definedName name="工业交易情况" localSheetId="48">'1、3号楼租金比较法'!$A$55:$M$55</definedName>
    <definedName name="工业交易情况" localSheetId="49">'2号楼租金比较法'!$A$55:$M$55</definedName>
    <definedName name="工业交易情况">'4号楼租金比较法'!$A$55:$M$55</definedName>
    <definedName name="工业内部装修" localSheetId="48">'1、3号楼租金比较法'!$B$104:$M$104</definedName>
    <definedName name="工业内部装修" localSheetId="49">'2号楼租金比较法'!$B$104:$M$104</definedName>
    <definedName name="工业内部装修">'4号楼租金比较法'!$B$104:$M$104</definedName>
    <definedName name="工业物业管理" localSheetId="48">'1、3号楼租金比较法'!$B$100:$M$100</definedName>
    <definedName name="工业物业管理" localSheetId="49">'2号楼租金比较法'!$B$100:$M$100</definedName>
    <definedName name="工业物业管理">'4号楼租金比较法'!$B$100:$M$100</definedName>
    <definedName name="工业用途" localSheetId="48">'1、3号楼租金比较法'!$B$57:$M$57</definedName>
    <definedName name="工业用途" localSheetId="49">'2号楼租金比较法'!$B$57:$M$57</definedName>
    <definedName name="工业用途">'4号楼租金比较法'!$B$57:$M$57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J49" i="15"/>
  <c r="P2" i="80"/>
  <c r="P3" i="80"/>
  <c r="P4" i="80"/>
  <c r="P5" i="80"/>
  <c r="I15" i="3"/>
  <c r="J49" i="84" l="1"/>
  <c r="J49" i="83"/>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P74" i="83" s="1"/>
  <c r="F59" i="83"/>
  <c r="Q58" i="83"/>
  <c r="Q51" i="83"/>
  <c r="J50" i="83"/>
  <c r="M47" i="83"/>
  <c r="D46" i="83"/>
  <c r="F33" i="83"/>
  <c r="F61" i="83" s="1"/>
  <c r="F31" i="83"/>
  <c r="F23" i="83"/>
  <c r="D24" i="83" s="1"/>
  <c r="F21" i="83"/>
  <c r="F20" i="83"/>
  <c r="M19" i="83"/>
  <c r="F18" i="83"/>
  <c r="M17" i="83"/>
  <c r="F17" i="83"/>
  <c r="F15" i="83"/>
  <c r="B112" i="82"/>
  <c r="H40" i="82" s="1"/>
  <c r="AB40" i="82" s="1"/>
  <c r="B110" i="82"/>
  <c r="B108" i="82"/>
  <c r="D107" i="82"/>
  <c r="E107" i="82" s="1"/>
  <c r="F107" i="82" s="1"/>
  <c r="G107" i="82" s="1"/>
  <c r="H107" i="82" s="1"/>
  <c r="I107" i="82" s="1"/>
  <c r="J107" i="82" s="1"/>
  <c r="K107" i="82" s="1"/>
  <c r="L107" i="82" s="1"/>
  <c r="M107" i="82" s="1"/>
  <c r="D105" i="82"/>
  <c r="E105" i="82" s="1"/>
  <c r="F105" i="82" s="1"/>
  <c r="G105" i="82" s="1"/>
  <c r="D103" i="82"/>
  <c r="E103" i="82" s="1"/>
  <c r="F103" i="82" s="1"/>
  <c r="G103" i="82" s="1"/>
  <c r="H103" i="82" s="1"/>
  <c r="I103" i="82" s="1"/>
  <c r="J103" i="82" s="1"/>
  <c r="K103" i="82" s="1"/>
  <c r="L103" i="82" s="1"/>
  <c r="M103" i="82" s="1"/>
  <c r="D101" i="82"/>
  <c r="E101" i="82" s="1"/>
  <c r="F101" i="82" s="1"/>
  <c r="G101" i="82" s="1"/>
  <c r="H101" i="82" s="1"/>
  <c r="I101" i="82" s="1"/>
  <c r="J101" i="82" s="1"/>
  <c r="K101" i="82" s="1"/>
  <c r="L101" i="82" s="1"/>
  <c r="M101" i="82" s="1"/>
  <c r="D99" i="82"/>
  <c r="E99" i="82" s="1"/>
  <c r="F99" i="82" s="1"/>
  <c r="G99" i="82" s="1"/>
  <c r="G97" i="82"/>
  <c r="F97" i="82"/>
  <c r="E97" i="82"/>
  <c r="D97" i="82"/>
  <c r="C97" i="82"/>
  <c r="D96" i="82"/>
  <c r="E96" i="82" s="1"/>
  <c r="D94" i="82"/>
  <c r="E94" i="82" s="1"/>
  <c r="F94" i="82" s="1"/>
  <c r="G94" i="82" s="1"/>
  <c r="H94" i="82" s="1"/>
  <c r="I94" i="82" s="1"/>
  <c r="J94" i="82" s="1"/>
  <c r="K94" i="82" s="1"/>
  <c r="L94" i="82" s="1"/>
  <c r="M94" i="82" s="1"/>
  <c r="M90" i="82"/>
  <c r="L90" i="82"/>
  <c r="K90" i="82"/>
  <c r="J90" i="82"/>
  <c r="I90" i="82"/>
  <c r="H90" i="82"/>
  <c r="G90" i="82"/>
  <c r="F90" i="82"/>
  <c r="E90" i="82"/>
  <c r="D90" i="82"/>
  <c r="C90" i="82"/>
  <c r="D89" i="82"/>
  <c r="E89" i="82" s="1"/>
  <c r="F89" i="82" s="1"/>
  <c r="G89" i="82" s="1"/>
  <c r="H89" i="82" s="1"/>
  <c r="I89" i="82" s="1"/>
  <c r="J89" i="82" s="1"/>
  <c r="K89" i="82" s="1"/>
  <c r="L89" i="82" s="1"/>
  <c r="M89" i="82" s="1"/>
  <c r="B86" i="82"/>
  <c r="J28" i="82" s="1"/>
  <c r="AC28" i="82" s="1"/>
  <c r="B84" i="82"/>
  <c r="B82" i="82"/>
  <c r="B80" i="82"/>
  <c r="J25" i="82" s="1"/>
  <c r="AC25" i="82" s="1"/>
  <c r="E79" i="82"/>
  <c r="F79" i="82" s="1"/>
  <c r="G79" i="82" s="1"/>
  <c r="D79" i="82"/>
  <c r="D77" i="82"/>
  <c r="E77" i="82" s="1"/>
  <c r="F77" i="82" s="1"/>
  <c r="G77" i="82" s="1"/>
  <c r="D75" i="82"/>
  <c r="H19" i="82" s="1"/>
  <c r="AB19" i="82" s="1"/>
  <c r="D73" i="82"/>
  <c r="H17" i="82" s="1"/>
  <c r="AB17" i="82" s="1"/>
  <c r="D71" i="82"/>
  <c r="E71" i="82" s="1"/>
  <c r="F71" i="82" s="1"/>
  <c r="G71" i="82" s="1"/>
  <c r="B68" i="82"/>
  <c r="B66" i="82"/>
  <c r="H13" i="82" s="1"/>
  <c r="U13" i="82" s="1"/>
  <c r="B64" i="82"/>
  <c r="J12" i="82" s="1"/>
  <c r="D63" i="82"/>
  <c r="E63" i="82" s="1"/>
  <c r="F63" i="82" s="1"/>
  <c r="G63" i="82" s="1"/>
  <c r="H63" i="82" s="1"/>
  <c r="I63" i="82" s="1"/>
  <c r="J63" i="82" s="1"/>
  <c r="K63" i="82" s="1"/>
  <c r="L63" i="82" s="1"/>
  <c r="M63" i="82" s="1"/>
  <c r="M61" i="82"/>
  <c r="L61" i="82"/>
  <c r="K61" i="82"/>
  <c r="J61" i="82"/>
  <c r="I61" i="82"/>
  <c r="H61" i="82"/>
  <c r="G61" i="82"/>
  <c r="F61" i="82"/>
  <c r="E61" i="82"/>
  <c r="D61" i="82"/>
  <c r="C61" i="82"/>
  <c r="C57" i="82"/>
  <c r="J9" i="82" s="1"/>
  <c r="AC9" i="82" s="1"/>
  <c r="I48" i="82"/>
  <c r="J48" i="82" s="1"/>
  <c r="G48" i="82"/>
  <c r="H48" i="82" s="1"/>
  <c r="E48" i="82"/>
  <c r="F48" i="82" s="1"/>
  <c r="P43" i="82"/>
  <c r="P42" i="82"/>
  <c r="K42" i="82"/>
  <c r="V41" i="82"/>
  <c r="T41" i="82"/>
  <c r="R41" i="82"/>
  <c r="P41" i="82"/>
  <c r="Q40" i="82"/>
  <c r="Z40" i="82" s="1"/>
  <c r="J40" i="82"/>
  <c r="AC40" i="82" s="1"/>
  <c r="Q39" i="82"/>
  <c r="Z39" i="82" s="1"/>
  <c r="J39" i="82"/>
  <c r="AC39" i="82" s="1"/>
  <c r="H39" i="82"/>
  <c r="AB39" i="82" s="1"/>
  <c r="F39" i="82"/>
  <c r="AA39" i="82" s="1"/>
  <c r="Q38" i="82"/>
  <c r="Z38" i="82" s="1"/>
  <c r="J38" i="82"/>
  <c r="AC38" i="82" s="1"/>
  <c r="H38" i="82"/>
  <c r="AB38" i="82" s="1"/>
  <c r="F38" i="82"/>
  <c r="AA38" i="82" s="1"/>
  <c r="Q37" i="82"/>
  <c r="Z37" i="82" s="1"/>
  <c r="J37" i="82"/>
  <c r="AC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Q32" i="82"/>
  <c r="Z32" i="82" s="1"/>
  <c r="Q31" i="82"/>
  <c r="Z31" i="82" s="1"/>
  <c r="J31" i="82"/>
  <c r="AC31" i="82" s="1"/>
  <c r="H31" i="82"/>
  <c r="AB31" i="82" s="1"/>
  <c r="F31" i="82"/>
  <c r="AA31" i="82" s="1"/>
  <c r="Q30" i="82"/>
  <c r="Z30" i="82" s="1"/>
  <c r="Q29" i="82"/>
  <c r="Z29" i="82" s="1"/>
  <c r="J29" i="82"/>
  <c r="AC29" i="82" s="1"/>
  <c r="H29" i="82"/>
  <c r="AB29" i="82" s="1"/>
  <c r="F29" i="82"/>
  <c r="AA29" i="82" s="1"/>
  <c r="Q28" i="82"/>
  <c r="Z28" i="82" s="1"/>
  <c r="Q27" i="82"/>
  <c r="Z27" i="82" s="1"/>
  <c r="J27" i="82"/>
  <c r="AC27" i="82" s="1"/>
  <c r="H27" i="82"/>
  <c r="AB27" i="82" s="1"/>
  <c r="F27" i="82"/>
  <c r="AA27" i="82" s="1"/>
  <c r="Q26" i="82"/>
  <c r="Z26" i="82" s="1"/>
  <c r="J26" i="82"/>
  <c r="AC26" i="82" s="1"/>
  <c r="H26" i="82"/>
  <c r="AB26" i="82" s="1"/>
  <c r="F26" i="82"/>
  <c r="AA26" i="82" s="1"/>
  <c r="Q25" i="82"/>
  <c r="Z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C19" i="82"/>
  <c r="Q17" i="82"/>
  <c r="Z17" i="82" s="1"/>
  <c r="J17" i="82"/>
  <c r="AC17" i="82" s="1"/>
  <c r="C17" i="82"/>
  <c r="Q15" i="82"/>
  <c r="Z15" i="82" s="1"/>
  <c r="F15" i="82"/>
  <c r="S15" i="82" s="1"/>
  <c r="C15" i="82"/>
  <c r="Q14" i="82"/>
  <c r="Z14" i="82" s="1"/>
  <c r="J14" i="82"/>
  <c r="W14" i="82" s="1"/>
  <c r="H14" i="82"/>
  <c r="AB14" i="82" s="1"/>
  <c r="F14" i="82"/>
  <c r="S14" i="82" s="1"/>
  <c r="Q13" i="82"/>
  <c r="Z13" i="82" s="1"/>
  <c r="J13" i="82"/>
  <c r="AC13" i="82" s="1"/>
  <c r="Q12" i="82"/>
  <c r="Z12" i="82" s="1"/>
  <c r="F12" i="82"/>
  <c r="S12" i="82" s="1"/>
  <c r="U11" i="82"/>
  <c r="Q11" i="82"/>
  <c r="Z11" i="82" s="1"/>
  <c r="J11" i="82"/>
  <c r="W11" i="82" s="1"/>
  <c r="H11" i="82"/>
  <c r="AB11" i="82" s="1"/>
  <c r="F11" i="82"/>
  <c r="AA11" i="82" s="1"/>
  <c r="Q10" i="82"/>
  <c r="Z10" i="82" s="1"/>
  <c r="J10" i="82"/>
  <c r="AC10" i="82" s="1"/>
  <c r="H10" i="82"/>
  <c r="U10" i="82" s="1"/>
  <c r="F10" i="82"/>
  <c r="S10" i="82" s="1"/>
  <c r="Q9" i="82"/>
  <c r="Z9" i="82" s="1"/>
  <c r="F9" i="82"/>
  <c r="S9" i="82" s="1"/>
  <c r="J8" i="82"/>
  <c r="AC8" i="82" s="1"/>
  <c r="H8" i="82"/>
  <c r="AB8" i="82" s="1"/>
  <c r="F8" i="82"/>
  <c r="S8" i="82" s="1"/>
  <c r="B112" i="81"/>
  <c r="J40" i="81" s="1"/>
  <c r="AC40" i="81" s="1"/>
  <c r="B110" i="81"/>
  <c r="J39" i="81" s="1"/>
  <c r="AC39" i="81" s="1"/>
  <c r="B108" i="81"/>
  <c r="J38" i="81" s="1"/>
  <c r="AC38" i="81" s="1"/>
  <c r="D107" i="81"/>
  <c r="E107" i="81" s="1"/>
  <c r="F107" i="81" s="1"/>
  <c r="G107" i="81" s="1"/>
  <c r="H107" i="81" s="1"/>
  <c r="I107" i="81" s="1"/>
  <c r="J107" i="81" s="1"/>
  <c r="K107" i="81" s="1"/>
  <c r="L107" i="81" s="1"/>
  <c r="M107" i="81" s="1"/>
  <c r="D105" i="81"/>
  <c r="E105" i="81" s="1"/>
  <c r="F105" i="81" s="1"/>
  <c r="G105" i="81" s="1"/>
  <c r="D103" i="81"/>
  <c r="E103" i="81" s="1"/>
  <c r="F103" i="81" s="1"/>
  <c r="G103" i="81" s="1"/>
  <c r="H103" i="81" s="1"/>
  <c r="I103" i="81" s="1"/>
  <c r="J103" i="81" s="1"/>
  <c r="K103" i="81" s="1"/>
  <c r="L103" i="81" s="1"/>
  <c r="M103" i="81" s="1"/>
  <c r="D101" i="81"/>
  <c r="E101" i="81" s="1"/>
  <c r="F101" i="81" s="1"/>
  <c r="G101" i="81" s="1"/>
  <c r="H101" i="81" s="1"/>
  <c r="I101" i="81" s="1"/>
  <c r="J101" i="81" s="1"/>
  <c r="K101" i="81" s="1"/>
  <c r="L101" i="81" s="1"/>
  <c r="M101" i="81" s="1"/>
  <c r="D99" i="81"/>
  <c r="E99" i="81" s="1"/>
  <c r="F99" i="81" s="1"/>
  <c r="G99" i="81" s="1"/>
  <c r="G97" i="81"/>
  <c r="F97" i="81"/>
  <c r="E97" i="81"/>
  <c r="D97" i="81"/>
  <c r="C97" i="81"/>
  <c r="D96" i="81"/>
  <c r="E96" i="81" s="1"/>
  <c r="D94" i="81"/>
  <c r="E94" i="81" s="1"/>
  <c r="F94" i="81" s="1"/>
  <c r="G94" i="81" s="1"/>
  <c r="H94" i="81" s="1"/>
  <c r="I94" i="81" s="1"/>
  <c r="J94" i="81" s="1"/>
  <c r="K94" i="81" s="1"/>
  <c r="L94" i="81" s="1"/>
  <c r="M94" i="81" s="1"/>
  <c r="M90" i="81"/>
  <c r="L90" i="81"/>
  <c r="K90" i="81"/>
  <c r="J90" i="81"/>
  <c r="I90" i="81"/>
  <c r="H90" i="81"/>
  <c r="G90" i="81"/>
  <c r="F90" i="81"/>
  <c r="E90" i="81"/>
  <c r="D90" i="81"/>
  <c r="C90" i="81"/>
  <c r="D89" i="81"/>
  <c r="E89" i="81" s="1"/>
  <c r="F89" i="81" s="1"/>
  <c r="G89" i="81" s="1"/>
  <c r="H89" i="81" s="1"/>
  <c r="I89" i="81" s="1"/>
  <c r="J89" i="81" s="1"/>
  <c r="K89" i="81" s="1"/>
  <c r="L89" i="81" s="1"/>
  <c r="M89" i="81" s="1"/>
  <c r="B86" i="81"/>
  <c r="J28" i="81" s="1"/>
  <c r="AC28" i="81" s="1"/>
  <c r="B84" i="81"/>
  <c r="J27" i="81" s="1"/>
  <c r="AC27" i="81" s="1"/>
  <c r="B82" i="81"/>
  <c r="F26" i="81" s="1"/>
  <c r="AA26" i="81" s="1"/>
  <c r="B80" i="81"/>
  <c r="F25" i="81" s="1"/>
  <c r="AA25" i="81" s="1"/>
  <c r="D79" i="81"/>
  <c r="J23" i="81" s="1"/>
  <c r="AC23" i="81" s="1"/>
  <c r="D77" i="81"/>
  <c r="E77" i="81" s="1"/>
  <c r="F77" i="81" s="1"/>
  <c r="G77" i="81" s="1"/>
  <c r="D75" i="81"/>
  <c r="H19" i="81" s="1"/>
  <c r="AB19" i="81" s="1"/>
  <c r="D73" i="81"/>
  <c r="H17" i="81" s="1"/>
  <c r="AB17" i="81" s="1"/>
  <c r="D71" i="81"/>
  <c r="E71" i="81" s="1"/>
  <c r="F71" i="81" s="1"/>
  <c r="G71" i="81" s="1"/>
  <c r="B68" i="81"/>
  <c r="J14" i="81" s="1"/>
  <c r="AC14" i="81" s="1"/>
  <c r="B66" i="81"/>
  <c r="F13" i="81" s="1"/>
  <c r="S13" i="81" s="1"/>
  <c r="B64" i="81"/>
  <c r="H12" i="81" s="1"/>
  <c r="AB12" i="81" s="1"/>
  <c r="D63" i="81"/>
  <c r="E63" i="81" s="1"/>
  <c r="F63" i="81" s="1"/>
  <c r="G63" i="81" s="1"/>
  <c r="H63" i="81" s="1"/>
  <c r="I63" i="81" s="1"/>
  <c r="J63" i="81" s="1"/>
  <c r="K63" i="81" s="1"/>
  <c r="L63" i="81" s="1"/>
  <c r="M63" i="81" s="1"/>
  <c r="M61" i="81"/>
  <c r="L61" i="81"/>
  <c r="K61" i="81"/>
  <c r="J61" i="81"/>
  <c r="I61" i="81"/>
  <c r="H61" i="81"/>
  <c r="G61" i="81"/>
  <c r="F61" i="81"/>
  <c r="E61" i="81"/>
  <c r="D61" i="81"/>
  <c r="C61" i="81"/>
  <c r="C57" i="81"/>
  <c r="F9" i="81" s="1"/>
  <c r="AA9" i="81" s="1"/>
  <c r="I48" i="81"/>
  <c r="J48" i="81" s="1"/>
  <c r="G48" i="81"/>
  <c r="H48" i="81" s="1"/>
  <c r="E48" i="81"/>
  <c r="F48" i="81" s="1"/>
  <c r="P43" i="81"/>
  <c r="P42" i="81"/>
  <c r="K42" i="81"/>
  <c r="V41" i="81"/>
  <c r="T41" i="81"/>
  <c r="R41" i="81"/>
  <c r="P41" i="81"/>
  <c r="Q40" i="81"/>
  <c r="Z40" i="81" s="1"/>
  <c r="F40" i="81"/>
  <c r="AA40" i="81" s="1"/>
  <c r="Q39" i="81"/>
  <c r="Z39" i="81" s="1"/>
  <c r="H39" i="81"/>
  <c r="AB39" i="81" s="1"/>
  <c r="F39" i="81"/>
  <c r="AA39" i="81" s="1"/>
  <c r="Q38" i="81"/>
  <c r="Z38" i="81" s="1"/>
  <c r="Q37" i="81"/>
  <c r="Z37" i="81" s="1"/>
  <c r="H37" i="81"/>
  <c r="AB37" i="81" s="1"/>
  <c r="F37" i="81"/>
  <c r="AA37" i="81" s="1"/>
  <c r="Q36" i="81"/>
  <c r="Z36" i="81" s="1"/>
  <c r="F36" i="81"/>
  <c r="AA36" i="81" s="1"/>
  <c r="Q35" i="81"/>
  <c r="Z35" i="81" s="1"/>
  <c r="J35" i="81"/>
  <c r="AC35" i="81" s="1"/>
  <c r="H35" i="81"/>
  <c r="AB35" i="81" s="1"/>
  <c r="F35" i="81"/>
  <c r="AA35" i="81" s="1"/>
  <c r="Q34" i="81"/>
  <c r="Z34" i="81" s="1"/>
  <c r="F34" i="81"/>
  <c r="AA34" i="81" s="1"/>
  <c r="Q33" i="81"/>
  <c r="Z33" i="81" s="1"/>
  <c r="Q32" i="81"/>
  <c r="Z32" i="81" s="1"/>
  <c r="Q31" i="81"/>
  <c r="Z31" i="81" s="1"/>
  <c r="J31" i="81"/>
  <c r="AC31" i="81" s="1"/>
  <c r="H31" i="81"/>
  <c r="AB31" i="81" s="1"/>
  <c r="F31" i="81"/>
  <c r="AA31" i="81" s="1"/>
  <c r="Q30" i="81"/>
  <c r="Z30" i="81" s="1"/>
  <c r="Q29" i="81"/>
  <c r="Z29" i="81" s="1"/>
  <c r="H29" i="81"/>
  <c r="AB29" i="81" s="1"/>
  <c r="Q28" i="81"/>
  <c r="Z28" i="81" s="1"/>
  <c r="F28" i="81"/>
  <c r="AA28" i="81" s="1"/>
  <c r="Q27" i="81"/>
  <c r="Z27" i="81" s="1"/>
  <c r="Q26" i="81"/>
  <c r="Z26" i="81" s="1"/>
  <c r="J26" i="81"/>
  <c r="AC26" i="81" s="1"/>
  <c r="H26" i="81"/>
  <c r="AB26" i="81" s="1"/>
  <c r="Q25" i="81"/>
  <c r="Z25" i="81" s="1"/>
  <c r="H25" i="81"/>
  <c r="AB25" i="81" s="1"/>
  <c r="Q23" i="81"/>
  <c r="Z23" i="81" s="1"/>
  <c r="F23" i="81"/>
  <c r="AA23" i="81" s="1"/>
  <c r="C23" i="81"/>
  <c r="Q21" i="81"/>
  <c r="Z21" i="81" s="1"/>
  <c r="J21" i="81"/>
  <c r="AC21" i="81" s="1"/>
  <c r="H21" i="81"/>
  <c r="AB21" i="81" s="1"/>
  <c r="F21" i="81"/>
  <c r="AA21" i="81" s="1"/>
  <c r="C21" i="81"/>
  <c r="Q19" i="81"/>
  <c r="Z19" i="81" s="1"/>
  <c r="J19" i="81"/>
  <c r="AC19" i="81" s="1"/>
  <c r="C19" i="81"/>
  <c r="Q17" i="81"/>
  <c r="Z17" i="81" s="1"/>
  <c r="C17" i="81"/>
  <c r="Q15" i="81"/>
  <c r="Z15" i="81" s="1"/>
  <c r="J15" i="81"/>
  <c r="AC15" i="81" s="1"/>
  <c r="F15" i="81"/>
  <c r="AA15" i="81" s="1"/>
  <c r="C15" i="81"/>
  <c r="Q14" i="81"/>
  <c r="Z14" i="81" s="1"/>
  <c r="Q13" i="81"/>
  <c r="Z13" i="81" s="1"/>
  <c r="H13" i="81"/>
  <c r="U13" i="81" s="1"/>
  <c r="Q12" i="81"/>
  <c r="Z12" i="81" s="1"/>
  <c r="J12" i="81"/>
  <c r="AC12" i="81" s="1"/>
  <c r="F12" i="81"/>
  <c r="AA12" i="81" s="1"/>
  <c r="Q11" i="81"/>
  <c r="Z11" i="81" s="1"/>
  <c r="J11" i="81"/>
  <c r="AC11" i="81" s="1"/>
  <c r="H11" i="81"/>
  <c r="U11" i="81" s="1"/>
  <c r="F11" i="81"/>
  <c r="AA11" i="81" s="1"/>
  <c r="Q10" i="81"/>
  <c r="Z10" i="81" s="1"/>
  <c r="J10" i="81"/>
  <c r="W10" i="81" s="1"/>
  <c r="H10" i="81"/>
  <c r="U10" i="81" s="1"/>
  <c r="F10" i="81"/>
  <c r="S10" i="81" s="1"/>
  <c r="Q9" i="81"/>
  <c r="Z9" i="81" s="1"/>
  <c r="J9" i="81"/>
  <c r="AC9" i="81" s="1"/>
  <c r="H9" i="81"/>
  <c r="U9" i="81" s="1"/>
  <c r="J8" i="81"/>
  <c r="AC8" i="81" s="1"/>
  <c r="H8" i="81"/>
  <c r="AB8" i="81" s="1"/>
  <c r="F8" i="81"/>
  <c r="S8" i="81" s="1"/>
  <c r="W8" i="1"/>
  <c r="W7" i="1"/>
  <c r="Q7" i="1"/>
  <c r="D2" i="82"/>
  <c r="D2" i="81"/>
  <c r="E75" i="82" l="1"/>
  <c r="F75" i="82" s="1"/>
  <c r="G75" i="82" s="1"/>
  <c r="H23" i="81"/>
  <c r="AB23" i="81" s="1"/>
  <c r="F27" i="81"/>
  <c r="AA27" i="81" s="1"/>
  <c r="H36" i="81"/>
  <c r="AB36" i="81" s="1"/>
  <c r="H40" i="81"/>
  <c r="AB40" i="81" s="1"/>
  <c r="E79" i="81"/>
  <c r="F79" i="81" s="1"/>
  <c r="G79" i="81" s="1"/>
  <c r="F14" i="81"/>
  <c r="S14" i="81" s="1"/>
  <c r="F19" i="81"/>
  <c r="AA19" i="81" s="1"/>
  <c r="H27" i="81"/>
  <c r="AB27" i="81" s="1"/>
  <c r="H28" i="81"/>
  <c r="AB28" i="81" s="1"/>
  <c r="J36" i="81"/>
  <c r="AC36" i="81" s="1"/>
  <c r="E75" i="81"/>
  <c r="F75" i="81" s="1"/>
  <c r="G75" i="81" s="1"/>
  <c r="F13" i="82"/>
  <c r="S13" i="82" s="1"/>
  <c r="AC14" i="82"/>
  <c r="F19" i="82"/>
  <c r="AA19" i="82" s="1"/>
  <c r="W12" i="81"/>
  <c r="H14" i="81"/>
  <c r="U14" i="81" s="1"/>
  <c r="H15" i="81"/>
  <c r="U15" i="81" s="1"/>
  <c r="F17" i="81"/>
  <c r="AA17" i="81" s="1"/>
  <c r="F38" i="81"/>
  <c r="AA38" i="81" s="1"/>
  <c r="AC11" i="82"/>
  <c r="D23" i="83"/>
  <c r="AC12" i="82"/>
  <c r="W12" i="82"/>
  <c r="AB11" i="81"/>
  <c r="AA15" i="82"/>
  <c r="J13" i="81"/>
  <c r="AC13" i="81" s="1"/>
  <c r="AB14" i="81"/>
  <c r="J25" i="81"/>
  <c r="AC25" i="81" s="1"/>
  <c r="H34" i="81"/>
  <c r="AB34" i="81" s="1"/>
  <c r="H38" i="81"/>
  <c r="AB38" i="81" s="1"/>
  <c r="E73" i="81"/>
  <c r="F73" i="81" s="1"/>
  <c r="G73" i="81" s="1"/>
  <c r="H9" i="82"/>
  <c r="U9" i="82" s="1"/>
  <c r="AA14" i="82"/>
  <c r="H15" i="82"/>
  <c r="U15" i="82" s="1"/>
  <c r="F28" i="82"/>
  <c r="AA28" i="82" s="1"/>
  <c r="J17" i="81"/>
  <c r="AC17" i="81" s="1"/>
  <c r="J34" i="81"/>
  <c r="AC34" i="81" s="1"/>
  <c r="J37" i="81"/>
  <c r="AC37" i="81" s="1"/>
  <c r="H12" i="82"/>
  <c r="AB12" i="82" s="1"/>
  <c r="AA12" i="82"/>
  <c r="J15" i="82"/>
  <c r="AC15" i="82" s="1"/>
  <c r="F17" i="82"/>
  <c r="AA17" i="82" s="1"/>
  <c r="H25" i="82"/>
  <c r="AB25" i="82" s="1"/>
  <c r="H28" i="82"/>
  <c r="AB28" i="82" s="1"/>
  <c r="F36" i="82"/>
  <c r="AA36" i="82" s="1"/>
  <c r="F37" i="82"/>
  <c r="AA37" i="82" s="1"/>
  <c r="F40" i="82"/>
  <c r="AA40" i="82" s="1"/>
  <c r="E73" i="82"/>
  <c r="F73" i="82" s="1"/>
  <c r="G73" i="82" s="1"/>
  <c r="AA9" i="82"/>
  <c r="AB13" i="82"/>
  <c r="W8" i="81"/>
  <c r="J29" i="81"/>
  <c r="AC29" i="81" s="1"/>
  <c r="AB13" i="81"/>
  <c r="F29" i="81"/>
  <c r="AA29" i="81" s="1"/>
  <c r="H36" i="82"/>
  <c r="AB36" i="82" s="1"/>
  <c r="H37" i="82"/>
  <c r="AB37" i="82" s="1"/>
  <c r="D22" i="84"/>
  <c r="D22" i="83"/>
  <c r="D23" i="84"/>
  <c r="P61" i="84"/>
  <c r="P61" i="83"/>
  <c r="W10" i="82"/>
  <c r="U14" i="82"/>
  <c r="F33" i="82"/>
  <c r="H99" i="82"/>
  <c r="I99" i="82" s="1"/>
  <c r="J99" i="82" s="1"/>
  <c r="K99" i="82" s="1"/>
  <c r="L99" i="82" s="1"/>
  <c r="M99" i="82" s="1"/>
  <c r="J33" i="82"/>
  <c r="H33" i="82"/>
  <c r="U8" i="82"/>
  <c r="AA10" i="82"/>
  <c r="AA13" i="82"/>
  <c r="W8" i="82"/>
  <c r="AB10" i="82"/>
  <c r="F96" i="82"/>
  <c r="G96" i="82" s="1"/>
  <c r="H96" i="82" s="1"/>
  <c r="I96" i="82" s="1"/>
  <c r="J96" i="82" s="1"/>
  <c r="K96" i="82" s="1"/>
  <c r="L96" i="82" s="1"/>
  <c r="M96" i="82" s="1"/>
  <c r="AA8" i="82"/>
  <c r="U17" i="82"/>
  <c r="U19" i="82"/>
  <c r="U21" i="82"/>
  <c r="U23" i="82"/>
  <c r="W25" i="82"/>
  <c r="S27" i="82"/>
  <c r="W29" i="82"/>
  <c r="W34" i="82"/>
  <c r="U37" i="82"/>
  <c r="W38" i="82"/>
  <c r="S40" i="82"/>
  <c r="W17" i="82"/>
  <c r="W19" i="82"/>
  <c r="W21" i="82"/>
  <c r="W23" i="82"/>
  <c r="S26" i="82"/>
  <c r="U27" i="82"/>
  <c r="W28" i="82"/>
  <c r="S31" i="82"/>
  <c r="S35" i="82"/>
  <c r="W37" i="82"/>
  <c r="S39" i="82"/>
  <c r="U40" i="82"/>
  <c r="W9" i="82"/>
  <c r="S11" i="82"/>
  <c r="U12" i="82"/>
  <c r="W13" i="82"/>
  <c r="S25" i="82"/>
  <c r="U26" i="82"/>
  <c r="W27" i="82"/>
  <c r="S29" i="82"/>
  <c r="U31" i="82"/>
  <c r="S34" i="82"/>
  <c r="U35" i="82"/>
  <c r="W36" i="82"/>
  <c r="S38" i="82"/>
  <c r="U39" i="82"/>
  <c r="W40" i="82"/>
  <c r="S21" i="82"/>
  <c r="S23" i="82"/>
  <c r="U25" i="82"/>
  <c r="W26" i="82"/>
  <c r="S28" i="82"/>
  <c r="U29" i="82"/>
  <c r="W31" i="82"/>
  <c r="U34" i="82"/>
  <c r="W35" i="82"/>
  <c r="S37" i="82"/>
  <c r="U38" i="82"/>
  <c r="W39" i="82"/>
  <c r="U8" i="81"/>
  <c r="S9" i="81"/>
  <c r="AB9" i="81"/>
  <c r="AA10" i="81"/>
  <c r="W11" i="81"/>
  <c r="S12" i="81"/>
  <c r="AA13" i="81"/>
  <c r="W14" i="81"/>
  <c r="AB15" i="81"/>
  <c r="F33" i="81"/>
  <c r="H99" i="81"/>
  <c r="I99" i="81" s="1"/>
  <c r="J99" i="81" s="1"/>
  <c r="K99" i="81" s="1"/>
  <c r="L99" i="81" s="1"/>
  <c r="M99" i="81" s="1"/>
  <c r="J33" i="81"/>
  <c r="H33" i="81"/>
  <c r="AB10" i="81"/>
  <c r="S15" i="81"/>
  <c r="AC10" i="81"/>
  <c r="J32" i="81"/>
  <c r="H32" i="81"/>
  <c r="F96" i="81"/>
  <c r="G96" i="81" s="1"/>
  <c r="H96" i="81" s="1"/>
  <c r="I96" i="81" s="1"/>
  <c r="J96" i="81" s="1"/>
  <c r="K96" i="81" s="1"/>
  <c r="L96" i="81" s="1"/>
  <c r="M96" i="81" s="1"/>
  <c r="AA8" i="81"/>
  <c r="U17" i="81"/>
  <c r="U19" i="81"/>
  <c r="U21" i="81"/>
  <c r="U23" i="81"/>
  <c r="W25" i="81"/>
  <c r="S27" i="81"/>
  <c r="U28" i="81"/>
  <c r="W29" i="81"/>
  <c r="W34" i="81"/>
  <c r="S36" i="81"/>
  <c r="U37" i="81"/>
  <c r="W38" i="81"/>
  <c r="S40" i="81"/>
  <c r="W15" i="81"/>
  <c r="W19" i="81"/>
  <c r="W21" i="81"/>
  <c r="W23" i="81"/>
  <c r="S26" i="81"/>
  <c r="U27" i="81"/>
  <c r="W28" i="81"/>
  <c r="S31" i="81"/>
  <c r="S35" i="81"/>
  <c r="S39" i="81"/>
  <c r="U40" i="81"/>
  <c r="W9" i="81"/>
  <c r="S11" i="81"/>
  <c r="U12" i="81"/>
  <c r="W13" i="81"/>
  <c r="S25" i="81"/>
  <c r="U26" i="81"/>
  <c r="W27" i="81"/>
  <c r="S29" i="81"/>
  <c r="U31" i="81"/>
  <c r="S34" i="81"/>
  <c r="U35" i="81"/>
  <c r="W36" i="81"/>
  <c r="U39" i="81"/>
  <c r="W40" i="81"/>
  <c r="S17" i="81"/>
  <c r="S21" i="81"/>
  <c r="S23" i="81"/>
  <c r="U25" i="81"/>
  <c r="W26" i="81"/>
  <c r="S28" i="81"/>
  <c r="U29" i="81"/>
  <c r="W31" i="81"/>
  <c r="W35" i="81"/>
  <c r="S37" i="81"/>
  <c r="U38" i="81"/>
  <c r="W39" i="81"/>
  <c r="L7" i="80"/>
  <c r="L5" i="80"/>
  <c r="O5" i="80" s="1"/>
  <c r="L3" i="80"/>
  <c r="L4" i="80"/>
  <c r="O4" i="80" s="1"/>
  <c r="L6" i="80"/>
  <c r="L2" i="80"/>
  <c r="O2" i="80" s="1"/>
  <c r="N3" i="80"/>
  <c r="N4" i="80"/>
  <c r="N5" i="80"/>
  <c r="N2" i="80"/>
  <c r="I14" i="3"/>
  <c r="I13" i="3"/>
  <c r="W37" i="81" l="1"/>
  <c r="AA14" i="81"/>
  <c r="N8" i="1"/>
  <c r="Y8" i="1" s="1"/>
  <c r="O3" i="80"/>
  <c r="S19" i="82"/>
  <c r="U34" i="81"/>
  <c r="S19" i="81"/>
  <c r="S38" i="81"/>
  <c r="U36" i="81"/>
  <c r="S17" i="82"/>
  <c r="W15" i="82"/>
  <c r="AB15" i="82"/>
  <c r="W17" i="81"/>
  <c r="F32" i="81"/>
  <c r="AA32" i="81" s="1"/>
  <c r="S36" i="82"/>
  <c r="U28" i="82"/>
  <c r="H32" i="82"/>
  <c r="U32" i="82" s="1"/>
  <c r="J32" i="82"/>
  <c r="W32" i="82" s="1"/>
  <c r="AB9" i="82"/>
  <c r="U36" i="82"/>
  <c r="F32" i="82"/>
  <c r="AA32" i="82" s="1"/>
  <c r="AA33" i="82"/>
  <c r="S33" i="82"/>
  <c r="AB33" i="82"/>
  <c r="U33" i="82"/>
  <c r="AB32" i="82"/>
  <c r="AC33" i="82"/>
  <c r="W33" i="82"/>
  <c r="AC33" i="81"/>
  <c r="W33" i="81"/>
  <c r="AC32" i="81"/>
  <c r="W32" i="81"/>
  <c r="AB33" i="81"/>
  <c r="U33" i="81"/>
  <c r="AA33" i="81"/>
  <c r="S33" i="81"/>
  <c r="AB32" i="81"/>
  <c r="U32" i="81"/>
  <c r="F6" i="80"/>
  <c r="O6" i="80" s="1"/>
  <c r="F7" i="80"/>
  <c r="R11" i="80"/>
  <c r="O7" i="80" l="1"/>
  <c r="O8" i="80" s="1"/>
  <c r="P7" i="80"/>
  <c r="AC32" i="82"/>
  <c r="S32" i="81"/>
  <c r="S32" i="82"/>
  <c r="N7" i="80"/>
  <c r="K16" i="3"/>
  <c r="A46" i="37" s="1"/>
  <c r="N6" i="80"/>
  <c r="I16" i="3"/>
  <c r="F8" i="80"/>
  <c r="C3" i="80"/>
  <c r="C4" i="80"/>
  <c r="C6" i="80"/>
  <c r="C2" i="80"/>
  <c r="B5" i="80"/>
  <c r="C5" i="80" s="1"/>
  <c r="C16" i="3"/>
  <c r="C15" i="3"/>
  <c r="C14" i="3"/>
  <c r="C13" i="3"/>
  <c r="D3" i="4"/>
  <c r="L8" i="80" l="1"/>
  <c r="N6" i="1" s="1"/>
  <c r="Y6" i="1" s="1"/>
  <c r="N8" i="80"/>
  <c r="J8" i="80" s="1"/>
  <c r="A45" i="37"/>
  <c r="C8" i="80"/>
  <c r="B8" i="80" s="1"/>
  <c r="G14" i="73"/>
  <c r="F14" i="73"/>
  <c r="E14" i="73"/>
  <c r="G15" i="73"/>
  <c r="F15" i="73"/>
  <c r="E15" i="73"/>
  <c r="N7" i="1" l="1"/>
  <c r="Y7" i="1" s="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S14" i="79"/>
  <c r="S15" i="79"/>
  <c r="S28" i="79"/>
  <c r="AA26" i="79"/>
  <c r="AD26" i="79" s="1"/>
  <c r="T30" i="79"/>
  <c r="W30" i="79" s="1"/>
  <c r="U36" i="79"/>
  <c r="AD37" i="79"/>
  <c r="S38" i="79"/>
  <c r="U40" i="79"/>
  <c r="AD41" i="79"/>
  <c r="V13" i="79"/>
  <c r="T15" i="79"/>
  <c r="W15" i="79" s="1"/>
  <c r="T17" i="79"/>
  <c r="W17" i="79" s="1"/>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B71" i="71" s="1"/>
  <c r="B70" i="71" s="1"/>
  <c r="Q71" i="71"/>
  <c r="P71" i="71"/>
  <c r="O71" i="71"/>
  <c r="N71" i="71"/>
  <c r="Q70" i="71"/>
  <c r="P70" i="71"/>
  <c r="O70" i="71"/>
  <c r="N70" i="71"/>
  <c r="Q69" i="71"/>
  <c r="P69" i="71"/>
  <c r="O69" i="71"/>
  <c r="N69" i="71"/>
  <c r="D69" i="71"/>
  <c r="F68" i="71"/>
  <c r="E68" i="71"/>
  <c r="P68" i="71" s="1"/>
  <c r="C68" i="71"/>
  <c r="T68" i="71" s="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c r="O39" i="71"/>
  <c r="N39" i="71"/>
  <c r="X39" i="71" s="1"/>
  <c r="Q38" i="71"/>
  <c r="P38" i="71"/>
  <c r="O38" i="71"/>
  <c r="Y37" i="71" s="1"/>
  <c r="Z37" i="71" s="1"/>
  <c r="N38" i="71"/>
  <c r="Q37" i="71"/>
  <c r="P37" i="71"/>
  <c r="E38" i="71" s="1"/>
  <c r="E39" i="71" s="1"/>
  <c r="E40" i="71" s="1"/>
  <c r="U40" i="71" s="1"/>
  <c r="O37" i="71"/>
  <c r="N37" i="71"/>
  <c r="B38" i="71" s="1"/>
  <c r="B39" i="71" s="1"/>
  <c r="D37" i="71"/>
  <c r="Q36" i="71"/>
  <c r="P36" i="71"/>
  <c r="O36" i="71"/>
  <c r="N36" i="71"/>
  <c r="X36" i="71" s="1"/>
  <c r="Q35" i="71"/>
  <c r="P35" i="71"/>
  <c r="O35" i="71"/>
  <c r="N35" i="71"/>
  <c r="X35" i="71" s="1"/>
  <c r="Q34" i="71"/>
  <c r="P34" i="71"/>
  <c r="O34" i="71"/>
  <c r="N34" i="71"/>
  <c r="Q33" i="71"/>
  <c r="F34" i="71" s="1"/>
  <c r="P33" i="71"/>
  <c r="O33" i="71"/>
  <c r="C34" i="71" s="1"/>
  <c r="D34" i="71" s="1"/>
  <c r="N33" i="71"/>
  <c r="B34" i="71" s="1"/>
  <c r="B35" i="71" s="1"/>
  <c r="B36" i="71" s="1"/>
  <c r="S36" i="71" s="1"/>
  <c r="D33" i="71"/>
  <c r="Q32" i="71"/>
  <c r="P32" i="71"/>
  <c r="O32" i="71"/>
  <c r="N32" i="71"/>
  <c r="Q31" i="71"/>
  <c r="P31" i="71"/>
  <c r="O31" i="71"/>
  <c r="N31" i="71"/>
  <c r="Q30" i="71"/>
  <c r="P30" i="71"/>
  <c r="O30" i="71"/>
  <c r="Y30" i="71" s="1"/>
  <c r="Z30" i="71" s="1"/>
  <c r="N30" i="71"/>
  <c r="Q29" i="71"/>
  <c r="F30" i="71" s="1"/>
  <c r="P29" i="71"/>
  <c r="O29" i="71"/>
  <c r="N29" i="71"/>
  <c r="D29" i="71"/>
  <c r="O28" i="71"/>
  <c r="N28" i="71"/>
  <c r="B28" i="71" s="1"/>
  <c r="B30" i="71"/>
  <c r="B31" i="71" s="1"/>
  <c r="C30" i="71"/>
  <c r="D30" i="71" s="1"/>
  <c r="C38" i="71"/>
  <c r="D38" i="71" s="1"/>
  <c r="X38" i="71"/>
  <c r="C28" i="71"/>
  <c r="C27" i="71" s="1"/>
  <c r="C39" i="71"/>
  <c r="D39" i="71" s="1"/>
  <c r="P28" i="71"/>
  <c r="E28" i="71" s="1"/>
  <c r="E67" i="71"/>
  <c r="P67" i="71" s="1"/>
  <c r="Q28" i="71"/>
  <c r="C59" i="71"/>
  <c r="D59" i="71" s="1"/>
  <c r="D58" i="71"/>
  <c r="O68" i="71"/>
  <c r="D68" i="71"/>
  <c r="C71" i="71"/>
  <c r="D71" i="71" s="1"/>
  <c r="D72" i="71"/>
  <c r="C75" i="71"/>
  <c r="C74" i="71" s="1"/>
  <c r="D74" i="71" s="1"/>
  <c r="E75" i="71"/>
  <c r="E74" i="71" s="1"/>
  <c r="C79" i="71"/>
  <c r="D79" i="71" s="1"/>
  <c r="E79" i="71"/>
  <c r="E78" i="71" s="1"/>
  <c r="D80" i="71"/>
  <c r="C83" i="71"/>
  <c r="D83" i="71" s="1"/>
  <c r="C87" i="71"/>
  <c r="C86" i="71" s="1"/>
  <c r="D86" i="71" s="1"/>
  <c r="F28" i="71"/>
  <c r="F27" i="71" s="1"/>
  <c r="F26" i="71" s="1"/>
  <c r="C82" i="71"/>
  <c r="D82" i="71" s="1"/>
  <c r="C78" i="71"/>
  <c r="D78" i="71" s="1"/>
  <c r="C60" i="71"/>
  <c r="T60" i="71" s="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AC25" i="40" s="1"/>
  <c r="H29" i="39"/>
  <c r="AB29" i="39" s="1"/>
  <c r="J29" i="39"/>
  <c r="J18" i="36"/>
  <c r="AC18" i="36" s="1"/>
  <c r="H18" i="35"/>
  <c r="AB18" i="35" s="1"/>
  <c r="J18" i="35"/>
  <c r="AC18" i="35" s="1"/>
  <c r="H21" i="37"/>
  <c r="AB21" i="37" s="1"/>
  <c r="F21" i="37"/>
  <c r="AA21" i="37" s="1"/>
  <c r="H21" i="34"/>
  <c r="AB21" i="34" s="1"/>
  <c r="H21" i="33"/>
  <c r="U21" i="33" s="1"/>
  <c r="F21" i="33"/>
  <c r="E83" i="21"/>
  <c r="F83" i="21" s="1"/>
  <c r="H1" i="69"/>
  <c r="W25" i="40"/>
  <c r="U29" i="39"/>
  <c r="AB21" i="33"/>
  <c r="W18" i="35"/>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44" i="43"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D3" i="81" s="1"/>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s="1"/>
  <c r="S34" i="37" s="1"/>
  <c r="D99" i="37"/>
  <c r="E99" i="37" s="1"/>
  <c r="F99" i="37" s="1"/>
  <c r="G99" i="37" s="1"/>
  <c r="H42" i="34"/>
  <c r="U42" i="34" s="1"/>
  <c r="J42" i="34"/>
  <c r="W42" i="34" s="1"/>
  <c r="F42" i="34"/>
  <c r="J38" i="34"/>
  <c r="W38" i="34"/>
  <c r="D114" i="34"/>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F40" i="37" s="1"/>
  <c r="AA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F75" i="37" s="1"/>
  <c r="G75" i="37" s="1"/>
  <c r="D73" i="37"/>
  <c r="E73" i="37" s="1"/>
  <c r="F73" i="37" s="1"/>
  <c r="G73" i="37" s="1"/>
  <c r="D71" i="37"/>
  <c r="H15" i="37" s="1"/>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c r="J23" i="36"/>
  <c r="AC23" i="36" s="1"/>
  <c r="AB23" i="36"/>
  <c r="F23" i="36"/>
  <c r="AA23" i="36"/>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H34" i="35" s="1"/>
  <c r="U34" i="35" s="1"/>
  <c r="B77" i="35"/>
  <c r="F25" i="35" s="1"/>
  <c r="S25" i="35" s="1"/>
  <c r="B75" i="35"/>
  <c r="J24" i="35" s="1"/>
  <c r="AC24" i="35" s="1"/>
  <c r="B73" i="35"/>
  <c r="J23" i="35" s="1"/>
  <c r="AC23" i="35" s="1"/>
  <c r="B57" i="35"/>
  <c r="B61" i="35"/>
  <c r="B59" i="35"/>
  <c r="H12" i="35" s="1"/>
  <c r="B131" i="34"/>
  <c r="J47" i="34" s="1"/>
  <c r="B129" i="34"/>
  <c r="J46" i="34" s="1"/>
  <c r="B127" i="34"/>
  <c r="B99" i="34"/>
  <c r="J32" i="34" s="1"/>
  <c r="W32" i="34" s="1"/>
  <c r="B97" i="34"/>
  <c r="B95" i="34"/>
  <c r="B93" i="34"/>
  <c r="B75" i="34"/>
  <c r="J14" i="34" s="1"/>
  <c r="W14" i="34" s="1"/>
  <c r="B73" i="34"/>
  <c r="B71" i="34"/>
  <c r="B130" i="33"/>
  <c r="B128" i="33"/>
  <c r="B126" i="33"/>
  <c r="H44" i="33" s="1"/>
  <c r="B98" i="33"/>
  <c r="J31" i="33" s="1"/>
  <c r="W31" i="33" s="1"/>
  <c r="B96" i="33"/>
  <c r="B94" i="33"/>
  <c r="H29" i="33" s="1"/>
  <c r="B74" i="33"/>
  <c r="H14" i="33" s="1"/>
  <c r="U14" i="33" s="1"/>
  <c r="B72" i="33"/>
  <c r="B70" i="33"/>
  <c r="H12" i="33" s="1"/>
  <c r="U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AB34" i="35"/>
  <c r="Q33" i="35"/>
  <c r="Z33" i="35" s="1"/>
  <c r="Q32" i="35"/>
  <c r="Z32" i="35"/>
  <c r="H32" i="35"/>
  <c r="AB32" i="35" s="1"/>
  <c r="F32" i="35"/>
  <c r="AA32" i="35" s="1"/>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H46" i="21" s="1"/>
  <c r="B128" i="21"/>
  <c r="J45" i="21"/>
  <c r="W45" i="21" s="1"/>
  <c r="B126" i="21"/>
  <c r="J44" i="21" s="1"/>
  <c r="AC44" i="21" s="1"/>
  <c r="B98" i="21"/>
  <c r="H31" i="21" s="1"/>
  <c r="B96" i="21"/>
  <c r="B94" i="21"/>
  <c r="J29" i="21" s="1"/>
  <c r="AC29" i="21" s="1"/>
  <c r="B92" i="21"/>
  <c r="B90" i="21"/>
  <c r="H27" i="21" s="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U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F45" i="39"/>
  <c r="S45" i="39" s="1"/>
  <c r="J44" i="39"/>
  <c r="AC44" i="39" s="1"/>
  <c r="J35" i="39"/>
  <c r="AC35" i="39" s="1"/>
  <c r="F35" i="39"/>
  <c r="AA35" i="39" s="1"/>
  <c r="U9" i="39"/>
  <c r="E103" i="37"/>
  <c r="F103" i="37" s="1"/>
  <c r="G103" i="37" s="1"/>
  <c r="H103" i="37" s="1"/>
  <c r="I103" i="37" s="1"/>
  <c r="J103" i="37" s="1"/>
  <c r="K103" i="37" s="1"/>
  <c r="L103" i="37" s="1"/>
  <c r="M103" i="37" s="1"/>
  <c r="F39" i="37"/>
  <c r="S39" i="37" s="1"/>
  <c r="F29" i="36"/>
  <c r="AA29" i="36" s="1"/>
  <c r="F16" i="36"/>
  <c r="AA16" i="36" s="1"/>
  <c r="U31" i="36"/>
  <c r="J33" i="36"/>
  <c r="AC33" i="36" s="1"/>
  <c r="H22" i="35"/>
  <c r="AB22" i="35" s="1"/>
  <c r="U31" i="35"/>
  <c r="W22" i="35"/>
  <c r="S31" i="35"/>
  <c r="F36" i="34"/>
  <c r="J35" i="34"/>
  <c r="W35" i="34" s="1"/>
  <c r="U34" i="34"/>
  <c r="H39" i="33"/>
  <c r="AB39" i="33" s="1"/>
  <c r="W33" i="33"/>
  <c r="W39" i="33"/>
  <c r="H39" i="37"/>
  <c r="AB39" i="37" s="1"/>
  <c r="S27" i="35"/>
  <c r="F11" i="40"/>
  <c r="AA11" i="40" s="1"/>
  <c r="H11" i="40"/>
  <c r="AB11" i="40" s="1"/>
  <c r="W8" i="40"/>
  <c r="AA9" i="40"/>
  <c r="W31"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W17" i="39" s="1"/>
  <c r="J27" i="39"/>
  <c r="AC27" i="39" s="1"/>
  <c r="F27" i="39"/>
  <c r="F11" i="21"/>
  <c r="S11" i="21" s="1"/>
  <c r="C25" i="39"/>
  <c r="H11" i="39"/>
  <c r="S40" i="39"/>
  <c r="H32" i="33"/>
  <c r="AB32" i="33"/>
  <c r="H11" i="21"/>
  <c r="U11" i="21" s="1"/>
  <c r="J11" i="21"/>
  <c r="W11" i="21" s="1"/>
  <c r="H37" i="40"/>
  <c r="U37" i="40"/>
  <c r="H36" i="40"/>
  <c r="AB36" i="40" s="1"/>
  <c r="F35" i="40"/>
  <c r="AA35" i="40" s="1"/>
  <c r="H23" i="40"/>
  <c r="AB23" i="40" s="1"/>
  <c r="H17" i="40"/>
  <c r="U17" i="40" s="1"/>
  <c r="J15" i="40"/>
  <c r="W15" i="40" s="1"/>
  <c r="J11" i="40"/>
  <c r="W11" i="40" s="1"/>
  <c r="AB8" i="39"/>
  <c r="AB12" i="36"/>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F19" i="34"/>
  <c r="H17" i="34"/>
  <c r="F15" i="34"/>
  <c r="AA15" i="34" s="1"/>
  <c r="J15" i="34"/>
  <c r="W15" i="34" s="1"/>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c r="AC11" i="40"/>
  <c r="AA12" i="36"/>
  <c r="AB30" i="36"/>
  <c r="F29" i="35"/>
  <c r="H29" i="35"/>
  <c r="AB29" i="35" s="1"/>
  <c r="U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s="1"/>
  <c r="H42" i="21"/>
  <c r="U42" i="21"/>
  <c r="J44" i="34"/>
  <c r="W44" i="34" s="1"/>
  <c r="F44" i="34"/>
  <c r="AA44" i="34" s="1"/>
  <c r="J10" i="35"/>
  <c r="AC10" i="35" s="1"/>
  <c r="J14" i="21"/>
  <c r="W14" i="21"/>
  <c r="F14" i="21"/>
  <c r="S14" i="21" s="1"/>
  <c r="H14" i="21"/>
  <c r="U14" i="21"/>
  <c r="H28" i="21"/>
  <c r="AB28" i="21" s="1"/>
  <c r="F28" i="21"/>
  <c r="AA28" i="21" s="1"/>
  <c r="J28" i="21"/>
  <c r="W28" i="21" s="1"/>
  <c r="H30" i="21"/>
  <c r="U30" i="21" s="1"/>
  <c r="F30" i="21"/>
  <c r="S30" i="21" s="1"/>
  <c r="J30" i="21"/>
  <c r="AC30" i="21"/>
  <c r="H44" i="21"/>
  <c r="U44" i="2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c r="F45" i="21"/>
  <c r="AA45" i="21" s="1"/>
  <c r="F27" i="33"/>
  <c r="AA27" i="33" s="1"/>
  <c r="J13" i="33"/>
  <c r="H13" i="33"/>
  <c r="U13" i="33" s="1"/>
  <c r="F13" i="33"/>
  <c r="S13" i="33" s="1"/>
  <c r="J29" i="33"/>
  <c r="U29" i="33"/>
  <c r="F29" i="33"/>
  <c r="S29" i="33" s="1"/>
  <c r="H31" i="33"/>
  <c r="F31" i="33"/>
  <c r="S31" i="33" s="1"/>
  <c r="H45" i="33"/>
  <c r="J45" i="33"/>
  <c r="W45" i="33" s="1"/>
  <c r="F45" i="33"/>
  <c r="AA45" i="33"/>
  <c r="F14" i="34"/>
  <c r="S14" i="34" s="1"/>
  <c r="H14" i="34"/>
  <c r="H30" i="34"/>
  <c r="F30" i="34"/>
  <c r="S30" i="34" s="1"/>
  <c r="J30" i="34"/>
  <c r="H32" i="34"/>
  <c r="F32" i="34"/>
  <c r="H46" i="34"/>
  <c r="U46" i="34" s="1"/>
  <c r="F46" i="34"/>
  <c r="H11" i="35"/>
  <c r="AB11" i="35" s="1"/>
  <c r="J11" i="35"/>
  <c r="W11" i="35" s="1"/>
  <c r="F11" i="35"/>
  <c r="S11" i="35" s="1"/>
  <c r="J26" i="36"/>
  <c r="W26" i="36"/>
  <c r="H28" i="36"/>
  <c r="U28" i="36" s="1"/>
  <c r="H32" i="36"/>
  <c r="AB32" i="36" s="1"/>
  <c r="J11" i="36"/>
  <c r="AC11" i="36" s="1"/>
  <c r="H11" i="36"/>
  <c r="U11" i="36" s="1"/>
  <c r="F11" i="36"/>
  <c r="H13" i="36"/>
  <c r="AB13" i="36"/>
  <c r="J13" i="36"/>
  <c r="F13" i="36"/>
  <c r="S13" i="36" s="1"/>
  <c r="J29" i="37"/>
  <c r="W29" i="37" s="1"/>
  <c r="F29" i="37"/>
  <c r="S29" i="37" s="1"/>
  <c r="F105" i="37"/>
  <c r="G105" i="37" s="1"/>
  <c r="H36" i="37"/>
  <c r="AB36" i="37" s="1"/>
  <c r="J37" i="37"/>
  <c r="AC37" i="37" s="1"/>
  <c r="H37" i="37"/>
  <c r="U37" i="37" s="1"/>
  <c r="H40" i="37"/>
  <c r="U40" i="37" s="1"/>
  <c r="J40" i="37"/>
  <c r="AC40" i="37" s="1"/>
  <c r="AC12" i="40"/>
  <c r="W12" i="40"/>
  <c r="F14" i="33"/>
  <c r="S14" i="33" s="1"/>
  <c r="J14" i="33"/>
  <c r="AC14" i="33" s="1"/>
  <c r="H30" i="33"/>
  <c r="AB30" i="33" s="1"/>
  <c r="F30" i="33"/>
  <c r="J30" i="33"/>
  <c r="AC30" i="33" s="1"/>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AC47" i="34"/>
  <c r="F13" i="35"/>
  <c r="J13" i="35"/>
  <c r="AC13" i="35" s="1"/>
  <c r="H13" i="35"/>
  <c r="U13" i="35" s="1"/>
  <c r="J25" i="35"/>
  <c r="W25" i="35" s="1"/>
  <c r="H25" i="35"/>
  <c r="AB25" i="35" s="1"/>
  <c r="J35" i="35"/>
  <c r="AC35" i="35" s="1"/>
  <c r="F35" i="35"/>
  <c r="AA35" i="35" s="1"/>
  <c r="H35" i="35"/>
  <c r="J25" i="36"/>
  <c r="W25" i="36" s="1"/>
  <c r="F25" i="36"/>
  <c r="S25" i="36"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W35" i="40" s="1"/>
  <c r="J37" i="40"/>
  <c r="AC37" i="40" s="1"/>
  <c r="H13" i="40"/>
  <c r="U13" i="40"/>
  <c r="J13" i="40"/>
  <c r="W13" i="40" s="1"/>
  <c r="F13" i="40"/>
  <c r="AA13" i="40" s="1"/>
  <c r="F14" i="37"/>
  <c r="S14" i="37" s="1"/>
  <c r="F27" i="37"/>
  <c r="AA27" i="37" s="1"/>
  <c r="F13" i="39"/>
  <c r="H13" i="39"/>
  <c r="H14" i="40"/>
  <c r="U14" i="40" s="1"/>
  <c r="J14" i="40"/>
  <c r="W14" i="40" s="1"/>
  <c r="F14" i="40"/>
  <c r="AA14" i="40" s="1"/>
  <c r="J14" i="37"/>
  <c r="J27" i="37"/>
  <c r="AC27" i="37" s="1"/>
  <c r="U46" i="33"/>
  <c r="AA14" i="33"/>
  <c r="J36" i="37"/>
  <c r="AC36" i="37" s="1"/>
  <c r="J10" i="36"/>
  <c r="AC10" i="36" s="1"/>
  <c r="AB26" i="33"/>
  <c r="AA14" i="34"/>
  <c r="S45" i="33"/>
  <c r="BA586" i="3"/>
  <c r="F17" i="21"/>
  <c r="AA17" i="21" s="1"/>
  <c r="H17" i="21"/>
  <c r="AB17" i="21" s="1"/>
  <c r="F15" i="21"/>
  <c r="S15" i="21" s="1"/>
  <c r="J41" i="39"/>
  <c r="W41" i="39" s="1"/>
  <c r="W44" i="39"/>
  <c r="S35" i="39"/>
  <c r="G544" i="3"/>
  <c r="G540" i="3"/>
  <c r="G536" i="3"/>
  <c r="G535" i="3"/>
  <c r="G531" i="3"/>
  <c r="G528" i="3"/>
  <c r="G527" i="3"/>
  <c r="G518" i="3"/>
  <c r="G514" i="3"/>
  <c r="G510" i="3"/>
  <c r="G508" i="3"/>
  <c r="G504" i="3"/>
  <c r="G500" i="3"/>
  <c r="G496" i="3"/>
  <c r="G584" i="3"/>
  <c r="G580" i="3"/>
  <c r="G576" i="3"/>
  <c r="G572" i="3"/>
  <c r="G564" i="3"/>
  <c r="G560" i="3"/>
  <c r="G554" i="3"/>
  <c r="G550" i="3"/>
  <c r="BL584" i="3"/>
  <c r="BL580" i="3"/>
  <c r="BL576" i="3"/>
  <c r="BL568" i="3"/>
  <c r="BL564" i="3"/>
  <c r="BL560" i="3"/>
  <c r="BL546" i="3"/>
  <c r="BL542" i="3"/>
  <c r="BL538" i="3"/>
  <c r="BL530" i="3"/>
  <c r="BL526" i="3"/>
  <c r="BL522" i="3"/>
  <c r="BL512" i="3"/>
  <c r="BL506" i="3"/>
  <c r="BL502" i="3"/>
  <c r="AZ502" i="3" s="1"/>
  <c r="BL494" i="3"/>
  <c r="BL582" i="3"/>
  <c r="BL578" i="3"/>
  <c r="BL570" i="3"/>
  <c r="BL566" i="3"/>
  <c r="BL562" i="3"/>
  <c r="BL556" i="3"/>
  <c r="BL552" i="3"/>
  <c r="BL544" i="3"/>
  <c r="BL540" i="3"/>
  <c r="G533" i="3"/>
  <c r="BL532" i="3"/>
  <c r="AZ532" i="3" s="1"/>
  <c r="G529" i="3"/>
  <c r="G525" i="3"/>
  <c r="BL524" i="3"/>
  <c r="BL518" i="3"/>
  <c r="BL510" i="3"/>
  <c r="BL504" i="3"/>
  <c r="BL500" i="3"/>
  <c r="G493" i="3"/>
  <c r="BA584" i="3"/>
  <c r="BA582" i="3"/>
  <c r="AZ582" i="3" s="1"/>
  <c r="BA578" i="3"/>
  <c r="BA576" i="3"/>
  <c r="AZ576" i="3" s="1"/>
  <c r="BA574" i="3"/>
  <c r="BA570" i="3"/>
  <c r="BA568" i="3"/>
  <c r="BA566" i="3"/>
  <c r="BA564" i="3"/>
  <c r="BA562" i="3"/>
  <c r="BA560" i="3"/>
  <c r="AZ560" i="3" s="1"/>
  <c r="BA558" i="3"/>
  <c r="BA556" i="3"/>
  <c r="BA554" i="3"/>
  <c r="BA552" i="3"/>
  <c r="AZ552" i="3"/>
  <c r="BA548" i="3"/>
  <c r="BA546" i="3"/>
  <c r="BA544" i="3"/>
  <c r="AZ544" i="3"/>
  <c r="BA542" i="3"/>
  <c r="BA540" i="3"/>
  <c r="BA538" i="3"/>
  <c r="AZ538" i="3" s="1"/>
  <c r="BA536" i="3"/>
  <c r="BA534" i="3"/>
  <c r="BA532" i="3"/>
  <c r="BA530" i="3"/>
  <c r="AZ530" i="3" s="1"/>
  <c r="BA528" i="3"/>
  <c r="BA526" i="3"/>
  <c r="BA524" i="3"/>
  <c r="AZ524" i="3" s="1"/>
  <c r="BA522" i="3"/>
  <c r="AZ522" i="3" s="1"/>
  <c r="BA520" i="3"/>
  <c r="BA518" i="3"/>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c r="BQ577" i="3"/>
  <c r="BL577" i="3" s="1"/>
  <c r="BQ575" i="3"/>
  <c r="BL575" i="3" s="1"/>
  <c r="BQ573" i="3"/>
  <c r="BL573" i="3" s="1"/>
  <c r="BQ571" i="3"/>
  <c r="BL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c r="BL508" i="3"/>
  <c r="AZ508" i="3"/>
  <c r="G507" i="3"/>
  <c r="G505" i="3"/>
  <c r="G503" i="3"/>
  <c r="G501" i="3"/>
  <c r="G499" i="3"/>
  <c r="G497" i="3"/>
  <c r="G495" i="3"/>
  <c r="BQ507" i="3"/>
  <c r="BQ505" i="3"/>
  <c r="BL505" i="3"/>
  <c r="BQ503" i="3"/>
  <c r="BL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S39" i="33" s="1"/>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W32" i="37" s="1"/>
  <c r="F36" i="37"/>
  <c r="AA36" i="37" s="1"/>
  <c r="F37" i="37"/>
  <c r="AA37" i="37" s="1"/>
  <c r="F31" i="40"/>
  <c r="AA31" i="40" s="1"/>
  <c r="H31" i="40"/>
  <c r="U31" i="40"/>
  <c r="F32" i="40"/>
  <c r="S32" i="40" s="1"/>
  <c r="H32" i="40"/>
  <c r="U32" i="40" s="1"/>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W47" i="34"/>
  <c r="AC36" i="34"/>
  <c r="AA13" i="33"/>
  <c r="AC31" i="33"/>
  <c r="AC45" i="33"/>
  <c r="U11" i="33"/>
  <c r="U19" i="21"/>
  <c r="W44" i="21"/>
  <c r="AB38" i="21"/>
  <c r="F43" i="33"/>
  <c r="AA43" i="33" s="1"/>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G100" i="39"/>
  <c r="H37" i="39"/>
  <c r="AB37" i="39" s="1"/>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AZ155" i="3" s="1"/>
  <c r="BL156" i="3"/>
  <c r="G157" i="3"/>
  <c r="BA159" i="3"/>
  <c r="BL160" i="3"/>
  <c r="G161" i="3"/>
  <c r="BA163" i="3"/>
  <c r="BL164" i="3"/>
  <c r="G165" i="3"/>
  <c r="BA167" i="3"/>
  <c r="BL168" i="3"/>
  <c r="AZ168" i="3" s="1"/>
  <c r="G169" i="3"/>
  <c r="BA171" i="3"/>
  <c r="AZ171" i="3"/>
  <c r="BL172" i="3"/>
  <c r="G173" i="3"/>
  <c r="BA175" i="3"/>
  <c r="BL176" i="3"/>
  <c r="G177" i="3"/>
  <c r="BA179" i="3"/>
  <c r="BL180" i="3"/>
  <c r="G181" i="3"/>
  <c r="BA183" i="3"/>
  <c r="BL184" i="3"/>
  <c r="G185" i="3"/>
  <c r="BA187" i="3"/>
  <c r="BL188" i="3"/>
  <c r="G189" i="3"/>
  <c r="BA191" i="3"/>
  <c r="BL192" i="3"/>
  <c r="AZ192" i="3" s="1"/>
  <c r="G193" i="3"/>
  <c r="BA195" i="3"/>
  <c r="BL196" i="3"/>
  <c r="G197" i="3"/>
  <c r="BA199" i="3"/>
  <c r="BL200" i="3"/>
  <c r="G201" i="3"/>
  <c r="BA203" i="3"/>
  <c r="BL204"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AZ369" i="3" s="1"/>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G312" i="3"/>
  <c r="BA314" i="3"/>
  <c r="BL315" i="3"/>
  <c r="G316" i="3"/>
  <c r="BA318" i="3"/>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AZ362" i="3" s="1"/>
  <c r="G363" i="3"/>
  <c r="BA365" i="3"/>
  <c r="BL366" i="3"/>
  <c r="G367" i="3"/>
  <c r="BA369" i="3"/>
  <c r="BL370" i="3"/>
  <c r="G371" i="3"/>
  <c r="BA373" i="3"/>
  <c r="AZ373" i="3" s="1"/>
  <c r="BL374" i="3"/>
  <c r="G375" i="3"/>
  <c r="BA377" i="3"/>
  <c r="AZ377" i="3" s="1"/>
  <c r="AZ233" i="3"/>
  <c r="AZ249" i="3"/>
  <c r="BA379" i="3"/>
  <c r="BL380" i="3"/>
  <c r="G381" i="3"/>
  <c r="BA383" i="3"/>
  <c r="BL384" i="3"/>
  <c r="G385" i="3"/>
  <c r="BA387" i="3"/>
  <c r="BL388" i="3"/>
  <c r="G389" i="3"/>
  <c r="BA391" i="3"/>
  <c r="AZ391" i="3" s="1"/>
  <c r="BL392" i="3"/>
  <c r="AZ392" i="3" s="1"/>
  <c r="G393" i="3"/>
  <c r="BO5" i="3"/>
  <c r="BM5" i="3"/>
  <c r="BJ5" i="3"/>
  <c r="BH5" i="3"/>
  <c r="BF5" i="3"/>
  <c r="BD5" i="3"/>
  <c r="AZ506" i="3"/>
  <c r="G548" i="3"/>
  <c r="G538" i="3"/>
  <c r="G520" i="3"/>
  <c r="G502" i="3"/>
  <c r="BS5" i="3"/>
  <c r="BP5" i="3"/>
  <c r="BN5" i="3"/>
  <c r="BK5" i="3"/>
  <c r="BI5" i="3"/>
  <c r="BG5" i="3"/>
  <c r="BE5" i="3"/>
  <c r="G17" i="3"/>
  <c r="BT5" i="3"/>
  <c r="BA15" i="3"/>
  <c r="BR5" i="3"/>
  <c r="AZ509" i="3"/>
  <c r="BL493" i="3"/>
  <c r="AZ493" i="3" s="1"/>
  <c r="U36" i="40"/>
  <c r="F83" i="43"/>
  <c r="H85" i="43" s="1"/>
  <c r="G85" i="43" s="1"/>
  <c r="F50" i="43"/>
  <c r="H54" i="43" s="1"/>
  <c r="F72" i="43"/>
  <c r="H75" i="43" s="1"/>
  <c r="U17" i="39"/>
  <c r="U43" i="21"/>
  <c r="U35" i="21"/>
  <c r="AC35" i="21"/>
  <c r="G10" i="1"/>
  <c r="AZ501" i="3"/>
  <c r="AC44" i="34"/>
  <c r="U13" i="37"/>
  <c r="U12" i="40"/>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F23" i="39"/>
  <c r="AA23" i="39"/>
  <c r="H27" i="36"/>
  <c r="U27" i="36" s="1"/>
  <c r="F27" i="36"/>
  <c r="AA27" i="36" s="1"/>
  <c r="H33" i="34"/>
  <c r="U33" i="34"/>
  <c r="F32" i="37"/>
  <c r="S32" i="37" s="1"/>
  <c r="G96" i="37"/>
  <c r="H96" i="37" s="1"/>
  <c r="I96" i="37" s="1"/>
  <c r="J96" i="37" s="1"/>
  <c r="K96" i="37" s="1"/>
  <c r="L96" i="37" s="1"/>
  <c r="M96" i="37" s="1"/>
  <c r="F20" i="36"/>
  <c r="AA20" i="36" s="1"/>
  <c r="J33" i="34"/>
  <c r="AC33" i="34" s="1"/>
  <c r="H23" i="39"/>
  <c r="U23" i="39" s="1"/>
  <c r="D48" i="9"/>
  <c r="M52" i="9" s="1"/>
  <c r="K9" i="1"/>
  <c r="M9" i="1" s="1"/>
  <c r="W27" i="34"/>
  <c r="AC27" i="34"/>
  <c r="AB34" i="36"/>
  <c r="U34" i="36"/>
  <c r="AB33" i="36"/>
  <c r="U33" i="36"/>
  <c r="AC12" i="39"/>
  <c r="W12" i="39"/>
  <c r="AC39" i="40"/>
  <c r="W39" i="40"/>
  <c r="BL14" i="3"/>
  <c r="U30" i="33"/>
  <c r="AC13" i="34"/>
  <c r="AA47" i="34"/>
  <c r="W28" i="37"/>
  <c r="S19" i="39"/>
  <c r="F12" i="33"/>
  <c r="H12" i="39"/>
  <c r="AB12" i="39"/>
  <c r="F39" i="40"/>
  <c r="AA39" i="40" s="1"/>
  <c r="BA14" i="3"/>
  <c r="AZ189" i="3"/>
  <c r="B12" i="1"/>
  <c r="E12" i="1" s="1"/>
  <c r="B10" i="1"/>
  <c r="E10" i="1" s="1"/>
  <c r="K12" i="1"/>
  <c r="M12" i="1" s="1"/>
  <c r="S13" i="1"/>
  <c r="AR13" i="1" s="1"/>
  <c r="R13" i="1"/>
  <c r="J51" i="67"/>
  <c r="C42" i="1"/>
  <c r="C24" i="12" s="1"/>
  <c r="AC34" i="33"/>
  <c r="AB37" i="40"/>
  <c r="S35" i="40"/>
  <c r="U35" i="40"/>
  <c r="AC36" i="40"/>
  <c r="AA32" i="40"/>
  <c r="S17" i="40"/>
  <c r="S23" i="40"/>
  <c r="AC17" i="40"/>
  <c r="AC15" i="40"/>
  <c r="S28" i="40"/>
  <c r="AA27" i="40"/>
  <c r="AB19" i="40"/>
  <c r="U37" i="39"/>
  <c r="S43" i="39"/>
  <c r="S37" i="39"/>
  <c r="U35" i="39"/>
  <c r="F32" i="39"/>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U22" i="36"/>
  <c r="S16" i="36"/>
  <c r="U23" i="36"/>
  <c r="AA25" i="35"/>
  <c r="S23" i="35"/>
  <c r="W24" i="35"/>
  <c r="AB13" i="35"/>
  <c r="U29" i="35"/>
  <c r="U28" i="35"/>
  <c r="AB27" i="35"/>
  <c r="U36" i="35"/>
  <c r="U32" i="35"/>
  <c r="AA33" i="35"/>
  <c r="AC30" i="35"/>
  <c r="S32" i="35"/>
  <c r="AA36" i="35"/>
  <c r="S28" i="35"/>
  <c r="U22" i="35"/>
  <c r="AC20" i="35"/>
  <c r="S22" i="35"/>
  <c r="U14" i="35"/>
  <c r="AA11" i="35"/>
  <c r="AC9" i="35"/>
  <c r="W9" i="35"/>
  <c r="W13" i="35"/>
  <c r="F9" i="35"/>
  <c r="S9" i="35" s="1"/>
  <c r="H9" i="35"/>
  <c r="U9" i="35" s="1"/>
  <c r="AB40" i="37"/>
  <c r="W27" i="37"/>
  <c r="U29" i="37"/>
  <c r="AC35" i="37"/>
  <c r="W39" i="37"/>
  <c r="J17" i="37"/>
  <c r="AC17" i="37" s="1"/>
  <c r="F17" i="37"/>
  <c r="AA17" i="37" s="1"/>
  <c r="F19" i="37"/>
  <c r="S19" i="37" s="1"/>
  <c r="F79" i="37"/>
  <c r="G79" i="37" s="1"/>
  <c r="F23" i="37"/>
  <c r="S23" i="37" s="1"/>
  <c r="U15" i="37"/>
  <c r="AA13" i="37"/>
  <c r="H10" i="37"/>
  <c r="AB10" i="37" s="1"/>
  <c r="F63" i="37"/>
  <c r="F11" i="37"/>
  <c r="S11" i="37" s="1"/>
  <c r="W25" i="34"/>
  <c r="AB8" i="34"/>
  <c r="U43" i="34"/>
  <c r="W41" i="34"/>
  <c r="AC42" i="34"/>
  <c r="U39" i="34"/>
  <c r="S43" i="34"/>
  <c r="AB41" i="34"/>
  <c r="AA25" i="34"/>
  <c r="U28" i="34"/>
  <c r="S17"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U25" i="33" s="1"/>
  <c r="F25" i="33"/>
  <c r="S25" i="33" s="1"/>
  <c r="J23" i="33"/>
  <c r="AC23" i="33" s="1"/>
  <c r="F85" i="33"/>
  <c r="G85" i="33" s="1"/>
  <c r="H23" i="33"/>
  <c r="AB23" i="33" s="1"/>
  <c r="F81" i="33"/>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BA13" i="3"/>
  <c r="BL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G1" i="15"/>
  <c r="G1" i="69"/>
  <c r="G1" i="67"/>
  <c r="W23" i="40"/>
  <c r="AB31" i="40"/>
  <c r="S37" i="40"/>
  <c r="AB28" i="40"/>
  <c r="W28" i="40"/>
  <c r="W34" i="40"/>
  <c r="W19" i="40"/>
  <c r="W27" i="40"/>
  <c r="S36" i="40"/>
  <c r="W37" i="40"/>
  <c r="AC14" i="40"/>
  <c r="S1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31" i="39"/>
  <c r="AC31" i="39"/>
  <c r="S23" i="39"/>
  <c r="AA45" i="39"/>
  <c r="AB39" i="39"/>
  <c r="W34" i="39"/>
  <c r="U38" i="39"/>
  <c r="S8" i="39"/>
  <c r="S20" i="36"/>
  <c r="AC25" i="36"/>
  <c r="U32" i="36"/>
  <c r="U25" i="36"/>
  <c r="AB28" i="36"/>
  <c r="AA13" i="36"/>
  <c r="W9" i="36"/>
  <c r="W22" i="36"/>
  <c r="W23" i="36"/>
  <c r="AC25" i="35"/>
  <c r="U25" i="35"/>
  <c r="S24" i="35"/>
  <c r="U24" i="35"/>
  <c r="S35" i="35"/>
  <c r="W35" i="35"/>
  <c r="AA16" i="35"/>
  <c r="S27" i="37"/>
  <c r="S40" i="37"/>
  <c r="U38" i="37"/>
  <c r="U8" i="37"/>
  <c r="AB40" i="34"/>
  <c r="U19" i="34"/>
  <c r="W19" i="34"/>
  <c r="AB33" i="34"/>
  <c r="AC45"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AC35" i="34"/>
  <c r="AB28" i="33"/>
  <c r="W46" i="33"/>
  <c r="U39" i="33"/>
  <c r="U38" i="33"/>
  <c r="S33" i="33"/>
  <c r="U44" i="33"/>
  <c r="AB44" i="33"/>
  <c r="S30" i="33"/>
  <c r="AA30" i="33"/>
  <c r="W14" i="33"/>
  <c r="AA31" i="33"/>
  <c r="W13" i="33"/>
  <c r="AC13" i="33"/>
  <c r="U15" i="33"/>
  <c r="S11" i="33"/>
  <c r="U37" i="33"/>
  <c r="AC28" i="33"/>
  <c r="S28" i="33"/>
  <c r="W8" i="33"/>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H45" i="21"/>
  <c r="U45" i="21" s="1"/>
  <c r="F29" i="21"/>
  <c r="AA29" i="21" s="1"/>
  <c r="F13" i="21"/>
  <c r="AA13" i="21" s="1"/>
  <c r="AC38" i="21"/>
  <c r="H32" i="21"/>
  <c r="AB32" i="21" s="1"/>
  <c r="H9" i="21"/>
  <c r="AB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S28" i="21"/>
  <c r="AC34"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A21" i="39"/>
  <c r="S21" i="39"/>
  <c r="J19" i="37"/>
  <c r="W19" i="37" s="1"/>
  <c r="J23" i="37"/>
  <c r="W23" i="37" s="1"/>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J25" i="33"/>
  <c r="AC25" i="33" s="1"/>
  <c r="F23" i="33"/>
  <c r="H19" i="33"/>
  <c r="AB19" i="33" s="1"/>
  <c r="G81" i="33"/>
  <c r="H17" i="33"/>
  <c r="U17" i="33" s="1"/>
  <c r="F17" i="33"/>
  <c r="S17" i="33" s="1"/>
  <c r="AC17" i="33"/>
  <c r="S37" i="21"/>
  <c r="AA23" i="21"/>
  <c r="AB15" i="21"/>
  <c r="J23" i="21"/>
  <c r="W23" i="21" s="1"/>
  <c r="H23" i="21"/>
  <c r="U23" i="21" s="1"/>
  <c r="S13" i="21"/>
  <c r="AP7" i="1"/>
  <c r="U9" i="21"/>
  <c r="W9" i="21"/>
  <c r="AC9" i="21"/>
  <c r="AC32" i="39"/>
  <c r="W32" i="39"/>
  <c r="J11" i="37"/>
  <c r="AC11" i="37" s="1"/>
  <c r="J11" i="34"/>
  <c r="W11" i="34" s="1"/>
  <c r="W25" i="33"/>
  <c r="U19" i="33"/>
  <c r="AB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E8" i="76"/>
  <c r="F5" i="73"/>
  <c r="F3" i="73"/>
  <c r="E10" i="76"/>
  <c r="E11" i="76"/>
  <c r="M29" i="67"/>
  <c r="AO13" i="1"/>
  <c r="E2" i="69"/>
  <c r="B13" i="76"/>
  <c r="B8" i="76"/>
  <c r="F26" i="67"/>
  <c r="B7" i="76"/>
  <c r="B11" i="76"/>
  <c r="M8" i="15"/>
  <c r="F40" i="15"/>
  <c r="F9" i="15"/>
  <c r="F16" i="15"/>
  <c r="E12" i="76"/>
  <c r="F4" i="73"/>
  <c r="J15" i="15"/>
  <c r="F13" i="15"/>
  <c r="F9" i="67"/>
  <c r="B10" i="76"/>
  <c r="L47" i="67"/>
  <c r="M24" i="67"/>
  <c r="L48" i="15"/>
  <c r="M26" i="67"/>
  <c r="F7" i="73"/>
  <c r="E9" i="76"/>
  <c r="F6" i="73"/>
  <c r="E13" i="76"/>
  <c r="M22" i="15"/>
  <c r="B12" i="76"/>
  <c r="B9" i="76"/>
  <c r="M24" i="15"/>
  <c r="M6" i="15"/>
  <c r="M28" i="15"/>
  <c r="F37" i="15"/>
  <c r="M28" i="67"/>
  <c r="F20" i="31"/>
  <c r="E2" i="68"/>
  <c r="F13" i="67"/>
  <c r="C76" i="15"/>
  <c r="AA25" i="37" l="1"/>
  <c r="S25" i="37"/>
  <c r="AZ387" i="3"/>
  <c r="AB14" i="40"/>
  <c r="AA28" i="34"/>
  <c r="S28" i="34"/>
  <c r="S40" i="21"/>
  <c r="AA40" i="21"/>
  <c r="AB33" i="33"/>
  <c r="U33" i="33"/>
  <c r="U12" i="35"/>
  <c r="AB12" i="35"/>
  <c r="F32" i="36"/>
  <c r="J32" i="36"/>
  <c r="W32" i="36" s="1"/>
  <c r="J25" i="37"/>
  <c r="H25" i="37"/>
  <c r="AC40" i="39"/>
  <c r="W40" i="39"/>
  <c r="W27" i="33"/>
  <c r="AA25" i="33"/>
  <c r="S39" i="40"/>
  <c r="AZ311" i="3"/>
  <c r="AZ364" i="3"/>
  <c r="W40" i="37"/>
  <c r="W44" i="33"/>
  <c r="AZ523" i="3"/>
  <c r="AZ573" i="3"/>
  <c r="AZ583" i="3"/>
  <c r="AZ497" i="3"/>
  <c r="AB30" i="21"/>
  <c r="S41" i="33"/>
  <c r="F9" i="34"/>
  <c r="AA9" i="34" s="1"/>
  <c r="H9" i="34"/>
  <c r="J9" i="34"/>
  <c r="S34" i="39"/>
  <c r="AA34" i="39"/>
  <c r="U32" i="39"/>
  <c r="AA19" i="33"/>
  <c r="AA33" i="34"/>
  <c r="S20" i="35"/>
  <c r="AB27" i="40"/>
  <c r="AZ334" i="3"/>
  <c r="AZ347" i="3"/>
  <c r="AZ380" i="3"/>
  <c r="AZ325" i="3"/>
  <c r="AB25" i="39"/>
  <c r="AZ539" i="3"/>
  <c r="AZ571" i="3"/>
  <c r="AZ556" i="3"/>
  <c r="AZ584" i="3"/>
  <c r="AZ542" i="3"/>
  <c r="AC35" i="40"/>
  <c r="J12" i="34"/>
  <c r="F12" i="34"/>
  <c r="S12" i="34" s="1"/>
  <c r="H12" i="34"/>
  <c r="AC28" i="36"/>
  <c r="W28" i="36"/>
  <c r="H45" i="39"/>
  <c r="J45" i="39"/>
  <c r="W45" i="39" s="1"/>
  <c r="S34" i="40"/>
  <c r="AA34" i="40"/>
  <c r="U39" i="40"/>
  <c r="AB39" i="40"/>
  <c r="W31" i="35"/>
  <c r="AC31" i="35"/>
  <c r="G27" i="6"/>
  <c r="G19" i="6"/>
  <c r="B13" i="1"/>
  <c r="E13" i="1" s="1"/>
  <c r="K13" i="1"/>
  <c r="M13" i="1" s="1"/>
  <c r="O13" i="1" s="1"/>
  <c r="P13" i="1" s="1"/>
  <c r="AA38" i="71"/>
  <c r="AA37" i="71"/>
  <c r="AA28" i="71"/>
  <c r="V68" i="71"/>
  <c r="Q68" i="71"/>
  <c r="F67" i="71"/>
  <c r="F66" i="71" s="1"/>
  <c r="U72" i="71"/>
  <c r="E71" i="71"/>
  <c r="E70" i="71" s="1"/>
  <c r="BL399" i="3"/>
  <c r="G400" i="3"/>
  <c r="BA402" i="3"/>
  <c r="AZ402" i="3" s="1"/>
  <c r="BL408" i="3"/>
  <c r="BL416" i="3"/>
  <c r="G417" i="3"/>
  <c r="BL417" i="3"/>
  <c r="BL418" i="3"/>
  <c r="BL420" i="3"/>
  <c r="G422" i="3"/>
  <c r="BL430" i="3"/>
  <c r="G431" i="3"/>
  <c r="AB23" i="34"/>
  <c r="G586" i="3"/>
  <c r="B72" i="43"/>
  <c r="H23" i="35"/>
  <c r="G556" i="3"/>
  <c r="G523" i="3"/>
  <c r="BA407" i="3"/>
  <c r="AZ413" i="3"/>
  <c r="AA35" i="71"/>
  <c r="AB34" i="21"/>
  <c r="G587" i="3"/>
  <c r="J12" i="33"/>
  <c r="G14" i="3"/>
  <c r="G398" i="3"/>
  <c r="G399" i="3"/>
  <c r="BA400" i="3"/>
  <c r="AZ400" i="3" s="1"/>
  <c r="BA406" i="3"/>
  <c r="AZ406" i="3" s="1"/>
  <c r="BL409" i="3"/>
  <c r="BL413" i="3"/>
  <c r="G416" i="3"/>
  <c r="BA420" i="3"/>
  <c r="BL423" i="3"/>
  <c r="G430" i="3"/>
  <c r="BA452" i="3"/>
  <c r="BL434" i="3"/>
  <c r="G447" i="3"/>
  <c r="BA448" i="3"/>
  <c r="BL455" i="3"/>
  <c r="G457" i="3"/>
  <c r="G458" i="3"/>
  <c r="G463" i="3"/>
  <c r="G468" i="3"/>
  <c r="G469" i="3"/>
  <c r="BL476" i="3"/>
  <c r="BL477" i="3"/>
  <c r="BL478" i="3"/>
  <c r="BA480" i="3"/>
  <c r="G489" i="3"/>
  <c r="BL308" i="3"/>
  <c r="AZ308" i="3" s="1"/>
  <c r="G311" i="3"/>
  <c r="BL314" i="3"/>
  <c r="AZ314" i="3" s="1"/>
  <c r="G315" i="3"/>
  <c r="BA348" i="3"/>
  <c r="BA350" i="3"/>
  <c r="AZ350" i="3" s="1"/>
  <c r="BL359" i="3"/>
  <c r="AZ359" i="3" s="1"/>
  <c r="BL367" i="3"/>
  <c r="BL375" i="3"/>
  <c r="AZ375" i="3" s="1"/>
  <c r="BA385" i="3"/>
  <c r="BA386" i="3"/>
  <c r="AZ386" i="3" s="1"/>
  <c r="BA212" i="3"/>
  <c r="BL222" i="3"/>
  <c r="BL223" i="3"/>
  <c r="G229" i="3"/>
  <c r="BA229" i="3"/>
  <c r="AZ229" i="3" s="1"/>
  <c r="BL229" i="3"/>
  <c r="BA231" i="3"/>
  <c r="BL231" i="3"/>
  <c r="BA248" i="3"/>
  <c r="BL252" i="3"/>
  <c r="BA260" i="3"/>
  <c r="BL260" i="3"/>
  <c r="BA270" i="3"/>
  <c r="G273" i="3"/>
  <c r="G277" i="3"/>
  <c r="BL280" i="3"/>
  <c r="BA283" i="3"/>
  <c r="BA286" i="3"/>
  <c r="BL289" i="3"/>
  <c r="G290" i="3"/>
  <c r="BA291" i="3"/>
  <c r="G294" i="3"/>
  <c r="BL115" i="3"/>
  <c r="AZ115" i="3" s="1"/>
  <c r="BA133" i="3"/>
  <c r="G167" i="3"/>
  <c r="BA65" i="3"/>
  <c r="P65" i="71"/>
  <c r="P66" i="71"/>
  <c r="AB26" i="71"/>
  <c r="F38" i="71"/>
  <c r="F39" i="71" s="1"/>
  <c r="F40" i="71" s="1"/>
  <c r="V40" i="71" s="1"/>
  <c r="S68" i="71"/>
  <c r="B67" i="71"/>
  <c r="X25" i="71"/>
  <c r="X26" i="71"/>
  <c r="BL433" i="3"/>
  <c r="BL440" i="3"/>
  <c r="G451" i="3"/>
  <c r="BA451" i="3"/>
  <c r="BA458" i="3"/>
  <c r="BL459" i="3"/>
  <c r="BA465" i="3"/>
  <c r="AZ465" i="3" s="1"/>
  <c r="BA469" i="3"/>
  <c r="BL472" i="3"/>
  <c r="BA485" i="3"/>
  <c r="BL487" i="3"/>
  <c r="BA489" i="3"/>
  <c r="BA303" i="3"/>
  <c r="AZ303" i="3" s="1"/>
  <c r="BA307" i="3"/>
  <c r="AZ307" i="3" s="1"/>
  <c r="BA331" i="3"/>
  <c r="AZ331" i="3" s="1"/>
  <c r="BA335" i="3"/>
  <c r="AZ335" i="3" s="1"/>
  <c r="BA339" i="3"/>
  <c r="AZ339" i="3" s="1"/>
  <c r="BA366" i="3"/>
  <c r="AZ366" i="3" s="1"/>
  <c r="BL395" i="3"/>
  <c r="BL211" i="3"/>
  <c r="G218" i="3"/>
  <c r="BA218" i="3"/>
  <c r="BL218" i="3"/>
  <c r="BA220" i="3"/>
  <c r="BL220" i="3"/>
  <c r="BL221" i="3"/>
  <c r="BA228" i="3"/>
  <c r="BL237" i="3"/>
  <c r="BL238" i="3"/>
  <c r="BA247" i="3"/>
  <c r="BL247" i="3"/>
  <c r="G251" i="3"/>
  <c r="BA251" i="3"/>
  <c r="AZ251" i="3" s="1"/>
  <c r="BL251" i="3"/>
  <c r="G255" i="3"/>
  <c r="BL267" i="3"/>
  <c r="BL272" i="3"/>
  <c r="BA281" i="3"/>
  <c r="BA94" i="3"/>
  <c r="AA21" i="33"/>
  <c r="S21" i="33"/>
  <c r="AC29" i="39"/>
  <c r="W29" i="39"/>
  <c r="N68" i="71"/>
  <c r="Y26" i="71"/>
  <c r="Z26" i="71" s="1"/>
  <c r="Y28" i="71"/>
  <c r="Z28" i="71" s="1"/>
  <c r="E30" i="71"/>
  <c r="E31" i="71" s="1"/>
  <c r="E32" i="71" s="1"/>
  <c r="U32" i="71" s="1"/>
  <c r="AA27" i="71"/>
  <c r="G408" i="3"/>
  <c r="G409" i="3"/>
  <c r="BL412" i="3"/>
  <c r="G413" i="3"/>
  <c r="G419" i="3"/>
  <c r="BA419" i="3"/>
  <c r="AZ419" i="3" s="1"/>
  <c r="BA424" i="3"/>
  <c r="BL427" i="3"/>
  <c r="G428" i="3"/>
  <c r="BL429" i="3"/>
  <c r="G433" i="3"/>
  <c r="BA437" i="3"/>
  <c r="BL437" i="3"/>
  <c r="G439" i="3"/>
  <c r="G440" i="3"/>
  <c r="BA442" i="3"/>
  <c r="G444" i="3"/>
  <c r="BA445" i="3"/>
  <c r="BA447" i="3"/>
  <c r="AZ447" i="3" s="1"/>
  <c r="G449" i="3"/>
  <c r="BL458" i="3"/>
  <c r="BA462" i="3"/>
  <c r="G466" i="3"/>
  <c r="G467" i="3"/>
  <c r="BA467" i="3"/>
  <c r="BA468" i="3"/>
  <c r="BL469" i="3"/>
  <c r="G471" i="3"/>
  <c r="BL471" i="3"/>
  <c r="BA473" i="3"/>
  <c r="BA476" i="3"/>
  <c r="AZ476" i="3" s="1"/>
  <c r="G482" i="3"/>
  <c r="G486" i="3"/>
  <c r="BA487" i="3"/>
  <c r="AZ487" i="3" s="1"/>
  <c r="BL490" i="3"/>
  <c r="G491" i="3"/>
  <c r="BL324" i="3"/>
  <c r="AZ324" i="3" s="1"/>
  <c r="BL328" i="3"/>
  <c r="AZ328" i="3" s="1"/>
  <c r="G329" i="3"/>
  <c r="G351" i="3"/>
  <c r="G358" i="3"/>
  <c r="G362" i="3"/>
  <c r="G366" i="3"/>
  <c r="BL383" i="3"/>
  <c r="AZ383" i="3" s="1"/>
  <c r="BA217" i="3"/>
  <c r="G220" i="3"/>
  <c r="BA225" i="3"/>
  <c r="BA227" i="3"/>
  <c r="AZ227" i="3" s="1"/>
  <c r="BL230" i="3"/>
  <c r="BA235" i="3"/>
  <c r="BL235" i="3"/>
  <c r="BL236" i="3"/>
  <c r="G237" i="3"/>
  <c r="BL242" i="3"/>
  <c r="BL243" i="3"/>
  <c r="G244" i="3"/>
  <c r="BA250" i="3"/>
  <c r="BL254" i="3"/>
  <c r="BL259" i="3"/>
  <c r="G266" i="3"/>
  <c r="BA269" i="3"/>
  <c r="AZ269" i="3" s="1"/>
  <c r="G276" i="3"/>
  <c r="BL278" i="3"/>
  <c r="BL286" i="3"/>
  <c r="BA301" i="3"/>
  <c r="BA144" i="3"/>
  <c r="AZ144" i="3" s="1"/>
  <c r="BL146" i="3"/>
  <c r="G147" i="3"/>
  <c r="BA149" i="3"/>
  <c r="BL154" i="3"/>
  <c r="BA156" i="3"/>
  <c r="AZ156" i="3" s="1"/>
  <c r="BL186" i="3"/>
  <c r="BL110" i="3"/>
  <c r="P27" i="6"/>
  <c r="C44" i="71"/>
  <c r="T44" i="71" s="1"/>
  <c r="D43" i="71"/>
  <c r="G291" i="3"/>
  <c r="BA293" i="3"/>
  <c r="G295" i="3"/>
  <c r="BL298" i="3"/>
  <c r="BL299" i="3"/>
  <c r="G300" i="3"/>
  <c r="BA132" i="3"/>
  <c r="AZ132" i="3" s="1"/>
  <c r="BL135" i="3"/>
  <c r="AZ135" i="3" s="1"/>
  <c r="G158" i="3"/>
  <c r="G162" i="3"/>
  <c r="G164" i="3"/>
  <c r="BA164" i="3"/>
  <c r="AZ164" i="3" s="1"/>
  <c r="BA166" i="3"/>
  <c r="AZ166" i="3" s="1"/>
  <c r="G171" i="3"/>
  <c r="BA177" i="3"/>
  <c r="G180" i="3"/>
  <c r="BA188" i="3"/>
  <c r="AZ188" i="3" s="1"/>
  <c r="G194" i="3"/>
  <c r="BL198" i="3"/>
  <c r="BL199" i="3"/>
  <c r="AZ199" i="3" s="1"/>
  <c r="BA200" i="3"/>
  <c r="AZ200" i="3" s="1"/>
  <c r="BA207" i="3"/>
  <c r="BL207" i="3"/>
  <c r="BL18" i="3"/>
  <c r="G19" i="3"/>
  <c r="BL19" i="3"/>
  <c r="BA20" i="3"/>
  <c r="G24" i="3"/>
  <c r="G25" i="3"/>
  <c r="G30" i="3"/>
  <c r="G31" i="3"/>
  <c r="BA32" i="3"/>
  <c r="G35" i="3"/>
  <c r="G36" i="3"/>
  <c r="G40" i="3"/>
  <c r="G41" i="3"/>
  <c r="BA42" i="3"/>
  <c r="G45" i="3"/>
  <c r="G54" i="3"/>
  <c r="BL69" i="3"/>
  <c r="G71" i="3"/>
  <c r="G72" i="3"/>
  <c r="G76" i="3"/>
  <c r="BA77" i="3"/>
  <c r="G82" i="3"/>
  <c r="G86" i="3"/>
  <c r="G87" i="3"/>
  <c r="G93" i="3"/>
  <c r="G107" i="3"/>
  <c r="BA110" i="3"/>
  <c r="G112" i="3"/>
  <c r="C40" i="68"/>
  <c r="W18" i="36"/>
  <c r="S25" i="40"/>
  <c r="Y35" i="71"/>
  <c r="Z35" i="71" s="1"/>
  <c r="B40" i="71"/>
  <c r="S40" i="71" s="1"/>
  <c r="AB38" i="71"/>
  <c r="G123" i="3"/>
  <c r="G130" i="3"/>
  <c r="G135" i="3"/>
  <c r="G140" i="3"/>
  <c r="BA145" i="3"/>
  <c r="G152" i="3"/>
  <c r="BA153" i="3"/>
  <c r="G156" i="3"/>
  <c r="BA157" i="3"/>
  <c r="G160" i="3"/>
  <c r="BL163" i="3"/>
  <c r="AZ163" i="3" s="1"/>
  <c r="G166" i="3"/>
  <c r="BL175" i="3"/>
  <c r="AZ175" i="3" s="1"/>
  <c r="BA176" i="3"/>
  <c r="AZ176" i="3" s="1"/>
  <c r="G179" i="3"/>
  <c r="BA184" i="3"/>
  <c r="AZ184" i="3" s="1"/>
  <c r="BL187" i="3"/>
  <c r="AZ187" i="3" s="1"/>
  <c r="G188" i="3"/>
  <c r="BL195" i="3"/>
  <c r="AZ195" i="3" s="1"/>
  <c r="BL197" i="3"/>
  <c r="G198" i="3"/>
  <c r="BL205" i="3"/>
  <c r="BA30" i="3"/>
  <c r="BA31" i="3"/>
  <c r="BA40" i="3"/>
  <c r="BA41" i="3"/>
  <c r="BA50" i="3"/>
  <c r="BA55" i="3"/>
  <c r="AZ55" i="3" s="1"/>
  <c r="BA64" i="3"/>
  <c r="BL74" i="3"/>
  <c r="AZ74" i="3" s="1"/>
  <c r="BA78" i="3"/>
  <c r="BA79" i="3"/>
  <c r="AZ79" i="3" s="1"/>
  <c r="BL91" i="3"/>
  <c r="BL106" i="3"/>
  <c r="AB27" i="71"/>
  <c r="AB25" i="71"/>
  <c r="B32" i="71"/>
  <c r="S32" i="71" s="1"/>
  <c r="AB32" i="71"/>
  <c r="AA3" i="71"/>
  <c r="B43" i="71"/>
  <c r="B44" i="71" s="1"/>
  <c r="S44" i="71" s="1"/>
  <c r="B63" i="71"/>
  <c r="B64" i="71" s="1"/>
  <c r="S64" i="71" s="1"/>
  <c r="B23" i="71"/>
  <c r="B22" i="71" s="1"/>
  <c r="B21" i="71" s="1"/>
  <c r="B20" i="71" s="1"/>
  <c r="BA162" i="3"/>
  <c r="BL173" i="3"/>
  <c r="G174" i="3"/>
  <c r="BL181" i="3"/>
  <c r="G182" i="3"/>
  <c r="G186" i="3"/>
  <c r="G187" i="3"/>
  <c r="BA194" i="3"/>
  <c r="BA202" i="3"/>
  <c r="G21" i="3"/>
  <c r="BA33" i="3"/>
  <c r="BA43" i="3"/>
  <c r="G48" i="3"/>
  <c r="BL48" i="3"/>
  <c r="BL52" i="3"/>
  <c r="BL55" i="3"/>
  <c r="G57" i="3"/>
  <c r="G58" i="3"/>
  <c r="BA59" i="3"/>
  <c r="G61" i="3"/>
  <c r="BL61" i="3"/>
  <c r="G68" i="3"/>
  <c r="BL68" i="3"/>
  <c r="BA69" i="3"/>
  <c r="AZ69" i="3" s="1"/>
  <c r="BA75" i="3"/>
  <c r="BL77" i="3"/>
  <c r="G80" i="3"/>
  <c r="BA88" i="3"/>
  <c r="AZ88" i="3" s="1"/>
  <c r="BL88" i="3"/>
  <c r="G90" i="3"/>
  <c r="BL90" i="3"/>
  <c r="G96" i="3"/>
  <c r="G98" i="3"/>
  <c r="BL103" i="3"/>
  <c r="G104" i="3"/>
  <c r="G105" i="3"/>
  <c r="Y27" i="71"/>
  <c r="Z27" i="71" s="1"/>
  <c r="X32" i="71"/>
  <c r="AB34" i="71"/>
  <c r="E59" i="71"/>
  <c r="E60" i="71" s="1"/>
  <c r="U60" i="71" s="1"/>
  <c r="AB26" i="37"/>
  <c r="U26" i="37"/>
  <c r="H9" i="33"/>
  <c r="F9" i="33"/>
  <c r="AA9" i="33" s="1"/>
  <c r="H44" i="39"/>
  <c r="F44" i="39"/>
  <c r="W25" i="21"/>
  <c r="AC23" i="34"/>
  <c r="AA40" i="34"/>
  <c r="S28" i="37"/>
  <c r="AC20" i="36"/>
  <c r="AA39" i="39"/>
  <c r="S14" i="36"/>
  <c r="AC11" i="39"/>
  <c r="AZ515" i="3"/>
  <c r="AZ533" i="3"/>
  <c r="AZ561" i="3"/>
  <c r="AZ569" i="3"/>
  <c r="AZ579" i="3"/>
  <c r="AZ516" i="3"/>
  <c r="AZ558" i="3"/>
  <c r="AZ566" i="3"/>
  <c r="S44" i="33"/>
  <c r="AA44" i="33"/>
  <c r="S29" i="35"/>
  <c r="AA29" i="35"/>
  <c r="H24" i="36"/>
  <c r="F24" i="36"/>
  <c r="H38" i="40"/>
  <c r="F38" i="40"/>
  <c r="J38" i="40"/>
  <c r="F36" i="39"/>
  <c r="H36" i="39"/>
  <c r="BA580" i="3"/>
  <c r="AZ580" i="3" s="1"/>
  <c r="BL574" i="3"/>
  <c r="BL572" i="3"/>
  <c r="BA572" i="3"/>
  <c r="BL554" i="3"/>
  <c r="AZ554" i="3" s="1"/>
  <c r="BA551" i="3"/>
  <c r="AZ551" i="3" s="1"/>
  <c r="BA550" i="3"/>
  <c r="BL548" i="3"/>
  <c r="BL536" i="3"/>
  <c r="AZ536" i="3" s="1"/>
  <c r="BL534" i="3"/>
  <c r="AZ534" i="3" s="1"/>
  <c r="BL528" i="3"/>
  <c r="BL516" i="3"/>
  <c r="BL514" i="3"/>
  <c r="AZ514" i="3" s="1"/>
  <c r="BL498" i="3"/>
  <c r="AZ498" i="3" s="1"/>
  <c r="BL496" i="3"/>
  <c r="AZ496" i="3" s="1"/>
  <c r="AC23" i="21"/>
  <c r="AZ574" i="3"/>
  <c r="U23" i="33"/>
  <c r="AB25" i="33"/>
  <c r="AC11" i="33"/>
  <c r="S23" i="34"/>
  <c r="AZ389" i="3"/>
  <c r="AZ313" i="3"/>
  <c r="AZ376" i="3"/>
  <c r="AZ309" i="3"/>
  <c r="AZ549" i="3"/>
  <c r="AB36" i="33"/>
  <c r="U32" i="21"/>
  <c r="U21" i="39"/>
  <c r="AB29" i="21"/>
  <c r="S17" i="21"/>
  <c r="W17" i="21"/>
  <c r="S46" i="21"/>
  <c r="W30" i="33"/>
  <c r="AB34" i="33"/>
  <c r="S37" i="34"/>
  <c r="W29" i="36"/>
  <c r="AC17" i="39"/>
  <c r="S33" i="40"/>
  <c r="D120" i="9"/>
  <c r="U27" i="34"/>
  <c r="AC39" i="34"/>
  <c r="AB16" i="35"/>
  <c r="U16" i="36"/>
  <c r="AB14" i="36"/>
  <c r="AA19" i="40"/>
  <c r="AA12" i="40"/>
  <c r="S14" i="35"/>
  <c r="M85" i="43"/>
  <c r="N85" i="43" s="1"/>
  <c r="K85" i="43"/>
  <c r="D85" i="43" s="1"/>
  <c r="AZ318" i="3"/>
  <c r="AZ372" i="3"/>
  <c r="AZ337" i="3"/>
  <c r="AZ360" i="3"/>
  <c r="G7" i="37"/>
  <c r="E7" i="37"/>
  <c r="I7" i="37"/>
  <c r="AZ505" i="3"/>
  <c r="AZ525" i="3"/>
  <c r="AZ529" i="3"/>
  <c r="AZ537" i="3"/>
  <c r="AZ518" i="3"/>
  <c r="AZ526" i="3"/>
  <c r="AZ546" i="3"/>
  <c r="AZ568" i="3"/>
  <c r="S44" i="34"/>
  <c r="AB46" i="34"/>
  <c r="AA11" i="36"/>
  <c r="S11" i="36"/>
  <c r="U17" i="34"/>
  <c r="AB17" i="34"/>
  <c r="J36" i="39"/>
  <c r="AC36" i="39" s="1"/>
  <c r="J9" i="33"/>
  <c r="J26" i="33"/>
  <c r="F26" i="33"/>
  <c r="AC9" i="34"/>
  <c r="W9" i="34"/>
  <c r="J36" i="35"/>
  <c r="AC36" i="35" s="1"/>
  <c r="AC32" i="40"/>
  <c r="W32" i="40"/>
  <c r="S38" i="34"/>
  <c r="AA38" i="34"/>
  <c r="H69" i="43"/>
  <c r="S32" i="21"/>
  <c r="AB45" i="21"/>
  <c r="U41" i="33"/>
  <c r="AA17" i="33"/>
  <c r="AB36" i="21"/>
  <c r="AA31" i="34"/>
  <c r="AA29" i="34"/>
  <c r="AA45" i="34"/>
  <c r="AB35" i="34"/>
  <c r="AC13" i="37"/>
  <c r="AB20" i="36"/>
  <c r="AA25" i="36"/>
  <c r="U21" i="40"/>
  <c r="S30" i="40"/>
  <c r="AA34" i="33"/>
  <c r="G29" i="6"/>
  <c r="AZ379" i="3"/>
  <c r="AZ357" i="3"/>
  <c r="AZ322" i="3"/>
  <c r="AZ390" i="3"/>
  <c r="AZ371" i="3"/>
  <c r="AZ351" i="3"/>
  <c r="AZ305" i="3"/>
  <c r="AZ306" i="3"/>
  <c r="AC13" i="40"/>
  <c r="W16" i="35"/>
  <c r="S21" i="40"/>
  <c r="AZ535" i="3"/>
  <c r="AZ577" i="3"/>
  <c r="AZ557" i="3"/>
  <c r="AZ513" i="3"/>
  <c r="AZ575" i="3"/>
  <c r="AZ528" i="3"/>
  <c r="AZ548" i="3"/>
  <c r="AZ570" i="3"/>
  <c r="AZ540" i="3"/>
  <c r="AC28" i="21"/>
  <c r="W31" i="34"/>
  <c r="AC11" i="35"/>
  <c r="U45" i="33"/>
  <c r="AB45" i="33"/>
  <c r="F44" i="21"/>
  <c r="U35" i="33"/>
  <c r="AA41" i="21"/>
  <c r="BL585" i="3"/>
  <c r="BA585" i="3"/>
  <c r="AC28" i="35"/>
  <c r="W28" i="35"/>
  <c r="F12" i="35"/>
  <c r="AA12" i="35" s="1"/>
  <c r="J12" i="35"/>
  <c r="AB9" i="40"/>
  <c r="U9" i="40"/>
  <c r="AC41" i="33"/>
  <c r="W41" i="33"/>
  <c r="AZ451" i="3"/>
  <c r="AZ458" i="3"/>
  <c r="AZ469" i="3"/>
  <c r="AZ564" i="3"/>
  <c r="G585" i="3"/>
  <c r="BL587" i="3"/>
  <c r="AZ587" i="3" s="1"/>
  <c r="BL586" i="3"/>
  <c r="AZ586" i="3" s="1"/>
  <c r="G566" i="3"/>
  <c r="G558" i="3"/>
  <c r="AZ462" i="3"/>
  <c r="G551" i="3"/>
  <c r="BL550" i="3"/>
  <c r="G542" i="3"/>
  <c r="BL16" i="3"/>
  <c r="BA401" i="3"/>
  <c r="AZ401" i="3" s="1"/>
  <c r="BA403" i="3"/>
  <c r="BA404" i="3"/>
  <c r="BA405" i="3"/>
  <c r="BL410" i="3"/>
  <c r="G412" i="3"/>
  <c r="G418" i="3"/>
  <c r="BA422" i="3"/>
  <c r="BL431"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BL428" i="3"/>
  <c r="BL432" i="3"/>
  <c r="BL435" i="3"/>
  <c r="BL436" i="3"/>
  <c r="BA439" i="3"/>
  <c r="BA440" i="3"/>
  <c r="AZ440" i="3" s="1"/>
  <c r="BL475" i="3"/>
  <c r="BA477" i="3"/>
  <c r="AZ477" i="3" s="1"/>
  <c r="BA478" i="3"/>
  <c r="BA481" i="3"/>
  <c r="G484" i="3"/>
  <c r="AC5" i="3"/>
  <c r="BA16"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8" i="3"/>
  <c r="BC5" i="3"/>
  <c r="BL13" i="3"/>
  <c r="A15" i="62"/>
  <c r="B61" i="72"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AZ425" i="3" s="1"/>
  <c r="BA426" i="3"/>
  <c r="BA427" i="3"/>
  <c r="AZ427" i="3" s="1"/>
  <c r="BA433" i="3"/>
  <c r="AZ433" i="3" s="1"/>
  <c r="BA435" i="3"/>
  <c r="AZ435" i="3" s="1"/>
  <c r="BL441" i="3"/>
  <c r="BL442" i="3"/>
  <c r="AZ442" i="3" s="1"/>
  <c r="BL444" i="3"/>
  <c r="AZ444" i="3" s="1"/>
  <c r="BL448" i="3"/>
  <c r="AZ448" i="3" s="1"/>
  <c r="BA454" i="3"/>
  <c r="AZ454" i="3" s="1"/>
  <c r="BA457" i="3"/>
  <c r="AZ457" i="3" s="1"/>
  <c r="BA459" i="3"/>
  <c r="AZ459" i="3" s="1"/>
  <c r="BA460" i="3"/>
  <c r="AZ460" i="3" s="1"/>
  <c r="BA461" i="3"/>
  <c r="BL464" i="3"/>
  <c r="BL466" i="3"/>
  <c r="AZ466" i="3" s="1"/>
  <c r="BL480" i="3"/>
  <c r="AZ480" i="3" s="1"/>
  <c r="BA483" i="3"/>
  <c r="BL483" i="3"/>
  <c r="AZ483" i="3" s="1"/>
  <c r="BA486" i="3"/>
  <c r="BA491" i="3"/>
  <c r="BA319" i="3"/>
  <c r="AZ319" i="3" s="1"/>
  <c r="AZ217"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74" i="3"/>
  <c r="AZ274" i="3" s="1"/>
  <c r="BL274" i="3"/>
  <c r="BA276" i="3"/>
  <c r="BA296" i="3"/>
  <c r="BA116" i="3"/>
  <c r="AZ116" i="3" s="1"/>
  <c r="BA121" i="3"/>
  <c r="BL121"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A122" i="3"/>
  <c r="AZ122" i="3" s="1"/>
  <c r="BA125" i="3"/>
  <c r="AZ125" i="3" s="1"/>
  <c r="BA332" i="3"/>
  <c r="BL332" i="3"/>
  <c r="G339" i="3"/>
  <c r="G364" i="3"/>
  <c r="BA367" i="3"/>
  <c r="AZ367" i="3" s="1"/>
  <c r="BA370" i="3"/>
  <c r="AZ370" i="3" s="1"/>
  <c r="BL270" i="3"/>
  <c r="AZ270" i="3" s="1"/>
  <c r="BA272" i="3"/>
  <c r="AZ272" i="3" s="1"/>
  <c r="BL275" i="3"/>
  <c r="AZ275" i="3" s="1"/>
  <c r="BL285" i="3"/>
  <c r="BL287" i="3"/>
  <c r="BA290" i="3"/>
  <c r="BL113" i="3"/>
  <c r="BA118" i="3"/>
  <c r="BL118" i="3"/>
  <c r="BA124" i="3"/>
  <c r="AZ124"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BL59" i="3"/>
  <c r="AZ59" i="3" s="1"/>
  <c r="BL60" i="3"/>
  <c r="BL83" i="3"/>
  <c r="G88" i="3"/>
  <c r="BA90" i="3"/>
  <c r="BA101" i="3"/>
  <c r="AZ101" i="3" s="1"/>
  <c r="C26" i="71"/>
  <c r="D26" i="71" s="1"/>
  <c r="D27" i="71"/>
  <c r="V24" i="71"/>
  <c r="E23" i="71"/>
  <c r="E22" i="71" s="1"/>
  <c r="E21" i="71" s="1"/>
  <c r="E20" i="71" s="1"/>
  <c r="E19" i="71" s="1"/>
  <c r="E18" i="71" s="1"/>
  <c r="E17" i="71" s="1"/>
  <c r="E16" i="71"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G29" i="3"/>
  <c r="BL29" i="3"/>
  <c r="G33" i="3"/>
  <c r="G34" i="3"/>
  <c r="BA37" i="3"/>
  <c r="G39" i="3"/>
  <c r="BL39" i="3"/>
  <c r="G43" i="3"/>
  <c r="G44" i="3"/>
  <c r="BA45" i="3"/>
  <c r="BA46" i="3"/>
  <c r="BL49" i="3"/>
  <c r="BL50" i="3"/>
  <c r="AZ50" i="3" s="1"/>
  <c r="BL51" i="3"/>
  <c r="G53" i="3"/>
  <c r="BL53" i="3"/>
  <c r="BA56" i="3"/>
  <c r="BA57" i="3"/>
  <c r="BL58" i="3"/>
  <c r="G60" i="3"/>
  <c r="BA60" i="3"/>
  <c r="AZ60" i="3" s="1"/>
  <c r="BA63" i="3"/>
  <c r="BA66" i="3"/>
  <c r="BA71" i="3"/>
  <c r="G79" i="3"/>
  <c r="BL81" i="3"/>
  <c r="BA82" i="3"/>
  <c r="AZ82" i="3" s="1"/>
  <c r="BL85" i="3"/>
  <c r="BA86" i="3"/>
  <c r="AZ86" i="3" s="1"/>
  <c r="BA87" i="3"/>
  <c r="BA91" i="3"/>
  <c r="AZ91" i="3" s="1"/>
  <c r="BA95" i="3"/>
  <c r="BA100" i="3"/>
  <c r="AZ100" i="3" s="1"/>
  <c r="BA102" i="3"/>
  <c r="AZ102" i="3" s="1"/>
  <c r="BL105" i="3"/>
  <c r="AZ105" i="3" s="1"/>
  <c r="D46" i="71"/>
  <c r="C47" i="71"/>
  <c r="D47" i="71" s="1"/>
  <c r="C51" i="71"/>
  <c r="D50" i="7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BA52" i="3"/>
  <c r="AZ52" i="3" s="1"/>
  <c r="BA53" i="3"/>
  <c r="AZ53" i="3" s="1"/>
  <c r="BA54" i="3"/>
  <c r="BL57" i="3"/>
  <c r="G62" i="3"/>
  <c r="BL62" i="3"/>
  <c r="BL63" i="3"/>
  <c r="G65" i="3"/>
  <c r="BL65" i="3"/>
  <c r="AZ65" i="3" s="1"/>
  <c r="BL66" i="3"/>
  <c r="BL67" i="3"/>
  <c r="AZ67" i="3" s="1"/>
  <c r="G69" i="3"/>
  <c r="G70" i="3"/>
  <c r="BL70" i="3"/>
  <c r="AZ70" i="3" s="1"/>
  <c r="BL71" i="3"/>
  <c r="BL72" i="3"/>
  <c r="AZ72" i="3" s="1"/>
  <c r="G74" i="3"/>
  <c r="G75" i="3"/>
  <c r="BL75" i="3"/>
  <c r="AZ75" i="3" s="1"/>
  <c r="G81" i="3"/>
  <c r="G92" i="3"/>
  <c r="BL92" i="3"/>
  <c r="BL97" i="3"/>
  <c r="AZ97" i="3" s="1"/>
  <c r="AZ62" i="3"/>
  <c r="AZ64" i="3"/>
  <c r="BL94" i="3"/>
  <c r="AZ94" i="3" s="1"/>
  <c r="B27" i="71"/>
  <c r="B26" i="71" s="1"/>
  <c r="S28" i="71"/>
  <c r="D54" i="71"/>
  <c r="C55" i="71"/>
  <c r="BL112" i="3"/>
  <c r="D60" i="71"/>
  <c r="D44" i="71"/>
  <c r="C40" i="71"/>
  <c r="C70" i="71"/>
  <c r="D70" i="71" s="1"/>
  <c r="D87" i="71"/>
  <c r="D75" i="71"/>
  <c r="D28" i="71"/>
  <c r="U28" i="71" s="1"/>
  <c r="AB28" i="71"/>
  <c r="T28" i="71"/>
  <c r="C67" i="71"/>
  <c r="Q67" i="71"/>
  <c r="C63" i="71"/>
  <c r="C31" i="71"/>
  <c r="AB33" i="71"/>
  <c r="AA30" i="71"/>
  <c r="E34" i="71"/>
  <c r="E35" i="71" s="1"/>
  <c r="E36" i="71" s="1"/>
  <c r="U36" i="71" s="1"/>
  <c r="F31" i="71"/>
  <c r="F32" i="71" s="1"/>
  <c r="V32" i="71" s="1"/>
  <c r="AB31" i="71"/>
  <c r="AB36" i="71"/>
  <c r="AA36" i="71"/>
  <c r="Y38" i="71"/>
  <c r="Z38" i="71" s="1"/>
  <c r="B47" i="71"/>
  <c r="B48" i="71" s="1"/>
  <c r="S48" i="71" s="1"/>
  <c r="E47" i="71"/>
  <c r="E48" i="71" s="1"/>
  <c r="U48" i="71" s="1"/>
  <c r="B55" i="71"/>
  <c r="B56" i="71" s="1"/>
  <c r="S56" i="71" s="1"/>
  <c r="F71" i="71"/>
  <c r="F70" i="71" s="1"/>
  <c r="F79" i="71"/>
  <c r="F78" i="71" s="1"/>
  <c r="BL107" i="3"/>
  <c r="BA111" i="3"/>
  <c r="AA18" i="35"/>
  <c r="Y25" i="71"/>
  <c r="Z25" i="71" s="1"/>
  <c r="C35" i="71"/>
  <c r="Y29" i="71"/>
  <c r="Z29" i="71" s="1"/>
  <c r="X33" i="71"/>
  <c r="AB37" i="71"/>
  <c r="S72" i="71"/>
  <c r="BA108" i="3"/>
  <c r="F3" i="35"/>
  <c r="G1" i="84"/>
  <c r="G1" i="83"/>
  <c r="F8" i="1"/>
  <c r="G8" i="1" s="1"/>
  <c r="X28" i="71"/>
  <c r="BA61" i="3"/>
  <c r="AZ61" i="3" s="1"/>
  <c r="BA68" i="3"/>
  <c r="BA73" i="3"/>
  <c r="BA80" i="3"/>
  <c r="G84" i="3"/>
  <c r="BL84" i="3"/>
  <c r="AZ84" i="3" s="1"/>
  <c r="BA89" i="3"/>
  <c r="G99" i="3"/>
  <c r="G103" i="3"/>
  <c r="BA103" i="3"/>
  <c r="AZ103" i="3" s="1"/>
  <c r="BA104" i="3"/>
  <c r="BA106" i="3"/>
  <c r="BL108" i="3"/>
  <c r="G110" i="3"/>
  <c r="BL111" i="3"/>
  <c r="C7" i="82"/>
  <c r="C7" i="81"/>
  <c r="J51" i="83"/>
  <c r="J51" i="84"/>
  <c r="AC21" i="33"/>
  <c r="U21" i="34"/>
  <c r="U25" i="40"/>
  <c r="S21" i="34"/>
  <c r="D76" i="71"/>
  <c r="U68" i="71"/>
  <c r="X34" i="71"/>
  <c r="X31" i="71"/>
  <c r="F35" i="71"/>
  <c r="F36" i="71" s="1"/>
  <c r="V36" i="71" s="1"/>
  <c r="AA34" i="71"/>
  <c r="AB35" i="71"/>
  <c r="B51" i="71"/>
  <c r="B52" i="71" s="1"/>
  <c r="S52" i="71" s="1"/>
  <c r="O7" i="1"/>
  <c r="P7" i="1" s="1"/>
  <c r="M20" i="15"/>
  <c r="F34" i="84"/>
  <c r="F62" i="84" s="1"/>
  <c r="M20" i="84"/>
  <c r="F34" i="83"/>
  <c r="F62" i="83" s="1"/>
  <c r="M20" i="83"/>
  <c r="F34" i="68"/>
  <c r="C36" i="68" s="1"/>
  <c r="AA31" i="37"/>
  <c r="S36" i="37"/>
  <c r="AB37" i="37"/>
  <c r="S37" i="37"/>
  <c r="W37" i="37"/>
  <c r="U36" i="37"/>
  <c r="AA35" i="37"/>
  <c r="AC34" i="37"/>
  <c r="AA34" i="37"/>
  <c r="H99" i="37"/>
  <c r="I99" i="37" s="1"/>
  <c r="J99" i="37" s="1"/>
  <c r="K99" i="37" s="1"/>
  <c r="L99" i="37" s="1"/>
  <c r="M99" i="37" s="1"/>
  <c r="J33" i="37"/>
  <c r="AC33" i="37" s="1"/>
  <c r="H33" i="37"/>
  <c r="U33" i="37" s="1"/>
  <c r="F33" i="37"/>
  <c r="AA33" i="37" s="1"/>
  <c r="AC32" i="37"/>
  <c r="AB31" i="37"/>
  <c r="U23" i="37"/>
  <c r="AA29" i="37"/>
  <c r="AA23" i="37"/>
  <c r="AC23" i="37"/>
  <c r="AC21" i="37"/>
  <c r="S21" i="37"/>
  <c r="U21" i="37"/>
  <c r="U19" i="37"/>
  <c r="AA19" i="37"/>
  <c r="AB17" i="37"/>
  <c r="S17" i="37"/>
  <c r="W17" i="37"/>
  <c r="AC15" i="37"/>
  <c r="S15" i="37"/>
  <c r="AC12" i="37"/>
  <c r="AA14" i="37"/>
  <c r="AA38" i="37"/>
  <c r="W38" i="37"/>
  <c r="W36" i="37"/>
  <c r="AB35" i="37"/>
  <c r="U32" i="37"/>
  <c r="AA32" i="37"/>
  <c r="W31" i="37"/>
  <c r="AC29" i="37"/>
  <c r="F29" i="6"/>
  <c r="B88" i="43"/>
  <c r="B57" i="43"/>
  <c r="B77" i="43"/>
  <c r="B79" i="43"/>
  <c r="B68" i="43"/>
  <c r="J51" i="15"/>
  <c r="J53" i="15" s="1"/>
  <c r="L56" i="15" s="1"/>
  <c r="F9" i="1"/>
  <c r="J1" i="73"/>
  <c r="E19" i="6"/>
  <c r="D1" i="43"/>
  <c r="H5" i="3"/>
  <c r="B41" i="1"/>
  <c r="D93" i="9"/>
  <c r="C40" i="69"/>
  <c r="C21" i="68"/>
  <c r="BL15" i="3"/>
  <c r="AZ15" i="3" s="1"/>
  <c r="AZ14" i="3"/>
  <c r="BA17" i="3"/>
  <c r="AZ17" i="3" s="1"/>
  <c r="G16" i="3"/>
  <c r="BB5" i="3"/>
  <c r="E14" i="6" s="1"/>
  <c r="E63" i="39"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J12" i="21"/>
  <c r="B73" i="43"/>
  <c r="B76" i="43"/>
  <c r="F9" i="36"/>
  <c r="J40" i="40"/>
  <c r="G562" i="3"/>
  <c r="AZ463" i="3"/>
  <c r="AZ489"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0" i="6"/>
  <c r="G31" i="6"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B20" i="31"/>
  <c r="B21" i="31" s="1"/>
  <c r="I1" i="73"/>
  <c r="B39" i="1" s="1"/>
  <c r="C27" i="67"/>
  <c r="F65" i="15"/>
  <c r="N59" i="67"/>
  <c r="L59" i="67"/>
  <c r="M59" i="67"/>
  <c r="B13" i="70"/>
  <c r="F68" i="15"/>
  <c r="D9" i="69"/>
  <c r="D9" i="68"/>
  <c r="M23" i="15"/>
  <c r="M9" i="15"/>
  <c r="F42" i="67"/>
  <c r="D3" i="73"/>
  <c r="M9" i="67"/>
  <c r="F37" i="67"/>
  <c r="J15" i="67"/>
  <c r="F36" i="67"/>
  <c r="F8" i="67"/>
  <c r="F40" i="67"/>
  <c r="F38" i="15"/>
  <c r="F42" i="15"/>
  <c r="F8" i="15"/>
  <c r="F38" i="67"/>
  <c r="D7" i="73"/>
  <c r="D4" i="73"/>
  <c r="M8" i="67"/>
  <c r="F43" i="67"/>
  <c r="M22" i="67"/>
  <c r="D6" i="73"/>
  <c r="M23" i="67"/>
  <c r="M6" i="67"/>
  <c r="F16" i="67"/>
  <c r="C76" i="67"/>
  <c r="L48" i="67"/>
  <c r="F7" i="67"/>
  <c r="L47" i="15"/>
  <c r="F26" i="15"/>
  <c r="M26" i="15"/>
  <c r="D5" i="73"/>
  <c r="F36" i="15"/>
  <c r="F64" i="15" l="1"/>
  <c r="C27" i="15"/>
  <c r="L58" i="15"/>
  <c r="F51" i="15"/>
  <c r="F66" i="15"/>
  <c r="J7" i="37"/>
  <c r="AZ39" i="3"/>
  <c r="AZ21" i="3"/>
  <c r="AZ63" i="3"/>
  <c r="AZ57" i="3"/>
  <c r="AZ130" i="3"/>
  <c r="AZ244" i="3"/>
  <c r="AZ239" i="3"/>
  <c r="AZ397" i="3"/>
  <c r="AZ118" i="3"/>
  <c r="AZ294" i="3"/>
  <c r="AZ77" i="3"/>
  <c r="AZ437" i="3"/>
  <c r="AZ286" i="3"/>
  <c r="AZ491" i="3"/>
  <c r="B19" i="71"/>
  <c r="B18" i="71" s="1"/>
  <c r="B17" i="71" s="1"/>
  <c r="B16" i="71" s="1"/>
  <c r="S20" i="71"/>
  <c r="U12" i="34"/>
  <c r="AB12" i="34"/>
  <c r="AA32" i="36"/>
  <c r="S32" i="36"/>
  <c r="AZ108" i="3"/>
  <c r="AZ415" i="3"/>
  <c r="AZ398" i="3"/>
  <c r="AZ426" i="3"/>
  <c r="AZ439" i="3"/>
  <c r="AZ422" i="3"/>
  <c r="AZ405" i="3"/>
  <c r="AZ110" i="3"/>
  <c r="AZ235" i="3"/>
  <c r="AZ247" i="3"/>
  <c r="AZ218" i="3"/>
  <c r="N67" i="71"/>
  <c r="B66" i="71"/>
  <c r="U45" i="39"/>
  <c r="AB45" i="39"/>
  <c r="AB9" i="34"/>
  <c r="U9" i="34"/>
  <c r="U25" i="37"/>
  <c r="AB25" i="37"/>
  <c r="AZ276" i="3"/>
  <c r="AZ421" i="3"/>
  <c r="E29" i="6"/>
  <c r="K15" i="1" s="1"/>
  <c r="W12" i="33"/>
  <c r="AC12" i="33"/>
  <c r="U23" i="35"/>
  <c r="AB23" i="35"/>
  <c r="W12" i="34"/>
  <c r="AC12" i="34"/>
  <c r="AC25" i="37"/>
  <c r="W25" i="37"/>
  <c r="N59" i="15"/>
  <c r="I54" i="15"/>
  <c r="F50" i="67"/>
  <c r="M7" i="67"/>
  <c r="J6" i="67" s="1"/>
  <c r="F68" i="67"/>
  <c r="F71" i="67"/>
  <c r="F65" i="67"/>
  <c r="Q71" i="67"/>
  <c r="F51" i="67"/>
  <c r="F64" i="67"/>
  <c r="F66" i="67"/>
  <c r="C36" i="71"/>
  <c r="D35" i="71"/>
  <c r="W26" i="33"/>
  <c r="AC26" i="33"/>
  <c r="AA38" i="40"/>
  <c r="S38" i="40"/>
  <c r="AA44" i="39"/>
  <c r="S44" i="39"/>
  <c r="M88" i="43"/>
  <c r="N88" i="43" s="1"/>
  <c r="K88" i="43"/>
  <c r="M90" i="43"/>
  <c r="N90" i="43" s="1"/>
  <c r="K90" i="43"/>
  <c r="J85" i="43"/>
  <c r="AZ117" i="3"/>
  <c r="AZ209" i="3"/>
  <c r="AZ234" i="3"/>
  <c r="K6" i="1"/>
  <c r="M6" i="1" s="1"/>
  <c r="D3" i="82"/>
  <c r="C52" i="81"/>
  <c r="D52" i="81" s="1"/>
  <c r="E52" i="81" s="1"/>
  <c r="F52" i="81" s="1"/>
  <c r="G52" i="81" s="1"/>
  <c r="H52" i="81" s="1"/>
  <c r="I52" i="81" s="1"/>
  <c r="J52" i="81" s="1"/>
  <c r="K52" i="81" s="1"/>
  <c r="L52" i="81" s="1"/>
  <c r="M52" i="81" s="1"/>
  <c r="N52" i="81" s="1"/>
  <c r="O52" i="81" s="1"/>
  <c r="G7" i="81"/>
  <c r="E7" i="81"/>
  <c r="F7" i="81" s="1"/>
  <c r="I7" i="81"/>
  <c r="D67" i="71"/>
  <c r="C66" i="71"/>
  <c r="O67" i="71"/>
  <c r="AZ150" i="3"/>
  <c r="AZ71" i="3"/>
  <c r="AZ51" i="3"/>
  <c r="AZ137" i="3"/>
  <c r="AZ297" i="3"/>
  <c r="AZ241" i="3"/>
  <c r="AZ210" i="3"/>
  <c r="AZ332" i="3"/>
  <c r="AZ273" i="3"/>
  <c r="AZ121" i="3"/>
  <c r="AZ368" i="3"/>
  <c r="AZ353" i="3"/>
  <c r="AZ461" i="3"/>
  <c r="AZ404" i="3"/>
  <c r="AC9" i="33"/>
  <c r="W9" i="33"/>
  <c r="AZ572" i="3"/>
  <c r="U36" i="39"/>
  <c r="AB36" i="39"/>
  <c r="AB38" i="40"/>
  <c r="U38" i="40"/>
  <c r="U44" i="39"/>
  <c r="AB44" i="39"/>
  <c r="M84" i="43"/>
  <c r="N84" i="43" s="1"/>
  <c r="K84" i="43"/>
  <c r="T40" i="71"/>
  <c r="D40" i="71"/>
  <c r="D20" i="53"/>
  <c r="B40" i="72" s="1"/>
  <c r="M89" i="43"/>
  <c r="N89" i="43" s="1"/>
  <c r="K89" i="43"/>
  <c r="J89" i="43" s="1"/>
  <c r="D89" i="43" s="1"/>
  <c r="AZ138" i="3"/>
  <c r="AZ114" i="3"/>
  <c r="AZ285" i="3"/>
  <c r="AZ492" i="3"/>
  <c r="W36" i="35"/>
  <c r="F28" i="84"/>
  <c r="C28" i="84" s="1"/>
  <c r="F28" i="83"/>
  <c r="C28" i="83" s="1"/>
  <c r="F32" i="84"/>
  <c r="F60" i="84" s="1"/>
  <c r="M18" i="84"/>
  <c r="F32" i="83"/>
  <c r="F60" i="83" s="1"/>
  <c r="M18" i="83"/>
  <c r="C52" i="82"/>
  <c r="D52" i="82" s="1"/>
  <c r="E52" i="82" s="1"/>
  <c r="F52" i="82" s="1"/>
  <c r="G52" i="82" s="1"/>
  <c r="H52" i="82" s="1"/>
  <c r="I52" i="82" s="1"/>
  <c r="J52" i="82" s="1"/>
  <c r="K52" i="82" s="1"/>
  <c r="L52" i="82" s="1"/>
  <c r="M52" i="82" s="1"/>
  <c r="N52" i="82" s="1"/>
  <c r="O52" i="82" s="1"/>
  <c r="I7" i="82"/>
  <c r="E7" i="82"/>
  <c r="F7" i="82" s="1"/>
  <c r="G7" i="82"/>
  <c r="C32" i="71"/>
  <c r="D31" i="71"/>
  <c r="AZ29" i="3"/>
  <c r="AZ66" i="3"/>
  <c r="AZ58" i="3"/>
  <c r="AZ284" i="3"/>
  <c r="AZ16" i="3"/>
  <c r="AZ464" i="3"/>
  <c r="AZ403" i="3"/>
  <c r="D121" i="9"/>
  <c r="D7" i="52" s="1"/>
  <c r="D6" i="52"/>
  <c r="AZ550" i="3"/>
  <c r="S36" i="39"/>
  <c r="AA36" i="39"/>
  <c r="AA24" i="36"/>
  <c r="S24" i="36"/>
  <c r="M86" i="43"/>
  <c r="N86" i="43" s="1"/>
  <c r="K86" i="43"/>
  <c r="D55" i="71"/>
  <c r="C56" i="71"/>
  <c r="L59" i="15"/>
  <c r="Q74" i="15" s="1"/>
  <c r="J57" i="15"/>
  <c r="J55" i="15" s="1"/>
  <c r="J58" i="15" s="1"/>
  <c r="Q50" i="15" s="1"/>
  <c r="M59" i="15"/>
  <c r="F15" i="71"/>
  <c r="F14" i="71" s="1"/>
  <c r="F13" i="71" s="1"/>
  <c r="F12" i="71" s="1"/>
  <c r="F11" i="71" s="1"/>
  <c r="F10" i="71" s="1"/>
  <c r="F9" i="71" s="1"/>
  <c r="F8" i="71" s="1"/>
  <c r="F7" i="71" s="1"/>
  <c r="F6" i="71" s="1"/>
  <c r="F5" i="71" s="1"/>
  <c r="M23" i="43"/>
  <c r="M87" i="43"/>
  <c r="N87" i="43" s="1"/>
  <c r="K87" i="43"/>
  <c r="M83" i="43"/>
  <c r="N83" i="43" s="1"/>
  <c r="K83" i="43"/>
  <c r="AZ113" i="3"/>
  <c r="AZ215" i="3"/>
  <c r="AZ111" i="3"/>
  <c r="C64" i="71"/>
  <c r="D63" i="71"/>
  <c r="D51" i="71"/>
  <c r="C52" i="71"/>
  <c r="AZ45" i="3"/>
  <c r="W12" i="35"/>
  <c r="AC12" i="35"/>
  <c r="AZ585" i="3"/>
  <c r="AA44" i="21"/>
  <c r="S44" i="21"/>
  <c r="AA26" i="33"/>
  <c r="S26" i="33"/>
  <c r="AC38" i="40"/>
  <c r="W38" i="40"/>
  <c r="AB24" i="36"/>
  <c r="U24" i="36"/>
  <c r="AB9" i="33"/>
  <c r="U9" i="33"/>
  <c r="M11" i="84"/>
  <c r="J10" i="84" s="1"/>
  <c r="F11" i="84"/>
  <c r="M11" i="83"/>
  <c r="J10" i="83" s="1"/>
  <c r="F11" i="83"/>
  <c r="L56" i="67"/>
  <c r="J53" i="67"/>
  <c r="F1" i="67" s="1"/>
  <c r="I54" i="67"/>
  <c r="L58" i="67"/>
  <c r="Q60" i="67" s="1"/>
  <c r="J57" i="67"/>
  <c r="J55" i="67" s="1"/>
  <c r="J58" i="67" s="1"/>
  <c r="Q50" i="67" s="1"/>
  <c r="G9" i="1"/>
  <c r="AB33" i="37"/>
  <c r="E11" i="6"/>
  <c r="E60" i="39" s="1"/>
  <c r="E15" i="6"/>
  <c r="E64" i="39" s="1"/>
  <c r="E13" i="6"/>
  <c r="E62" i="39" s="1"/>
  <c r="G5" i="3"/>
  <c r="B3" i="3" s="1"/>
  <c r="E104" i="3" s="1"/>
  <c r="E12" i="6"/>
  <c r="E57" i="40" s="1"/>
  <c r="E10" i="6"/>
  <c r="E8" i="6"/>
  <c r="F27" i="6" s="1"/>
  <c r="F31" i="6" s="1"/>
  <c r="C44" i="43"/>
  <c r="AP6" i="1"/>
  <c r="C36" i="69" s="1"/>
  <c r="F48" i="9"/>
  <c r="O52" i="9" s="1"/>
  <c r="F30" i="11"/>
  <c r="M18" i="67"/>
  <c r="M18" i="15"/>
  <c r="F28" i="67"/>
  <c r="C28" i="67" s="1"/>
  <c r="F32" i="67"/>
  <c r="F60" i="67" s="1"/>
  <c r="F28" i="15"/>
  <c r="C28" i="15" s="1"/>
  <c r="F52" i="9"/>
  <c r="F31" i="12"/>
  <c r="C31" i="12" s="1"/>
  <c r="F30" i="69"/>
  <c r="D68" i="9"/>
  <c r="F30" i="68"/>
  <c r="F32" i="15"/>
  <c r="F60" i="15" s="1"/>
  <c r="F54" i="9"/>
  <c r="E28" i="6"/>
  <c r="K14" i="1" s="1"/>
  <c r="E59" i="40"/>
  <c r="P6" i="1"/>
  <c r="C13" i="12" s="1"/>
  <c r="K1" i="73"/>
  <c r="E103" i="3"/>
  <c r="E478" i="3"/>
  <c r="E561" i="3"/>
  <c r="E124" i="3"/>
  <c r="E472" i="3"/>
  <c r="E171" i="3"/>
  <c r="E227" i="3"/>
  <c r="E400" i="3"/>
  <c r="E70" i="3"/>
  <c r="E377" i="3"/>
  <c r="E268" i="3"/>
  <c r="E579" i="3"/>
  <c r="E247" i="3"/>
  <c r="E570" i="3"/>
  <c r="E335" i="3"/>
  <c r="E69" i="3"/>
  <c r="E445" i="3"/>
  <c r="E191" i="3"/>
  <c r="AI6" i="3"/>
  <c r="E100" i="3"/>
  <c r="E132" i="3"/>
  <c r="E275" i="3"/>
  <c r="AA26" i="37"/>
  <c r="S26" i="37"/>
  <c r="BA5" i="3"/>
  <c r="C19" i="71"/>
  <c r="T20" i="71"/>
  <c r="D20" i="71"/>
  <c r="U20" i="71" s="1"/>
  <c r="AZ5" i="3"/>
  <c r="AY6" i="3"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31" i="3"/>
  <c r="E118" i="3"/>
  <c r="E248" i="3"/>
  <c r="AA9" i="36"/>
  <c r="S9" i="36"/>
  <c r="AA34" i="35"/>
  <c r="S34" i="35"/>
  <c r="E15" i="71"/>
  <c r="E14" i="71" s="1"/>
  <c r="E13" i="71" s="1"/>
  <c r="E12" i="71" s="1"/>
  <c r="V16" i="71"/>
  <c r="E378" i="3"/>
  <c r="S40" i="40"/>
  <c r="AA40" i="40"/>
  <c r="AC34" i="35"/>
  <c r="W34" i="35"/>
  <c r="E61" i="43"/>
  <c r="B59" i="43" s="1"/>
  <c r="E30" i="6"/>
  <c r="H7" i="34"/>
  <c r="AB7" i="34" s="1"/>
  <c r="T49" i="34" s="1"/>
  <c r="G49" i="34" s="1"/>
  <c r="E67" i="39"/>
  <c r="E69" i="39" s="1"/>
  <c r="J7" i="34"/>
  <c r="W7" i="34" s="1"/>
  <c r="F7" i="34"/>
  <c r="S7" i="34" s="1"/>
  <c r="AA26" i="35"/>
  <c r="S26" i="35"/>
  <c r="AC26" i="35"/>
  <c r="W26" i="35"/>
  <c r="AB26" i="35"/>
  <c r="U26" i="35"/>
  <c r="E56" i="40"/>
  <c r="C9" i="69"/>
  <c r="C9" i="68"/>
  <c r="E72" i="43"/>
  <c r="B70" i="43" s="1"/>
  <c r="E58" i="40"/>
  <c r="D5" i="43"/>
  <c r="C7" i="43"/>
  <c r="C5" i="43" s="1"/>
  <c r="D10" i="52"/>
  <c r="D125" i="9"/>
  <c r="D11" i="52" s="1"/>
  <c r="B7" i="74"/>
  <c r="C7" i="74" s="1"/>
  <c r="F67" i="39"/>
  <c r="F59" i="67"/>
  <c r="H7" i="37"/>
  <c r="AB7" i="37" s="1"/>
  <c r="H7" i="33"/>
  <c r="J7" i="33"/>
  <c r="D65" i="40"/>
  <c r="E63" i="40"/>
  <c r="F48" i="35"/>
  <c r="AC7" i="37"/>
  <c r="W7" i="37"/>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AE11" i="1"/>
  <c r="AE9" i="1"/>
  <c r="AE12" i="1"/>
  <c r="AE10" i="1"/>
  <c r="C76" i="83"/>
  <c r="F43" i="83"/>
  <c r="J15" i="84"/>
  <c r="F40" i="84"/>
  <c r="F40" i="83"/>
  <c r="C76" i="84"/>
  <c r="F16" i="84"/>
  <c r="F37" i="83"/>
  <c r="F43" i="15"/>
  <c r="F42" i="84"/>
  <c r="G1" i="73"/>
  <c r="J15" i="83"/>
  <c r="L47" i="83"/>
  <c r="F36" i="84"/>
  <c r="F13" i="83"/>
  <c r="F38" i="84"/>
  <c r="M23" i="84"/>
  <c r="M24" i="83"/>
  <c r="F8" i="84"/>
  <c r="L48" i="83"/>
  <c r="M9" i="84"/>
  <c r="L48" i="84"/>
  <c r="M8" i="83"/>
  <c r="M22" i="84"/>
  <c r="F16" i="83"/>
  <c r="M22" i="83"/>
  <c r="M8" i="84"/>
  <c r="F7" i="83"/>
  <c r="F8" i="83"/>
  <c r="M26" i="84"/>
  <c r="M6" i="83"/>
  <c r="M26" i="83"/>
  <c r="F9" i="84"/>
  <c r="L47" i="84"/>
  <c r="AE6" i="1"/>
  <c r="M28" i="83"/>
  <c r="F37" i="84"/>
  <c r="M24" i="84"/>
  <c r="M29" i="83"/>
  <c r="F7" i="84"/>
  <c r="M6" i="84"/>
  <c r="F26" i="83"/>
  <c r="M9" i="83"/>
  <c r="F26" i="84"/>
  <c r="F38" i="83"/>
  <c r="M29" i="15"/>
  <c r="F43" i="84"/>
  <c r="M29" i="84"/>
  <c r="F9" i="83"/>
  <c r="F36" i="83"/>
  <c r="F13" i="84"/>
  <c r="M28" i="84"/>
  <c r="C16" i="67"/>
  <c r="M23" i="83"/>
  <c r="F7" i="15"/>
  <c r="F42" i="83"/>
  <c r="C16" i="15"/>
  <c r="E139" i="3" l="1"/>
  <c r="E369" i="3"/>
  <c r="E94" i="3"/>
  <c r="E219" i="3"/>
  <c r="E296" i="3"/>
  <c r="E246" i="3"/>
  <c r="E535" i="3"/>
  <c r="E189" i="3"/>
  <c r="E514" i="3"/>
  <c r="E322" i="3"/>
  <c r="E182" i="3"/>
  <c r="AO6" i="3"/>
  <c r="E454" i="3"/>
  <c r="E503" i="3"/>
  <c r="E358" i="3"/>
  <c r="H7" i="81"/>
  <c r="N65" i="71"/>
  <c r="N66" i="71"/>
  <c r="E60" i="40"/>
  <c r="E142" i="3"/>
  <c r="E240" i="3"/>
  <c r="E483" i="3"/>
  <c r="E200" i="3"/>
  <c r="E263" i="3"/>
  <c r="E172" i="3"/>
  <c r="AB6" i="3"/>
  <c r="E431" i="3"/>
  <c r="E217" i="3"/>
  <c r="E557" i="3"/>
  <c r="E74" i="3"/>
  <c r="K6" i="3"/>
  <c r="E384" i="3"/>
  <c r="H7" i="82"/>
  <c r="J7" i="81"/>
  <c r="C49" i="67"/>
  <c r="J18" i="67"/>
  <c r="Q61" i="15"/>
  <c r="J5" i="67"/>
  <c r="E134" i="3"/>
  <c r="E143" i="3"/>
  <c r="E519" i="3"/>
  <c r="E242" i="3"/>
  <c r="E148" i="3"/>
  <c r="E385" i="3"/>
  <c r="E135" i="3"/>
  <c r="E278" i="3"/>
  <c r="E387" i="3"/>
  <c r="E311" i="3"/>
  <c r="AJ6" i="3"/>
  <c r="E572" i="3"/>
  <c r="E28" i="3"/>
  <c r="E204" i="3"/>
  <c r="E146" i="3"/>
  <c r="E181" i="3"/>
  <c r="E380" i="3"/>
  <c r="E162" i="3"/>
  <c r="E443" i="3"/>
  <c r="E119" i="3"/>
  <c r="X6" i="3"/>
  <c r="E423" i="3"/>
  <c r="E161" i="3"/>
  <c r="E563" i="3"/>
  <c r="E215" i="3"/>
  <c r="M6" i="3"/>
  <c r="E201" i="3"/>
  <c r="E509" i="3"/>
  <c r="E526" i="3"/>
  <c r="E273" i="3"/>
  <c r="E531" i="3"/>
  <c r="E327" i="3"/>
  <c r="E362" i="3"/>
  <c r="E465" i="3"/>
  <c r="E77" i="3"/>
  <c r="E528" i="3"/>
  <c r="E530" i="3"/>
  <c r="E567" i="3"/>
  <c r="E523" i="3"/>
  <c r="E27" i="6"/>
  <c r="K26" i="6" s="1"/>
  <c r="M26" i="6" s="1"/>
  <c r="I26" i="6" s="1"/>
  <c r="S26" i="6" s="1"/>
  <c r="G16" i="1"/>
  <c r="F10" i="39" s="1"/>
  <c r="AA10" i="39" s="1"/>
  <c r="K16" i="1"/>
  <c r="F64" i="84"/>
  <c r="F65" i="84"/>
  <c r="N59" i="83"/>
  <c r="L58" i="83"/>
  <c r="L59" i="83"/>
  <c r="M59" i="83"/>
  <c r="F64" i="83"/>
  <c r="L56" i="84"/>
  <c r="L60" i="84"/>
  <c r="L57" i="84"/>
  <c r="J53" i="84"/>
  <c r="J57" i="84"/>
  <c r="J55" i="84" s="1"/>
  <c r="J58" i="84" s="1"/>
  <c r="Q50" i="84" s="1"/>
  <c r="I54" i="84"/>
  <c r="L59" i="84"/>
  <c r="N59" i="84"/>
  <c r="L58" i="84"/>
  <c r="M59" i="84"/>
  <c r="F71" i="84"/>
  <c r="F71" i="15"/>
  <c r="M7" i="15"/>
  <c r="J6" i="15" s="1"/>
  <c r="J18" i="15" s="1"/>
  <c r="F50" i="15"/>
  <c r="C49" i="15" s="1"/>
  <c r="F65" i="83"/>
  <c r="L57" i="83"/>
  <c r="L60" i="83"/>
  <c r="L56" i="83"/>
  <c r="J57" i="83"/>
  <c r="J55" i="83" s="1"/>
  <c r="J58" i="83" s="1"/>
  <c r="Q50" i="83" s="1"/>
  <c r="J53" i="83"/>
  <c r="I54" i="83"/>
  <c r="F66" i="83"/>
  <c r="F51" i="84"/>
  <c r="C27" i="84"/>
  <c r="Q71" i="84"/>
  <c r="F51" i="83"/>
  <c r="F68" i="83"/>
  <c r="C27" i="83"/>
  <c r="F50" i="83"/>
  <c r="M7" i="83"/>
  <c r="J6" i="83" s="1"/>
  <c r="F68" i="84"/>
  <c r="F66" i="84"/>
  <c r="F50" i="84"/>
  <c r="M7" i="84"/>
  <c r="J6" i="84" s="1"/>
  <c r="J5" i="84" s="1"/>
  <c r="F71" i="83"/>
  <c r="Q71" i="83"/>
  <c r="U7" i="36"/>
  <c r="T64" i="71"/>
  <c r="D64" i="71"/>
  <c r="D56" i="71"/>
  <c r="T56" i="71"/>
  <c r="U7" i="82"/>
  <c r="AB7" i="82"/>
  <c r="D84" i="43"/>
  <c r="J84" i="43"/>
  <c r="W7" i="81"/>
  <c r="AC7" i="81"/>
  <c r="D88" i="43"/>
  <c r="J88" i="43"/>
  <c r="D36" i="71"/>
  <c r="T36" i="71"/>
  <c r="T52" i="71"/>
  <c r="D52" i="71"/>
  <c r="D87" i="43"/>
  <c r="J87" i="43"/>
  <c r="AA7" i="82"/>
  <c r="S7" i="82"/>
  <c r="S7" i="81"/>
  <c r="AA7" i="81"/>
  <c r="H16" i="1"/>
  <c r="Q16" i="1"/>
  <c r="E109" i="3"/>
  <c r="E211" i="3"/>
  <c r="E489" i="3"/>
  <c r="E485" i="3"/>
  <c r="E89" i="3"/>
  <c r="E214" i="3"/>
  <c r="E577" i="3"/>
  <c r="E228" i="3"/>
  <c r="E350" i="3"/>
  <c r="E185" i="3"/>
  <c r="E388" i="3"/>
  <c r="AS6" i="3"/>
  <c r="E61" i="3"/>
  <c r="E365" i="3"/>
  <c r="D86" i="43"/>
  <c r="J86" i="43"/>
  <c r="J7" i="82"/>
  <c r="O65" i="71"/>
  <c r="O66" i="71"/>
  <c r="D66" i="71"/>
  <c r="U7" i="81"/>
  <c r="AB7" i="81"/>
  <c r="D90" i="43"/>
  <c r="J90" i="43"/>
  <c r="J83" i="43"/>
  <c r="D83" i="43"/>
  <c r="T32" i="71"/>
  <c r="D32" i="71"/>
  <c r="C53" i="84"/>
  <c r="C53" i="83"/>
  <c r="Q52" i="67"/>
  <c r="Q73" i="67"/>
  <c r="J10" i="39"/>
  <c r="W10" i="39" s="1"/>
  <c r="O6" i="1"/>
  <c r="E345" i="3"/>
  <c r="Z6" i="3"/>
  <c r="E368" i="3"/>
  <c r="E315" i="3"/>
  <c r="E106" i="3"/>
  <c r="E587" i="3"/>
  <c r="E560" i="3"/>
  <c r="AK6" i="3"/>
  <c r="E399" i="3"/>
  <c r="E301" i="3"/>
  <c r="E361" i="3"/>
  <c r="E231" i="3"/>
  <c r="E533" i="3"/>
  <c r="E305" i="3"/>
  <c r="E210" i="3"/>
  <c r="E477" i="3"/>
  <c r="E433" i="3"/>
  <c r="E130" i="3"/>
  <c r="E344" i="3"/>
  <c r="E463" i="3"/>
  <c r="E468" i="3"/>
  <c r="E406" i="3"/>
  <c r="E277" i="3"/>
  <c r="E568" i="3"/>
  <c r="E495" i="3"/>
  <c r="E180" i="3"/>
  <c r="E261" i="3"/>
  <c r="E439" i="3"/>
  <c r="E410" i="3"/>
  <c r="E441" i="3"/>
  <c r="E447" i="3"/>
  <c r="E585" i="3"/>
  <c r="E253" i="3"/>
  <c r="E282" i="3"/>
  <c r="E187" i="3"/>
  <c r="E133" i="3"/>
  <c r="E545" i="3"/>
  <c r="E347" i="3"/>
  <c r="E586" i="3"/>
  <c r="E91" i="3"/>
  <c r="E183" i="3"/>
  <c r="E216" i="3"/>
  <c r="E538" i="3"/>
  <c r="E270" i="3"/>
  <c r="E555" i="3"/>
  <c r="E343" i="3"/>
  <c r="E44" i="3"/>
  <c r="E186" i="3"/>
  <c r="E476" i="3"/>
  <c r="E414" i="3"/>
  <c r="E107" i="3"/>
  <c r="E571" i="3"/>
  <c r="E336" i="3"/>
  <c r="E294" i="3"/>
  <c r="E480" i="3"/>
  <c r="AA6" i="3"/>
  <c r="E47" i="3"/>
  <c r="E205" i="3"/>
  <c r="AR6" i="3"/>
  <c r="E337" i="3"/>
  <c r="E508" i="3"/>
  <c r="E175" i="3"/>
  <c r="E331" i="3"/>
  <c r="E27" i="3"/>
  <c r="E505" i="3"/>
  <c r="E515" i="3"/>
  <c r="E318" i="3"/>
  <c r="E45" i="3"/>
  <c r="E117" i="3"/>
  <c r="E229" i="3"/>
  <c r="E576" i="3"/>
  <c r="E471" i="3"/>
  <c r="E137" i="3"/>
  <c r="AL6" i="3"/>
  <c r="E55" i="3"/>
  <c r="E546" i="3"/>
  <c r="E312" i="3"/>
  <c r="E16" i="3"/>
  <c r="E199" i="3"/>
  <c r="E95" i="3"/>
  <c r="E409" i="3"/>
  <c r="E267" i="3"/>
  <c r="E67" i="3"/>
  <c r="E63" i="3"/>
  <c r="E198" i="3"/>
  <c r="E42" i="3"/>
  <c r="E129"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10" i="3"/>
  <c r="E192" i="3"/>
  <c r="E425" i="3"/>
  <c r="E300" i="3"/>
  <c r="E144" i="3"/>
  <c r="E264" i="3"/>
  <c r="E281" i="3"/>
  <c r="E75"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177" i="3"/>
  <c r="E481" i="3"/>
  <c r="E429" i="3"/>
  <c r="E203" i="3"/>
  <c r="E580" i="3"/>
  <c r="E252" i="3"/>
  <c r="E448" i="3"/>
  <c r="E581" i="3"/>
  <c r="E121" i="3"/>
  <c r="E334" i="3"/>
  <c r="E366" i="3"/>
  <c r="E442" i="3"/>
  <c r="E292" i="3"/>
  <c r="E64" i="3"/>
  <c r="E310" i="3"/>
  <c r="E233" i="3"/>
  <c r="E309" i="3"/>
  <c r="E332" i="3"/>
  <c r="E18" i="3"/>
  <c r="E383" i="3"/>
  <c r="E251" i="3"/>
  <c r="E22" i="3"/>
  <c r="E525" i="3"/>
  <c r="E469" i="3"/>
  <c r="E497" i="3"/>
  <c r="E26" i="3"/>
  <c r="E243" i="3"/>
  <c r="E220" i="3"/>
  <c r="E232" i="3"/>
  <c r="E83" i="3"/>
  <c r="E105" i="3"/>
  <c r="E427" i="3"/>
  <c r="E490" i="3"/>
  <c r="E401" i="3"/>
  <c r="E178" i="3"/>
  <c r="E333" i="3"/>
  <c r="E473"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303" i="3"/>
  <c r="E574" i="3"/>
  <c r="E548" i="3"/>
  <c r="E474" i="3"/>
  <c r="E488" i="3"/>
  <c r="E464" i="3"/>
  <c r="E24" i="3"/>
  <c r="E50" i="3"/>
  <c r="E15" i="3"/>
  <c r="AH6" i="3"/>
  <c r="E370" i="3"/>
  <c r="E13" i="3"/>
  <c r="E102" i="3"/>
  <c r="E21" i="3"/>
  <c r="E76" i="3"/>
  <c r="E271" i="3"/>
  <c r="E279" i="3"/>
  <c r="E457" i="3"/>
  <c r="E511" i="3"/>
  <c r="E518" i="3"/>
  <c r="E260" i="3"/>
  <c r="E407" i="3"/>
  <c r="E569" i="3"/>
  <c r="E295" i="3"/>
  <c r="I6" i="3"/>
  <c r="Q6" i="3"/>
  <c r="E213" i="3"/>
  <c r="E501" i="3"/>
  <c r="E207" i="3"/>
  <c r="E306" i="3"/>
  <c r="E66" i="3"/>
  <c r="E48" i="3"/>
  <c r="E155" i="3"/>
  <c r="E123" i="3"/>
  <c r="L6" i="3"/>
  <c r="E486" i="3"/>
  <c r="E324" i="3"/>
  <c r="E408" i="3"/>
  <c r="E522" i="3"/>
  <c r="E381" i="3"/>
  <c r="I3" i="6"/>
  <c r="E269" i="3"/>
  <c r="E111" i="3"/>
  <c r="E458" i="3"/>
  <c r="E85" i="3"/>
  <c r="E382" i="3"/>
  <c r="E415" i="3"/>
  <c r="E551" i="3"/>
  <c r="E239" i="3"/>
  <c r="E404" i="3"/>
  <c r="E274" i="3"/>
  <c r="E262" i="3"/>
  <c r="E298" i="3"/>
  <c r="E317" i="3"/>
  <c r="E257" i="3"/>
  <c r="E82" i="3"/>
  <c r="E374" i="3"/>
  <c r="E57" i="3"/>
  <c r="E552" i="3"/>
  <c r="E392" i="3"/>
  <c r="E202" i="3"/>
  <c r="E393" i="3"/>
  <c r="E428" i="3"/>
  <c r="E534" i="3"/>
  <c r="E96" i="3"/>
  <c r="E23" i="3"/>
  <c r="E389" i="3"/>
  <c r="E517" i="3"/>
  <c r="E61" i="39"/>
  <c r="H10" i="39"/>
  <c r="U10" i="39" s="1"/>
  <c r="E479" i="3"/>
  <c r="M14" i="1"/>
  <c r="M16" i="1" s="1"/>
  <c r="E212" i="3"/>
  <c r="E536" i="3"/>
  <c r="E541" i="3"/>
  <c r="E417" i="3"/>
  <c r="E152" i="3"/>
  <c r="E363"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R6" i="3"/>
  <c r="E554" i="3"/>
  <c r="E56" i="3"/>
  <c r="E241" i="3"/>
  <c r="E544" i="3"/>
  <c r="E484" i="3"/>
  <c r="E46" i="3"/>
  <c r="E249" i="3"/>
  <c r="E492" i="3"/>
  <c r="E33" i="3"/>
  <c r="E355" i="3"/>
  <c r="E81" i="3"/>
  <c r="E513" i="3"/>
  <c r="E16" i="6"/>
  <c r="E56" i="39"/>
  <c r="E65" i="39" s="1"/>
  <c r="E51" i="40"/>
  <c r="E349" i="3"/>
  <c r="E258" i="3"/>
  <c r="E37" i="3"/>
  <c r="E435" i="3"/>
  <c r="E449" i="3"/>
  <c r="E575" i="3"/>
  <c r="E491" i="3"/>
  <c r="AP6" i="3"/>
  <c r="E430" i="3"/>
  <c r="E502" i="3"/>
  <c r="E286" i="3"/>
  <c r="E539" i="3"/>
  <c r="E255" i="3"/>
  <c r="E466" i="3"/>
  <c r="E499" i="3"/>
  <c r="AA7" i="36"/>
  <c r="R36" i="36" s="1"/>
  <c r="F48" i="68"/>
  <c r="C48" i="68"/>
  <c r="C30" i="68"/>
  <c r="F48" i="69"/>
  <c r="C30" i="69"/>
  <c r="C48" i="69"/>
  <c r="C48" i="11"/>
  <c r="C30" i="11"/>
  <c r="E3" i="6"/>
  <c r="B40" i="1"/>
  <c r="F24" i="84"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7" i="39"/>
  <c r="F69" i="39"/>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J24" i="67"/>
  <c r="C53" i="67"/>
  <c r="C48" i="67" s="1"/>
  <c r="C10" i="67"/>
  <c r="C53" i="15"/>
  <c r="C16" i="83"/>
  <c r="F41" i="15"/>
  <c r="M27" i="84"/>
  <c r="M27" i="15"/>
  <c r="C16" i="84"/>
  <c r="C17" i="84"/>
  <c r="M27" i="83"/>
  <c r="M27" i="67"/>
  <c r="E83" i="43" l="1"/>
  <c r="B81" i="43" s="1"/>
  <c r="C28" i="43" s="1"/>
  <c r="T2" i="43" s="1"/>
  <c r="V2" i="43" s="1"/>
  <c r="J5" i="15"/>
  <c r="J24" i="15" s="1"/>
  <c r="T10" i="43"/>
  <c r="V10" i="43" s="1"/>
  <c r="T16" i="43"/>
  <c r="V16" i="43" s="1"/>
  <c r="C38" i="43"/>
  <c r="G38" i="43" s="1"/>
  <c r="I38" i="43" s="1"/>
  <c r="T5" i="43"/>
  <c r="V5" i="43" s="1"/>
  <c r="C40" i="43"/>
  <c r="E40" i="43" s="1"/>
  <c r="J10" i="40"/>
  <c r="F10" i="40"/>
  <c r="S10" i="40" s="1"/>
  <c r="AC6" i="3"/>
  <c r="H6" i="3"/>
  <c r="H10" i="40"/>
  <c r="J26" i="84"/>
  <c r="J24" i="84"/>
  <c r="AC10" i="39"/>
  <c r="AB10" i="39"/>
  <c r="C48" i="15"/>
  <c r="C66" i="15" s="1"/>
  <c r="J19" i="83"/>
  <c r="J18" i="83"/>
  <c r="J5" i="83"/>
  <c r="F27" i="69"/>
  <c r="F28" i="12"/>
  <c r="C29" i="12" s="1"/>
  <c r="D28" i="12" s="1"/>
  <c r="F27" i="68"/>
  <c r="F27" i="11"/>
  <c r="C49" i="83"/>
  <c r="C61" i="83" s="1"/>
  <c r="Q52" i="83"/>
  <c r="F1" i="83"/>
  <c r="Q73" i="84"/>
  <c r="Q60" i="84"/>
  <c r="Q73" i="83"/>
  <c r="Q60" i="83"/>
  <c r="C30" i="81"/>
  <c r="C30" i="82"/>
  <c r="C30" i="37"/>
  <c r="Q52" i="84"/>
  <c r="F1" i="84"/>
  <c r="W7" i="82"/>
  <c r="AC7" i="82"/>
  <c r="J18" i="84"/>
  <c r="J19" i="84"/>
  <c r="Q61" i="84"/>
  <c r="Q74" i="84"/>
  <c r="S10" i="39"/>
  <c r="C49" i="84"/>
  <c r="C61" i="84" s="1"/>
  <c r="Q66" i="83"/>
  <c r="Q57" i="83"/>
  <c r="Q57" i="84"/>
  <c r="Q66" i="84"/>
  <c r="Q61" i="83"/>
  <c r="Q74" i="83"/>
  <c r="C24" i="84"/>
  <c r="L36" i="43"/>
  <c r="L37" i="43" s="1"/>
  <c r="Q37" i="43" s="1"/>
  <c r="F24" i="83"/>
  <c r="O16" i="1"/>
  <c r="D3" i="21"/>
  <c r="B14" i="74"/>
  <c r="F22" i="69"/>
  <c r="F41" i="69" s="1"/>
  <c r="F25" i="12"/>
  <c r="C26" i="12" s="1"/>
  <c r="D25" i="12" s="1"/>
  <c r="L18" i="9"/>
  <c r="D19" i="11"/>
  <c r="C19" i="11" s="1"/>
  <c r="D14" i="12"/>
  <c r="D17" i="12" s="1"/>
  <c r="C17" i="12" s="1"/>
  <c r="D3" i="37"/>
  <c r="D37" i="11"/>
  <c r="D3" i="33"/>
  <c r="D3" i="34"/>
  <c r="E6" i="6"/>
  <c r="D10" i="69" s="1"/>
  <c r="C17" i="4"/>
  <c r="B4" i="52" s="1"/>
  <c r="B43" i="72" s="1"/>
  <c r="M18" i="9"/>
  <c r="B118" i="9" s="1"/>
  <c r="B1" i="74" s="1"/>
  <c r="F22" i="68"/>
  <c r="F41" i="68" s="1"/>
  <c r="F24" i="15"/>
  <c r="C24" i="15" s="1"/>
  <c r="F22" i="11"/>
  <c r="C23" i="11" s="1"/>
  <c r="F24" i="67"/>
  <c r="C24" i="67" s="1"/>
  <c r="E49" i="34"/>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25" i="6"/>
  <c r="D15" i="6"/>
  <c r="D22" i="6"/>
  <c r="D21" i="6"/>
  <c r="D24" i="6"/>
  <c r="D20" i="6"/>
  <c r="M19" i="9"/>
  <c r="C118" i="9" s="1"/>
  <c r="B2" i="74" s="1"/>
  <c r="D26" i="6"/>
  <c r="D8" i="6"/>
  <c r="D14" i="6"/>
  <c r="D9" i="6"/>
  <c r="D10" i="6"/>
  <c r="L19" i="9"/>
  <c r="D29"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6" i="67"/>
  <c r="C60" i="67"/>
  <c r="C34" i="69"/>
  <c r="C14" i="67"/>
  <c r="AE7" i="1"/>
  <c r="C17" i="83"/>
  <c r="C17" i="15"/>
  <c r="F41" i="67"/>
  <c r="AE8" i="1"/>
  <c r="C17" i="67"/>
  <c r="F41" i="83"/>
  <c r="C14" i="84"/>
  <c r="T3" i="43" l="1"/>
  <c r="V3" i="43" s="1"/>
  <c r="T4" i="43"/>
  <c r="V4" i="43" s="1"/>
  <c r="C41" i="43"/>
  <c r="T13" i="43"/>
  <c r="V13" i="43" s="1"/>
  <c r="T7" i="43"/>
  <c r="V7" i="43" s="1"/>
  <c r="E6" i="3"/>
  <c r="C42" i="43"/>
  <c r="T12" i="43"/>
  <c r="V12" i="43" s="1"/>
  <c r="T14" i="43"/>
  <c r="V14" i="43" s="1"/>
  <c r="T6" i="43"/>
  <c r="V6" i="43" s="1"/>
  <c r="C37" i="43"/>
  <c r="T15" i="43"/>
  <c r="V15" i="43" s="1"/>
  <c r="C39" i="43"/>
  <c r="T9" i="43"/>
  <c r="V9" i="43" s="1"/>
  <c r="T11" i="43"/>
  <c r="V11" i="43" s="1"/>
  <c r="T8" i="43"/>
  <c r="V8" i="43" s="1"/>
  <c r="E38" i="43"/>
  <c r="C60" i="15"/>
  <c r="G40" i="43"/>
  <c r="I40" i="43" s="1"/>
  <c r="AA10" i="40"/>
  <c r="AC10" i="40"/>
  <c r="W10" i="40"/>
  <c r="C28" i="11"/>
  <c r="C27" i="11" s="1"/>
  <c r="C48" i="83"/>
  <c r="C60" i="83" s="1"/>
  <c r="AB10" i="40"/>
  <c r="U10" i="40"/>
  <c r="C48" i="84"/>
  <c r="C66" i="84" s="1"/>
  <c r="F69" i="67"/>
  <c r="F69" i="83"/>
  <c r="C47" i="68"/>
  <c r="D45" i="68" s="1"/>
  <c r="C29" i="68"/>
  <c r="D27" i="68" s="1"/>
  <c r="F45" i="68"/>
  <c r="F30" i="37"/>
  <c r="H30" i="37"/>
  <c r="J30" i="37"/>
  <c r="J24" i="83"/>
  <c r="J26" i="83"/>
  <c r="J29" i="83" s="1"/>
  <c r="E7" i="70"/>
  <c r="C60" i="84"/>
  <c r="H30" i="82"/>
  <c r="F30" i="82"/>
  <c r="J30" i="82"/>
  <c r="F45" i="69"/>
  <c r="C47" i="69"/>
  <c r="D45" i="69" s="1"/>
  <c r="C29" i="69"/>
  <c r="D27" i="69" s="1"/>
  <c r="H30" i="81"/>
  <c r="F30" i="81"/>
  <c r="J30" i="81"/>
  <c r="C29" i="11"/>
  <c r="D27" i="11" s="1"/>
  <c r="C47" i="11"/>
  <c r="D45" i="11" s="1"/>
  <c r="C15" i="84"/>
  <c r="C18" i="84"/>
  <c r="P37" i="43"/>
  <c r="N37" i="43"/>
  <c r="M36" i="43"/>
  <c r="M37" i="43"/>
  <c r="P36" i="43"/>
  <c r="O36" i="43"/>
  <c r="O37" i="43"/>
  <c r="N36" i="43"/>
  <c r="Q36" i="43"/>
  <c r="C24" i="83"/>
  <c r="C44" i="69"/>
  <c r="D41" i="69" s="1"/>
  <c r="C26" i="69"/>
  <c r="D22" i="69" s="1"/>
  <c r="C26" i="11"/>
  <c r="D22" i="11" s="1"/>
  <c r="C24" i="11"/>
  <c r="D10" i="68"/>
  <c r="D19" i="68" s="1"/>
  <c r="D20" i="12"/>
  <c r="C20" i="12" s="1"/>
  <c r="C26" i="68"/>
  <c r="D22" i="68" s="1"/>
  <c r="D6" i="6"/>
  <c r="D10" i="11"/>
  <c r="C10" i="11" s="1"/>
  <c r="C44" i="11"/>
  <c r="D41" i="11" s="1"/>
  <c r="C44" i="68"/>
  <c r="D41" i="68" s="1"/>
  <c r="H22" i="6"/>
  <c r="R22" i="6" s="1"/>
  <c r="R9" i="1" s="1"/>
  <c r="C25" i="11"/>
  <c r="H21" i="6"/>
  <c r="R21" i="6" s="1"/>
  <c r="R8" i="1" s="1"/>
  <c r="H24" i="6"/>
  <c r="H25" i="6"/>
  <c r="R25" i="6" s="1"/>
  <c r="R12" i="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H69" i="39"/>
  <c r="I67" i="39"/>
  <c r="G65" i="40"/>
  <c r="H63" i="40"/>
  <c r="I48" i="35"/>
  <c r="C48" i="33"/>
  <c r="C49" i="33"/>
  <c r="H58" i="21"/>
  <c r="E53" i="33"/>
  <c r="F53" i="33" s="1"/>
  <c r="E52" i="33"/>
  <c r="F52" i="33" s="1"/>
  <c r="J19" i="67"/>
  <c r="C34" i="68"/>
  <c r="F41" i="84"/>
  <c r="C14" i="83"/>
  <c r="F35" i="84"/>
  <c r="F35" i="83"/>
  <c r="M21" i="84"/>
  <c r="M21" i="83"/>
  <c r="C14" i="15"/>
  <c r="E37" i="43" l="1"/>
  <c r="G37" i="43"/>
  <c r="I37" i="43" s="1"/>
  <c r="E42" i="43"/>
  <c r="G42" i="43"/>
  <c r="I42" i="43" s="1"/>
  <c r="G41" i="43"/>
  <c r="I41" i="43" s="1"/>
  <c r="E41" i="43"/>
  <c r="G39" i="43"/>
  <c r="I39" i="43" s="1"/>
  <c r="E39" i="43"/>
  <c r="C66" i="83"/>
  <c r="F69" i="84"/>
  <c r="J29" i="84"/>
  <c r="AB30" i="81"/>
  <c r="T42" i="81" s="1"/>
  <c r="G42" i="81" s="1"/>
  <c r="U30" i="81"/>
  <c r="AC30" i="37"/>
  <c r="V42" i="37" s="1"/>
  <c r="I42" i="37" s="1"/>
  <c r="W30" i="37"/>
  <c r="AC30" i="82"/>
  <c r="V42" i="82" s="1"/>
  <c r="I42" i="82" s="1"/>
  <c r="I46" i="82" s="1"/>
  <c r="J46" i="82" s="1"/>
  <c r="W30" i="82"/>
  <c r="AB30" i="37"/>
  <c r="T42" i="37" s="1"/>
  <c r="G42" i="37" s="1"/>
  <c r="U30" i="37"/>
  <c r="W30" i="81"/>
  <c r="AC30" i="81"/>
  <c r="V42" i="81" s="1"/>
  <c r="I42" i="81" s="1"/>
  <c r="AA30" i="82"/>
  <c r="R42" i="82" s="1"/>
  <c r="S30" i="82"/>
  <c r="AA30" i="37"/>
  <c r="R42" i="37" s="1"/>
  <c r="S30" i="37"/>
  <c r="AA30" i="81"/>
  <c r="R42" i="81" s="1"/>
  <c r="S30" i="81"/>
  <c r="U30" i="82"/>
  <c r="AB30" i="82"/>
  <c r="T42" i="82" s="1"/>
  <c r="G42" i="82" s="1"/>
  <c r="C19" i="84"/>
  <c r="C20" i="84" s="1"/>
  <c r="C23" i="84" s="1"/>
  <c r="C15" i="83"/>
  <c r="C18" i="83"/>
  <c r="C34" i="84"/>
  <c r="F63" i="84"/>
  <c r="C62" i="84" s="1"/>
  <c r="C59" i="84" s="1"/>
  <c r="J20" i="84"/>
  <c r="J17" i="84" s="1"/>
  <c r="C34" i="83"/>
  <c r="F63" i="83"/>
  <c r="C62" i="83" s="1"/>
  <c r="C59" i="83" s="1"/>
  <c r="J20" i="83"/>
  <c r="J17" i="83" s="1"/>
  <c r="C10" i="68"/>
  <c r="B29" i="1" s="1"/>
  <c r="C8" i="68"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G46" i="82" l="1"/>
  <c r="H46" i="82" s="1"/>
  <c r="G47" i="82"/>
  <c r="H47" i="82" s="1"/>
  <c r="I46" i="81"/>
  <c r="J46" i="81" s="1"/>
  <c r="R43" i="37"/>
  <c r="E42" i="37"/>
  <c r="G46" i="81"/>
  <c r="H46" i="81" s="1"/>
  <c r="G47" i="81"/>
  <c r="H47" i="81" s="1"/>
  <c r="R43" i="81"/>
  <c r="E42" i="81"/>
  <c r="E42" i="82"/>
  <c r="R43" i="82"/>
  <c r="G46" i="37"/>
  <c r="H46" i="37" s="1"/>
  <c r="G47" i="37"/>
  <c r="H47" i="37" s="1"/>
  <c r="I46" i="37"/>
  <c r="J46" i="37" s="1"/>
  <c r="I47" i="37"/>
  <c r="J47" i="37" s="1"/>
  <c r="C19" i="83"/>
  <c r="C20" i="83" s="1"/>
  <c r="C23" i="83" s="1"/>
  <c r="C26" i="84"/>
  <c r="C29" i="84" s="1"/>
  <c r="C18" i="12"/>
  <c r="C21" i="12" s="1"/>
  <c r="C22" i="12" s="1"/>
  <c r="C30" i="12" s="1"/>
  <c r="C28" i="12" s="1"/>
  <c r="H26" i="43"/>
  <c r="G26" i="43"/>
  <c r="B116" i="43"/>
  <c r="F26" i="43"/>
  <c r="N94" i="46"/>
  <c r="E26" i="43"/>
  <c r="Z7" i="43"/>
  <c r="N370" i="46"/>
  <c r="J26"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47" i="81" l="1"/>
  <c r="F47" i="81" s="1"/>
  <c r="E46" i="81"/>
  <c r="F46" i="81" s="1"/>
  <c r="E46" i="37"/>
  <c r="F46" i="37" s="1"/>
  <c r="E47" i="37"/>
  <c r="F47" i="37" s="1"/>
  <c r="C43" i="81"/>
  <c r="C42" i="81"/>
  <c r="C42" i="37"/>
  <c r="C43" i="37"/>
  <c r="C42" i="82"/>
  <c r="C43" i="82"/>
  <c r="I47" i="82"/>
  <c r="J47" i="82" s="1"/>
  <c r="E47" i="82"/>
  <c r="F47" i="82" s="1"/>
  <c r="E46" i="82"/>
  <c r="F46" i="82" s="1"/>
  <c r="I47" i="81"/>
  <c r="J47" i="81" s="1"/>
  <c r="C26" i="83"/>
  <c r="C29" i="83" s="1"/>
  <c r="J59" i="84"/>
  <c r="J60" i="84" s="1"/>
  <c r="C13" i="84"/>
  <c r="Q49" i="84"/>
  <c r="C57" i="84"/>
  <c r="C64" i="84" s="1"/>
  <c r="C36" i="84"/>
  <c r="J14" i="84"/>
  <c r="C27" i="12"/>
  <c r="C25"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B121" i="43"/>
  <c r="C121"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19" i="43"/>
  <c r="C119" i="43" s="1"/>
  <c r="B122" i="43"/>
  <c r="C122" i="43" s="1"/>
  <c r="D119" i="43"/>
  <c r="E119" i="43" s="1"/>
  <c r="F119" i="43" s="1"/>
  <c r="G119" i="43" s="1"/>
  <c r="H119" i="43" s="1"/>
  <c r="D120" i="43"/>
  <c r="E120" i="43" s="1"/>
  <c r="F120" i="43" s="1"/>
  <c r="G120" i="43" s="1"/>
  <c r="H120" i="43" s="1"/>
  <c r="D121" i="43"/>
  <c r="E121" i="43" s="1"/>
  <c r="F121" i="43" s="1"/>
  <c r="B118" i="43"/>
  <c r="B120" i="43"/>
  <c r="C120" i="43" s="1"/>
  <c r="D26" i="43"/>
  <c r="C25" i="4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M21" i="67"/>
  <c r="F35" i="67"/>
  <c r="B45" i="37" l="1"/>
  <c r="B47" i="37" s="1"/>
  <c r="U7" i="1"/>
  <c r="B3" i="82"/>
  <c r="B2" i="82"/>
  <c r="U8" i="1"/>
  <c r="B2" i="81"/>
  <c r="B3" i="81" s="1"/>
  <c r="J13" i="84"/>
  <c r="J23" i="84" s="1"/>
  <c r="J22" i="84"/>
  <c r="C56" i="84"/>
  <c r="C65" i="84" s="1"/>
  <c r="C58" i="84" s="1"/>
  <c r="C67" i="84" s="1"/>
  <c r="C68" i="84" s="1"/>
  <c r="C71" i="84" s="1"/>
  <c r="C75" i="84"/>
  <c r="Q70" i="84"/>
  <c r="C37" i="84"/>
  <c r="Q48" i="84"/>
  <c r="L46" i="84"/>
  <c r="J59" i="83"/>
  <c r="J60" i="83" s="1"/>
  <c r="C36" i="83"/>
  <c r="Q49" i="83"/>
  <c r="J14" i="83"/>
  <c r="C57" i="83"/>
  <c r="C64" i="83" s="1"/>
  <c r="C13" i="83"/>
  <c r="C118" i="43"/>
  <c r="D116" i="43"/>
  <c r="C33" i="43"/>
  <c r="AC7" i="35"/>
  <c r="V38" i="35" s="1"/>
  <c r="I38" i="35" s="1"/>
  <c r="G43" i="35" s="1"/>
  <c r="H43"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6" i="84"/>
  <c r="F6" i="67"/>
  <c r="F6" i="83"/>
  <c r="C6" i="67" l="1"/>
  <c r="C6" i="83"/>
  <c r="C6" i="84"/>
  <c r="P6" i="80"/>
  <c r="P8" i="80" s="1"/>
  <c r="I8" i="80" s="1"/>
  <c r="U6" i="1" s="1"/>
  <c r="J16" i="84"/>
  <c r="J25" i="84" s="1"/>
  <c r="Q70" i="83"/>
  <c r="C75" i="83"/>
  <c r="C37" i="83"/>
  <c r="C56" i="83"/>
  <c r="C65" i="83" s="1"/>
  <c r="C58" i="83" s="1"/>
  <c r="C67" i="83" s="1"/>
  <c r="C68" i="83" s="1"/>
  <c r="C71" i="83" s="1"/>
  <c r="Q48" i="83"/>
  <c r="L46" i="83"/>
  <c r="J22" i="83"/>
  <c r="J13" i="83"/>
  <c r="J23" i="83" s="1"/>
  <c r="I42" i="35"/>
  <c r="J42" i="35" s="1"/>
  <c r="C34" i="43"/>
  <c r="E34" i="43" s="1"/>
  <c r="C31" i="43" s="1"/>
  <c r="E33" i="43"/>
  <c r="C30" i="43"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F6" i="15"/>
  <c r="E6" i="76"/>
  <c r="D2" i="21"/>
  <c r="C6" i="15" l="1"/>
  <c r="C33" i="15" s="1"/>
  <c r="C32" i="67"/>
  <c r="C5" i="67"/>
  <c r="C38" i="67" s="1"/>
  <c r="C33" i="67"/>
  <c r="C32" i="15"/>
  <c r="C32" i="84"/>
  <c r="C33" i="84"/>
  <c r="C10" i="84"/>
  <c r="C5" i="84" s="1"/>
  <c r="C33" i="83"/>
  <c r="C32" i="83"/>
  <c r="C10" i="83"/>
  <c r="C5" i="83" s="1"/>
  <c r="C38" i="83" s="1"/>
  <c r="J16" i="83"/>
  <c r="J25" i="83" s="1"/>
  <c r="C31" i="15"/>
  <c r="E2" i="76"/>
  <c r="B2" i="43"/>
  <c r="C10" i="71"/>
  <c r="D11" i="7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B6" i="76"/>
  <c r="C10" i="15" l="1"/>
  <c r="C5" i="15" s="1"/>
  <c r="C38" i="15" s="1"/>
  <c r="C30" i="15" s="1"/>
  <c r="C31" i="83"/>
  <c r="C30" i="83" s="1"/>
  <c r="H33" i="83" s="1"/>
  <c r="C31" i="67"/>
  <c r="C30" i="67" s="1"/>
  <c r="C39" i="67" s="1"/>
  <c r="C31" i="84"/>
  <c r="C38" i="84"/>
  <c r="B2" i="76"/>
  <c r="B3" i="76" s="1"/>
  <c r="B3" i="43"/>
  <c r="C6" i="68"/>
  <c r="D10" i="71"/>
  <c r="C9" i="71"/>
  <c r="B2" i="33"/>
  <c r="B3" i="33" s="1"/>
  <c r="H7" i="39"/>
  <c r="J7" i="39"/>
  <c r="S7" i="39"/>
  <c r="AA7" i="39"/>
  <c r="R47" i="39" s="1"/>
  <c r="O63" i="40"/>
  <c r="O65" i="40" s="1"/>
  <c r="N65" i="40"/>
  <c r="L51" i="67"/>
  <c r="D2" i="37"/>
  <c r="D2" i="36"/>
  <c r="D2" i="34"/>
  <c r="D2" i="35"/>
  <c r="C39" i="15" l="1"/>
  <c r="H33" i="15"/>
  <c r="C80" i="15"/>
  <c r="C79" i="15" s="1"/>
  <c r="C39" i="83"/>
  <c r="C80" i="83" s="1"/>
  <c r="C79" i="83" s="1"/>
  <c r="Q67" i="67"/>
  <c r="L57" i="67"/>
  <c r="L60" i="67" s="1"/>
  <c r="L46" i="67" s="1"/>
  <c r="D2" i="67" s="1"/>
  <c r="B2" i="67" s="1"/>
  <c r="Q69" i="67"/>
  <c r="Q68" i="67" s="1"/>
  <c r="C80" i="67"/>
  <c r="C79" i="67" s="1"/>
  <c r="C40" i="67"/>
  <c r="C30" i="84"/>
  <c r="H33" i="84" s="1"/>
  <c r="C40" i="15"/>
  <c r="C46" i="15" s="1"/>
  <c r="C7" i="68"/>
  <c r="C5" i="68" s="1"/>
  <c r="C8" i="71"/>
  <c r="D9" i="7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L51" i="15"/>
  <c r="AO9" i="1"/>
  <c r="L51" i="83"/>
  <c r="AO10" i="1"/>
  <c r="AO12" i="1"/>
  <c r="AO11" i="1"/>
  <c r="C40" i="83" l="1"/>
  <c r="Q47" i="83" s="1"/>
  <c r="Q53" i="83" s="1"/>
  <c r="Q67" i="15"/>
  <c r="Q69" i="15"/>
  <c r="Q68" i="15" s="1"/>
  <c r="Q66" i="67"/>
  <c r="Q57" i="67"/>
  <c r="Q67" i="83"/>
  <c r="Q69" i="83"/>
  <c r="Q68" i="83" s="1"/>
  <c r="B3" i="67"/>
  <c r="C39" i="84"/>
  <c r="Q69" i="84" s="1"/>
  <c r="Q68" i="84" s="1"/>
  <c r="C45" i="67"/>
  <c r="C46" i="67" s="1"/>
  <c r="Q65" i="67"/>
  <c r="Q47" i="67"/>
  <c r="Q53" i="67" s="1"/>
  <c r="Q56" i="67"/>
  <c r="Q62" i="67" s="1"/>
  <c r="C83" i="67"/>
  <c r="C82" i="67" s="1"/>
  <c r="C43" i="67"/>
  <c r="C46" i="83"/>
  <c r="B2" i="83"/>
  <c r="C83" i="83"/>
  <c r="C82" i="83" s="1"/>
  <c r="Q65" i="83"/>
  <c r="Q75" i="83" s="1"/>
  <c r="C43" i="83"/>
  <c r="Q56" i="83"/>
  <c r="Q62" i="83" s="1"/>
  <c r="Q65" i="15"/>
  <c r="C43" i="15"/>
  <c r="Q47" i="15"/>
  <c r="Q53" i="15" s="1"/>
  <c r="Q56" i="15"/>
  <c r="Q62" i="15" s="1"/>
  <c r="C83" i="15"/>
  <c r="C82" i="15" s="1"/>
  <c r="C23" i="68"/>
  <c r="C20" i="68"/>
  <c r="C7" i="71"/>
  <c r="D8" i="71"/>
  <c r="L46" i="15"/>
  <c r="B2" i="15" s="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84"/>
  <c r="AO7" i="1"/>
  <c r="AO6" i="1"/>
  <c r="C80" i="84" l="1"/>
  <c r="C79" i="84" s="1"/>
  <c r="Q75" i="67"/>
  <c r="C40" i="84"/>
  <c r="Q47" i="84" s="1"/>
  <c r="Q53" i="84" s="1"/>
  <c r="B7" i="70"/>
  <c r="B3" i="83"/>
  <c r="Q67" i="84"/>
  <c r="Q75" i="15"/>
  <c r="C28" i="68"/>
  <c r="C27" i="68" s="1"/>
  <c r="C25" i="68"/>
  <c r="C22" i="68" s="1"/>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Q56" i="84" l="1"/>
  <c r="Q62" i="84" s="1"/>
  <c r="B2" i="84"/>
  <c r="Q65" i="84"/>
  <c r="Q75" i="84" s="1"/>
  <c r="C46" i="84"/>
  <c r="C43" i="84"/>
  <c r="C83" i="84"/>
  <c r="C82" i="84" s="1"/>
  <c r="B2" i="70"/>
  <c r="B3" i="70" s="1"/>
  <c r="B3" i="84"/>
  <c r="C31" i="68"/>
  <c r="C52" i="68" s="1"/>
  <c r="B2" i="68" s="1"/>
  <c r="D6" i="71"/>
  <c r="C5" i="71"/>
  <c r="D5" i="71" s="1"/>
  <c r="M24" i="43" s="1"/>
  <c r="C42" i="40"/>
  <c r="C43" i="40"/>
  <c r="E47" i="40"/>
  <c r="F47" i="40" s="1"/>
  <c r="E46" i="40"/>
  <c r="F46" i="40" s="1"/>
  <c r="I47" i="40"/>
  <c r="J47" i="40" s="1"/>
  <c r="AO8" i="1"/>
  <c r="C19" i="9"/>
  <c r="D19" i="9"/>
  <c r="D20" i="9"/>
  <c r="B8" i="70" l="1"/>
  <c r="D102" i="9"/>
  <c r="D21" i="9"/>
  <c r="D103" i="9"/>
  <c r="C57" i="68"/>
  <c r="C56" i="68" s="1"/>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20" i="9"/>
  <c r="G21" i="9" l="1"/>
  <c r="D14" i="74"/>
  <c r="B5" i="74" s="1"/>
  <c r="D5" i="74" s="1"/>
  <c r="C103" i="9"/>
  <c r="G20" i="9"/>
  <c r="C32" i="9" s="1"/>
  <c r="C35" i="9" s="1"/>
  <c r="C34" i="9" s="1"/>
  <c r="E14" i="74" l="1"/>
  <c r="G14" i="74"/>
  <c r="B6" i="74" s="1"/>
  <c r="F14" i="74"/>
  <c r="D6" i="74" l="1"/>
  <c r="D118" i="9"/>
  <c r="D4" i="52" s="1"/>
  <c r="B47" i="72" s="1"/>
  <c r="F118" i="9"/>
  <c r="F119" i="9" s="1"/>
  <c r="F5" i="52" s="1"/>
  <c r="B53" i="72" s="1"/>
  <c r="H4" i="52"/>
  <c r="H118" i="9"/>
  <c r="C104" i="9" s="1"/>
  <c r="G118" i="9" l="1"/>
  <c r="G4" i="52" s="1"/>
  <c r="B52" i="72" s="1"/>
  <c r="H101" i="9"/>
  <c r="D5" i="53" s="1"/>
  <c r="I118" i="9"/>
  <c r="H119" i="9"/>
  <c r="H5" i="52" s="1"/>
  <c r="F4" i="52"/>
  <c r="B51" i="72" s="1"/>
  <c r="D119" i="9"/>
  <c r="D5" i="52" s="1"/>
  <c r="B49" i="72" s="1"/>
  <c r="M48" i="9" l="1"/>
  <c r="D45" i="9"/>
  <c r="H107" i="9"/>
  <c r="I4" i="52"/>
  <c r="H102" i="9"/>
  <c r="E118" i="9"/>
  <c r="E4" i="52" s="1"/>
  <c r="B48" i="72" s="1"/>
  <c r="C105" i="9"/>
  <c r="D6" i="53"/>
  <c r="B22" i="72" s="1"/>
  <c r="B20" i="72"/>
  <c r="D122" i="9" l="1"/>
  <c r="D13" i="53"/>
  <c r="M49" i="9"/>
  <c r="C64" i="9"/>
  <c r="C63" i="9" s="1"/>
  <c r="C67" i="9" s="1"/>
  <c r="D53" i="9"/>
  <c r="D52" i="9"/>
  <c r="C72" i="9"/>
  <c r="C85" i="9"/>
  <c r="C78" i="9"/>
  <c r="C73" i="9" s="1"/>
  <c r="D55" i="9"/>
  <c r="M53" i="9" s="1"/>
  <c r="C93" i="9"/>
  <c r="C86" i="9" s="1"/>
  <c r="D7" i="53"/>
  <c r="B21" i="72" s="1"/>
  <c r="C5" i="74"/>
  <c r="H108" i="9"/>
  <c r="C79" i="9" l="1"/>
  <c r="C80" i="9" s="1"/>
  <c r="E80" i="9" s="1"/>
  <c r="E81" i="9" s="1"/>
  <c r="C95" i="9"/>
  <c r="C68" i="9"/>
  <c r="D54" i="9" s="1"/>
  <c r="D59" i="9"/>
  <c r="M55" i="9" s="1"/>
  <c r="L68" i="9"/>
  <c r="M68" i="9" s="1"/>
  <c r="L65" i="9"/>
  <c r="M65" i="9" s="1"/>
  <c r="L63" i="9"/>
  <c r="M63" i="9" s="1"/>
  <c r="L66" i="9"/>
  <c r="M66" i="9" s="1"/>
  <c r="L67" i="9"/>
  <c r="M67" i="9" s="1"/>
  <c r="L64" i="9"/>
  <c r="M64" i="9" s="1"/>
  <c r="D14" i="53"/>
  <c r="B32" i="72" s="1"/>
  <c r="B30" i="72"/>
  <c r="D8" i="52"/>
  <c r="D123" i="9"/>
  <c r="D9" i="52" s="1"/>
  <c r="C6" i="74"/>
  <c r="D15" i="53"/>
  <c r="B31" i="72" s="1"/>
  <c r="C81" i="9"/>
  <c r="M69" i="9" l="1"/>
  <c r="N69" i="9" s="1"/>
  <c r="C96" i="9"/>
  <c r="E96" i="9" s="1"/>
  <c r="E97" i="9" s="1"/>
  <c r="C97" i="9" l="1"/>
  <c r="D58" i="9" s="1"/>
  <c r="D56" i="9" s="1"/>
  <c r="M54" i="9" s="1"/>
  <c r="N57" i="9" s="1"/>
  <c r="P57" i="9" s="1"/>
  <c r="N58" i="9" l="1"/>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<sst xmlns="http://schemas.openxmlformats.org/spreadsheetml/2006/main" count="9358" uniqueCount="3498">
  <si>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</si>
  <si>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</si>
  <si>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</si>
  <si>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</si>
  <si>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</si>
  <si>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</si>
  <si>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</si>
  <si>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</si>
  <si>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</si>
  <si>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</si>
  <si>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</si>
  <si>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</si>
  <si>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</si>
  <si>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</si>
  <si>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</si>
  <si>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</si>
  <si>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</si>
  <si>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</si>
  <si>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</si>
  <si>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</si>
  <si>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</si>
  <si>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</si>
  <si>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</si>
  <si>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</si>
  <si>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</si>
  <si>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</si>
  <si>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</si>
  <si>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</si>
  <si>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</si>
  <si>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</si>
  <si>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</si>
  <si>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</si>
  <si>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</si>
  <si>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</si>
  <si>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</si>
  <si>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</si>
  <si>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</si>
  <si>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</si>
  <si>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</si>
  <si>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</si>
  <si>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</si>
  <si>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</si>
  <si>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</si>
  <si>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</si>
  <si>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</si>
  <si>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</si>
  <si>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</si>
  <si>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</si>
  <si>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</si>
  <si>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</si>
  <si>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</si>
  <si>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</si>
  <si>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</si>
  <si>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</si>
  <si>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</si>
  <si>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</si>
  <si>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</si>
  <si>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</si>
  <si>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</si>
  <si>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</si>
  <si>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</si>
  <si>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</si>
  <si>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</si>
  <si>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</si>
  <si>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</si>
  <si>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</si>
  <si>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</si>
  <si>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</si>
  <si>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</si>
  <si>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</si>
  <si>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</si>
  <si>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</si>
  <si>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</si>
  <si>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</si>
  <si>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</si>
  <si>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</si>
  <si>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</si>
  <si>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</si>
  <si>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</si>
  <si>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</si>
  <si>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</si>
  <si>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</si>
  <si>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</si>
  <si>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</si>
  <si>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</si>
  <si>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</si>
  <si>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</si>
  <si>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</si>
  <si>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</si>
  <si>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</si>
  <si>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</si>
  <si>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</si>
  <si>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</si>
  <si>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</si>
  <si>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</si>
  <si>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</si>
  <si>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</si>
  <si>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</si>
  <si>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</si>
  <si>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</si>
  <si>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</si>
  <si>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</si>
  <si>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</si>
  <si>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</si>
  <si>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</si>
  <si>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</si>
  <si>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</si>
  <si>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</si>
  <si>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</si>
  <si>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</si>
  <si>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</si>
  <si>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</si>
  <si>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</si>
  <si>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</si>
  <si>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</si>
  <si>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</si>
  <si>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</si>
  <si>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</si>
  <si>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</si>
  <si>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</si>
  <si>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</si>
  <si>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</si>
  <si>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</si>
  <si>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</si>
  <si>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</si>
  <si>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</si>
  <si>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</si>
  <si>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</si>
  <si>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</si>
  <si>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</si>
  <si>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</si>
  <si>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</si>
  <si>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</si>
  <si>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</si>
  <si>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</si>
  <si>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</si>
  <si>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</si>
  <si>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</si>
  <si>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</si>
  <si>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</si>
  <si>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</si>
  <si>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</si>
  <si>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</si>
  <si>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</si>
  <si>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</si>
  <si>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</si>
  <si>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</si>
  <si>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</si>
  <si>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</si>
  <si>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</si>
  <si>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</si>
  <si>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</si>
  <si>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</si>
  <si>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</si>
  <si>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</si>
  <si>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</si>
  <si>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</si>
  <si>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</si>
  <si>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</si>
  <si>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</si>
  <si>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</si>
  <si>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</si>
  <si>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</si>
  <si>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</si>
  <si>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</si>
  <si>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</si>
  <si>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</si>
  <si>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</si>
  <si>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</si>
  <si>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</si>
  <si>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</si>
  <si>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</si>
  <si>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</si>
  <si>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</si>
  <si>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</si>
  <si>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</si>
  <si>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</si>
  <si>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</si>
  <si>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</si>
  <si>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</si>
  <si>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</si>
  <si>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</si>
  <si>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</si>
  <si>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</si>
  <si>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</si>
  <si>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</si>
  <si>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</si>
  <si>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</si>
  <si>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</si>
  <si>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</si>
  <si>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</si>
  <si>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</si>
  <si>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</si>
  <si>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</si>
  <si>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</si>
  <si>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</si>
  <si>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</si>
  <si>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</si>
  <si>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</si>
  <si>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</si>
  <si>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</si>
  <si>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</si>
  <si>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</si>
  <si>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</si>
  <si>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</si>
  <si>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</si>
  <si>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</si>
  <si>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</si>
  <si>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</si>
  <si>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</si>
  <si>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</si>
  <si>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</si>
  <si>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</si>
  <si>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</si>
  <si>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</si>
  <si>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</si>
  <si>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</si>
  <si>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</si>
  <si>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</si>
  <si>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</si>
  <si>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</si>
  <si>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</si>
  <si>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</si>
  <si>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</si>
  <si>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</si>
  <si>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</si>
  <si>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</si>
  <si>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</si>
  <si>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</si>
  <si>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</si>
  <si>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</si>
  <si>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</si>
  <si>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</si>
  <si>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</si>
  <si>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</si>
  <si>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</si>
  <si>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</si>
  <si>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</si>
  <si>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</si>
  <si>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</si>
  <si>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</si>
  <si>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</si>
  <si>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</si>
  <si>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</si>
  <si>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</si>
  <si>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</si>
  <si>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</si>
  <si>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</si>
  <si>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</si>
  <si>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</si>
  <si>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</si>
  <si>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</si>
  <si>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</si>
  <si>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</si>
  <si>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</si>
  <si>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</si>
  <si>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</si>
  <si>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</si>
  <si>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</si>
  <si>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</si>
  <si>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</si>
  <si>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</si>
  <si>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</si>
  <si>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</si>
  <si>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</si>
  <si>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</si>
  <si>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</si>
  <si>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</si>
  <si>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</si>
  <si>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</si>
  <si>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</si>
  <si>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</si>
  <si>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</si>
  <si>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</si>
  <si>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</si>
  <si>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</si>
  <si>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</si>
  <si>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</si>
  <si>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</si>
  <si>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</si>
  <si>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</si>
  <si>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</si>
  <si>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</si>
  <si>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</si>
  <si>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</si>
  <si>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</si>
  <si>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</si>
  <si>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</si>
  <si>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</si>
  <si>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</si>
  <si>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</si>
  <si>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</si>
  <si>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</si>
  <si>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</si>
  <si>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</si>
  <si>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</si>
  <si>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</si>
  <si>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</si>
  <si>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</si>
  <si>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</si>
  <si>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</si>
  <si>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</si>
  <si>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</si>
  <si>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</si>
  <si>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</si>
  <si>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</si>
  <si>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</si>
  <si>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</si>
  <si>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</si>
  <si>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</si>
  <si>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</si>
  <si>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</si>
  <si>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</si>
  <si>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</si>
  <si>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</si>
  <si>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</si>
  <si>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</si>
  <si>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</si>
  <si>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</si>
  <si>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</si>
  <si>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</si>
  <si>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</si>
  <si>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</si>
  <si>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</si>
  <si>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</si>
  <si>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</si>
  <si>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</si>
  <si>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</si>
  <si>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</si>
  <si>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</si>
  <si>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</si>
  <si>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</si>
  <si>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</si>
  <si>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</si>
  <si>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</si>
  <si>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</si>
  <si>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</si>
  <si>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</si>
  <si>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</si>
  <si>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</si>
  <si>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</si>
  <si>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</si>
  <si>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</si>
  <si>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</si>
  <si>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</si>
  <si>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</si>
  <si>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</si>
  <si>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</si>
  <si>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</si>
  <si>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</si>
  <si>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</si>
  <si>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</si>
  <si>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</si>
  <si>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</si>
  <si>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</si>
  <si>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</si>
  <si>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</si>
  <si>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</si>
  <si>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</si>
  <si>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</si>
  <si>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</si>
  <si>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</si>
  <si>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</si>
  <si>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</si>
  <si>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</si>
  <si>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</si>
  <si>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</si>
  <si>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</si>
  <si>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</si>
  <si>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</si>
  <si>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</si>
  <si>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</si>
  <si>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</si>
  <si>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</si>
  <si>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</si>
  <si>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</si>
  <si>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</si>
  <si>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</si>
  <si>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</si>
  <si>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</si>
  <si>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</si>
  <si>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</si>
  <si>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</si>
  <si>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</si>
  <si>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</si>
  <si>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</si>
  <si>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</si>
  <si>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</si>
  <si>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</si>
  <si>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</si>
  <si>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</si>
  <si>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</si>
  <si>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</si>
  <si>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</si>
  <si>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</si>
  <si>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</si>
  <si>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</si>
  <si>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</si>
  <si>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</si>
  <si>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</si>
  <si>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</si>
  <si>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</si>
  <si>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</si>
  <si>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</si>
  <si>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</si>
  <si>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</si>
  <si>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</si>
  <si>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</si>
  <si>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</si>
  <si>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</si>
  <si>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</si>
  <si>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</si>
  <si>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</si>
  <si>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</si>
  <si>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</si>
  <si>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</si>
  <si>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</si>
  <si>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</si>
  <si>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</si>
  <si>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</si>
  <si>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</si>
  <si>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</si>
  <si>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</si>
  <si>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</si>
  <si>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</si>
  <si>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</si>
  <si>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</si>
  <si>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</si>
  <si>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</si>
  <si>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</si>
  <si>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</si>
  <si>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</si>
  <si>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</si>
  <si>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</si>
  <si>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</si>
  <si>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</si>
  <si>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</si>
  <si>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</si>
  <si>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</si>
  <si>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</si>
  <si>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</si>
  <si>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</si>
  <si>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</si>
  <si>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</si>
  <si>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</si>
  <si>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</si>
  <si>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</si>
  <si>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</si>
  <si>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</si>
  <si>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</si>
  <si>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</si>
  <si>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</si>
  <si>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</si>
  <si>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</si>
  <si>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</si>
  <si>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</si>
  <si>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</si>
  <si>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</si>
  <si>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</si>
  <si>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</si>
  <si>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</si>
  <si>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</si>
  <si>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</si>
  <si>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</si>
  <si>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</si>
  <si>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</si>
  <si>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</si>
  <si>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</si>
  <si>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</si>
  <si>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</si>
  <si>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</si>
  <si>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</si>
  <si>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</si>
  <si>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</si>
  <si>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</si>
  <si>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</si>
  <si>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</si>
  <si>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</si>
  <si>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</si>
  <si>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</si>
  <si>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</si>
  <si>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</si>
  <si>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</si>
  <si>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</si>
  <si>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</si>
  <si>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</si>
  <si>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</si>
  <si>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</si>
  <si>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</si>
  <si>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</si>
  <si>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</si>
  <si>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</si>
  <si>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</si>
  <si>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</si>
  <si>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</si>
  <si>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</si>
  <si>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</si>
  <si>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</si>
  <si>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</si>
  <si>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</si>
  <si>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</si>
  <si>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</si>
  <si>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</si>
  <si>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</si>
  <si>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</si>
  <si>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</si>
  <si>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</si>
  <si>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</si>
  <si>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</si>
  <si>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</si>
  <si>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</si>
  <si>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</si>
  <si>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</si>
  <si>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</si>
  <si>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</si>
  <si>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</si>
  <si>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</si>
  <si>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</si>
  <si>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</si>
  <si>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</si>
  <si>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</si>
  <si>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</si>
  <si>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</si>
  <si>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</si>
  <si>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</si>
  <si>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</si>
  <si>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</si>
  <si>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</si>
  <si>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</si>
  <si>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</si>
  <si>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</si>
  <si>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</si>
  <si>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</si>
  <si>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</si>
  <si>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</si>
  <si>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</si>
  <si>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</si>
  <si>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</si>
  <si>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</si>
  <si>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</si>
  <si>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</si>
  <si>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</si>
  <si>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</si>
  <si>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</si>
  <si>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</si>
  <si>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</si>
  <si>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</si>
  <si>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</si>
  <si>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</si>
  <si>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</si>
  <si>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</si>
  <si>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</si>
  <si>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</si>
  <si>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</si>
  <si>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</si>
  <si>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</si>
  <si>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</si>
  <si>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</si>
  <si>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</si>
  <si>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</si>
  <si>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</si>
  <si>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</si>
  <si>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</si>
  <si>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</si>
  <si>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</si>
  <si>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</si>
  <si>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</si>
  <si>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</si>
  <si>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</si>
  <si>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</si>
  <si>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</si>
  <si>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</si>
  <si>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</si>
  <si>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</si>
  <si>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</si>
  <si>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</si>
  <si>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</si>
  <si>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</si>
  <si>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</si>
  <si>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</si>
  <si>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</si>
  <si>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</si>
  <si>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</si>
  <si>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</si>
  <si>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</si>
  <si>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</si>
  <si>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</si>
  <si>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</si>
  <si>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</si>
  <si>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</si>
  <si>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</si>
  <si>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</si>
  <si>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</si>
  <si>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</si>
  <si>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</si>
  <si>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</si>
  <si>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</si>
  <si>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</si>
  <si>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</si>
  <si>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</si>
  <si>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</si>
  <si>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</si>
  <si>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</si>
  <si>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</si>
  <si>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</si>
  <si>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</si>
  <si>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</si>
  <si>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</si>
  <si>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</si>
  <si>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</si>
  <si>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</si>
  <si>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</si>
  <si>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</si>
  <si>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</si>
  <si>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</si>
  <si>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</si>
  <si>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</si>
  <si>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</si>
  <si>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</si>
  <si>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</si>
  <si>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</si>
  <si>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</si>
  <si>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</si>
  <si>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</si>
  <si>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</si>
  <si>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</si>
  <si>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</si>
  <si>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</si>
  <si>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</si>
  <si>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</si>
  <si>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</si>
  <si>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</si>
  <si>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</si>
  <si>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</si>
  <si>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</si>
  <si>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</si>
  <si>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</si>
  <si>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</si>
  <si>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</si>
  <si>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</si>
  <si>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</si>
  <si>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</si>
  <si>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</si>
  <si>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</si>
  <si>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</si>
  <si>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</si>
  <si>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</si>
  <si>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</si>
  <si>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</si>
  <si>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</si>
  <si>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</si>
  <si>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</si>
  <si>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</si>
  <si>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</si>
  <si>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</si>
  <si>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</si>
  <si>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</si>
  <si>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</si>
  <si>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</si>
  <si>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</si>
  <si>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</si>
  <si>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</si>
  <si>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</si>
  <si>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</si>
  <si>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</si>
  <si>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</si>
  <si>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</si>
  <si>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</si>
  <si>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</si>
  <si>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</si>
  <si>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</si>
  <si>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</si>
  <si>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</si>
  <si>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</si>
  <si>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</si>
  <si>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</si>
  <si>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</si>
  <si>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</si>
  <si>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</si>
  <si>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</si>
  <si>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</si>
  <si>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</si>
  <si>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</si>
  <si>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</si>
  <si>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</si>
  <si>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</si>
  <si>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</si>
  <si>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</si>
  <si>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</si>
  <si>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</si>
  <si>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</si>
  <si>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</si>
  <si>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</si>
  <si>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</si>
  <si>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</si>
  <si>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</si>
  <si>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</si>
  <si>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</si>
  <si>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</si>
  <si>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</si>
  <si>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</si>
  <si>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</si>
  <si>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</si>
  <si>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</si>
  <si>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</si>
  <si>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</si>
  <si>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</si>
  <si>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</si>
  <si>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</si>
  <si>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</si>
  <si>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</si>
  <si>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</si>
  <si>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</si>
  <si>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</si>
  <si>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</si>
  <si>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</si>
  <si>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</si>
  <si>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</si>
  <si>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</si>
  <si>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</si>
  <si>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</si>
  <si>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</si>
  <si>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</si>
  <si>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</si>
  <si>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</si>
  <si>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</si>
  <si>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</si>
  <si>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</si>
  <si>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</si>
  <si>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</si>
  <si>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</si>
  <si>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</si>
  <si>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</si>
  <si>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</si>
  <si>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</si>
  <si>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</si>
  <si>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</si>
  <si>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</si>
  <si>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</si>
  <si>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</si>
  <si>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</si>
  <si>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</si>
  <si>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</si>
  <si>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</si>
  <si>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</si>
  <si>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</si>
  <si>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</si>
  <si>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</si>
  <si>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</si>
  <si>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</si>
  <si>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</si>
  <si>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</si>
  <si>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</si>
  <si>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</si>
  <si>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</si>
  <si>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</si>
  <si>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</si>
  <si>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</si>
  <si>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</si>
  <si>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</si>
  <si>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</si>
  <si>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</si>
  <si>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</si>
  <si>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</si>
  <si>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</si>
  <si>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</si>
  <si>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</si>
  <si>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</si>
  <si>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</si>
  <si>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</si>
  <si>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</si>
  <si>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</si>
  <si>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</si>
  <si>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</si>
  <si>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</si>
  <si>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</si>
  <si>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</si>
  <si>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</si>
  <si>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</si>
  <si>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</si>
  <si>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</si>
  <si>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</si>
  <si>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</si>
  <si>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</si>
  <si>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</si>
  <si>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</si>
  <si>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</si>
  <si>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</si>
  <si>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</si>
  <si>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</si>
  <si>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</si>
  <si>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</si>
  <si>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</si>
  <si>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</si>
  <si>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</si>
  <si>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</si>
  <si>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</si>
  <si>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</si>
  <si>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</si>
  <si>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</si>
  <si>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</si>
  <si>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</si>
  <si>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</si>
  <si>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</si>
  <si>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</si>
  <si>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</si>
  <si>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</si>
  <si>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</si>
  <si>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</si>
  <si>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</si>
  <si>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</si>
  <si>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</si>
  <si>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</si>
  <si>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</si>
  <si>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</si>
  <si>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</si>
  <si>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</si>
  <si>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</si>
  <si>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</si>
  <si>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</si>
  <si>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</si>
  <si>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</si>
  <si>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</si>
  <si>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</si>
  <si>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</si>
  <si>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</si>
  <si>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</si>
  <si>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</si>
  <si>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</si>
  <si>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</si>
  <si>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</si>
  <si>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</si>
  <si>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</si>
  <si>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</si>
  <si>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</si>
  <si>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</si>
  <si>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</si>
  <si>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</si>
  <si>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</si>
  <si>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</si>
  <si>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</si>
  <si>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</si>
  <si>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</si>
  <si>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</si>
  <si>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</si>
  <si>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</si>
  <si>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</si>
  <si>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</si>
  <si>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</si>
  <si>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</si>
  <si>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</si>
  <si>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</si>
  <si>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</si>
  <si>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</si>
  <si>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</si>
  <si>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</si>
  <si>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</si>
  <si>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</si>
  <si>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</si>
  <si>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</si>
  <si>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</si>
  <si>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</si>
  <si>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</si>
  <si>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</si>
  <si>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</si>
  <si>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</si>
  <si>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</si>
  <si>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</si>
  <si>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</si>
  <si>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</si>
  <si>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</si>
  <si>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</si>
  <si>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</si>
  <si>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</si>
  <si>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</si>
  <si>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</si>
  <si>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</si>
  <si>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</si>
  <si>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</si>
  <si>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</si>
  <si>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</si>
  <si>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</si>
  <si>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</si>
  <si>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</si>
  <si>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</si>
  <si>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</si>
  <si>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</si>
  <si>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</si>
  <si>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</si>
  <si>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</si>
  <si>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</si>
  <si>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</si>
  <si>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</si>
  <si>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</si>
  <si>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</si>
  <si>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</si>
  <si>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</si>
  <si>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</si>
  <si>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</si>
  <si>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</si>
  <si>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</si>
  <si>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</si>
  <si>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</si>
  <si>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</si>
  <si>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</si>
  <si>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</si>
  <si>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</si>
  <si>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</si>
  <si>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</si>
  <si>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</si>
  <si>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</si>
  <si>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</si>
  <si>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</si>
  <si>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</si>
  <si>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</si>
  <si>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</si>
  <si>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</si>
  <si>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</si>
  <si>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</si>
  <si>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</si>
  <si>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</si>
  <si>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</si>
  <si>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</si>
  <si>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</si>
  <si>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</si>
  <si>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</si>
  <si>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</si>
  <si>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</si>
  <si>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</si>
  <si>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</si>
  <si>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</si>
  <si>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</si>
  <si>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</si>
  <si>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</si>
  <si>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</si>
  <si>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</si>
  <si>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</si>
  <si>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</si>
  <si>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</si>
  <si>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</si>
  <si>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</si>
  <si>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</si>
  <si>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</si>
  <si>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</si>
  <si>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</si>
  <si>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</si>
  <si>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</si>
  <si>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</si>
  <si>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</si>
  <si>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</si>
  <si>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</si>
  <si>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</si>
  <si>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</si>
  <si>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</si>
  <si>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</si>
  <si>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</si>
  <si>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</si>
  <si>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</si>
  <si>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</si>
  <si>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</si>
  <si>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</si>
  <si>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</si>
  <si>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</si>
  <si>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</si>
  <si>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</si>
  <si>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</si>
  <si>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</si>
  <si>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</si>
  <si>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</si>
  <si>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</si>
  <si>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</si>
  <si>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</si>
  <si>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</si>
  <si>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</si>
  <si>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</si>
  <si>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</si>
  <si>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</si>
  <si>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</si>
  <si>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</si>
  <si>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</si>
  <si>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</si>
  <si>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</si>
  <si>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</si>
  <si>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</si>
  <si>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</si>
  <si>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</si>
  <si>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</si>
  <si>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</si>
  <si>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</si>
  <si>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</si>
  <si>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</si>
  <si>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</si>
  <si>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</si>
  <si>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</si>
  <si>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</si>
  <si>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</si>
  <si>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</si>
  <si>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</si>
  <si>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</si>
  <si>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</si>
  <si>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</si>
  <si>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</si>
  <si>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</si>
  <si>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</si>
  <si>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</si>
  <si>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</si>
  <si>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</si>
  <si>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</si>
  <si>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</si>
  <si>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</si>
  <si>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</si>
  <si>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</si>
  <si>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</si>
  <si>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</si>
  <si>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</si>
  <si>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</si>
  <si>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</si>
  <si>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</si>
  <si>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</si>
  <si>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</si>
  <si>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</si>
  <si>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</si>
  <si>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</si>
  <si>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</si>
  <si>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</si>
  <si>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</si>
  <si>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</si>
  <si>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</si>
  <si>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</si>
  <si>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</si>
  <si>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</si>
  <si>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</si>
  <si>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</si>
  <si>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</si>
  <si>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</si>
  <si>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</si>
  <si>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</si>
  <si>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</si>
  <si>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</si>
  <si>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</si>
  <si>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</si>
  <si>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</si>
  <si>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</si>
  <si>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</si>
  <si>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</si>
  <si>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</si>
  <si>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</si>
  <si>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</si>
  <si>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</si>
  <si>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</si>
  <si>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</si>
  <si>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</si>
  <si>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</si>
  <si>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</si>
  <si>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</si>
  <si>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</si>
  <si>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</si>
  <si>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</si>
  <si>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</si>
  <si>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</si>
  <si>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</si>
  <si>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</si>
  <si>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</si>
  <si>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</si>
  <si>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</si>
  <si>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</si>
  <si>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</si>
  <si>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</si>
  <si>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</si>
  <si>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</si>
  <si>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</si>
  <si>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</si>
  <si>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</si>
  <si>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</si>
  <si>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</si>
  <si>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</si>
  <si>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</si>
  <si>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</si>
  <si>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</si>
  <si>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</si>
  <si>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</si>
  <si>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</si>
  <si>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</si>
  <si>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</si>
  <si>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</si>
  <si>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</si>
  <si>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</si>
  <si>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</si>
  <si>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</si>
  <si>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</si>
  <si>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</si>
  <si>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</si>
  <si>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</si>
  <si>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</si>
  <si>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</si>
  <si>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</si>
  <si>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</si>
  <si>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</si>
  <si>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</si>
  <si>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</si>
  <si>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</si>
  <si>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</si>
  <si>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</si>
  <si>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</si>
  <si>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</si>
  <si>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</si>
  <si>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</si>
  <si>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</si>
  <si>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</si>
  <si>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</si>
  <si>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</si>
  <si>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</si>
  <si>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</si>
  <si>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</si>
  <si>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</si>
  <si>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</si>
  <si>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</si>
  <si>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</si>
  <si>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</si>
  <si>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</si>
  <si>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</si>
  <si>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</si>
  <si>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</si>
  <si>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</si>
  <si>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</si>
  <si>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</si>
  <si>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</si>
  <si>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</si>
  <si>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</si>
  <si>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</si>
  <si>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</si>
  <si>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</si>
  <si>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</si>
  <si>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</si>
  <si>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</si>
  <si>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</si>
  <si>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</si>
  <si>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</si>
  <si>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</si>
  <si>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</si>
  <si>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</si>
  <si>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</si>
  <si>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</si>
  <si>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</si>
  <si>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</si>
  <si>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</si>
  <si>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</si>
  <si>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</si>
  <si>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</si>
  <si>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</si>
  <si>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</si>
  <si>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</si>
  <si>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</si>
  <si>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</si>
  <si>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</si>
  <si>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</si>
  <si>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</si>
  <si>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</si>
  <si>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</si>
  <si>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</si>
  <si>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</si>
  <si>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</si>
  <si>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</si>
  <si>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</si>
  <si>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</si>
  <si>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</si>
  <si>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</si>
  <si>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</si>
  <si>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</si>
  <si>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</si>
  <si>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</si>
  <si>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</si>
  <si>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</si>
  <si>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</si>
  <si>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</si>
  <si>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</si>
  <si>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</si>
  <si>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</si>
  <si>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</si>
  <si>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</si>
  <si>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</si>
  <si>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</si>
  <si>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</si>
  <si>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</si>
  <si>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</si>
  <si>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</si>
  <si>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</si>
  <si>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</si>
  <si>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</si>
  <si>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</si>
  <si>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</si>
  <si>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</si>
  <si>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</si>
  <si>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</si>
  <si>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</si>
  <si>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</si>
  <si>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</si>
  <si>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</si>
  <si>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</si>
  <si>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</si>
  <si>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</si>
  <si>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</si>
  <si>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</si>
  <si>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</si>
  <si>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</si>
  <si>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</si>
  <si>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</si>
  <si>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</si>
  <si>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</si>
  <si>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</si>
  <si>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</si>
  <si>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</si>
  <si>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</si>
  <si>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</si>
  <si>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</si>
  <si>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</si>
  <si>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</si>
  <si>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</si>
  <si>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</si>
  <si>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</si>
  <si>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</si>
  <si>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</si>
  <si>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</si>
  <si>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</si>
  <si>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</si>
  <si>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</si>
  <si>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</si>
  <si>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</si>
  <si>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</si>
  <si>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</si>
  <si>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</si>
  <si>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</si>
  <si>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</si>
  <si>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</si>
  <si>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</si>
  <si>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</si>
  <si>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</si>
  <si>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</si>
  <si>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</si>
  <si>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</si>
  <si>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</si>
  <si>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</si>
  <si>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</si>
  <si>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</si>
  <si>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</si>
  <si>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</si>
  <si>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</si>
  <si>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</si>
  <si>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</si>
  <si>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</si>
  <si>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</si>
  <si>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</si>
  <si>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</si>
  <si>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</si>
  <si>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</si>
  <si>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</si>
  <si>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</si>
  <si>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</si>
  <si>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</si>
  <si>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</si>
  <si>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</si>
  <si>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</si>
  <si>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</si>
  <si>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</si>
  <si>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</si>
  <si>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</si>
  <si>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</si>
  <si>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</si>
  <si>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</si>
  <si>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</si>
  <si>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</si>
  <si>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</si>
  <si>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</si>
  <si>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</si>
  <si>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</si>
  <si>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</si>
  <si>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</si>
  <si>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</si>
  <si>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</si>
  <si>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</si>
  <si>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</si>
  <si>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</si>
  <si>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</si>
  <si>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</si>
  <si>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</si>
  <si>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</si>
  <si>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</si>
  <si>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</si>
  <si>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</si>
  <si>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</si>
  <si>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</si>
  <si>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</si>
  <si>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</si>
  <si>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</si>
  <si>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</si>
  <si>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</si>
  <si>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</si>
  <si>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</si>
  <si>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</si>
  <si>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</si>
  <si>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</si>
  <si>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</si>
  <si>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</si>
  <si>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</si>
  <si>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</si>
  <si>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</si>
  <si>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</si>
  <si>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</si>
  <si>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</si>
  <si>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</si>
  <si>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</si>
  <si>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</si>
  <si>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</si>
  <si>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</si>
  <si>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</si>
  <si>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</si>
  <si>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</si>
  <si>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</si>
  <si>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</si>
  <si>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</si>
  <si>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</si>
  <si>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</si>
  <si>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</si>
  <si>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</si>
  <si>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</si>
  <si>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</si>
  <si>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</si>
  <si>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</si>
  <si>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</si>
  <si>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</si>
  <si>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</si>
  <si>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</si>
  <si>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</si>
  <si>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</si>
  <si>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</si>
  <si>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</si>
  <si>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</si>
  <si>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</si>
  <si>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</si>
  <si>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</si>
  <si>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</si>
  <si>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</si>
  <si>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</si>
  <si>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</si>
  <si>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</si>
  <si>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</si>
  <si>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</si>
  <si>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</si>
  <si>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</si>
  <si>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</si>
  <si>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</si>
  <si>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</si>
  <si>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</si>
  <si>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</si>
  <si>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</si>
  <si>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</si>
  <si>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</si>
  <si>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</si>
  <si>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</si>
  <si>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</si>
  <si>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</si>
  <si>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</si>
  <si>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</si>
  <si>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</si>
  <si>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</si>
  <si>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</si>
  <si>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</si>
  <si>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</si>
  <si>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</si>
  <si>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</si>
  <si>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</si>
  <si>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</si>
  <si>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</si>
  <si>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</si>
  <si>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</si>
  <si>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</si>
  <si>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</si>
  <si>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</si>
  <si>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</si>
  <si>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</si>
  <si>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</si>
  <si>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</si>
  <si>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</si>
  <si>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</si>
  <si>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</si>
  <si>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</si>
  <si>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</si>
  <si>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</si>
  <si>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</si>
  <si>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</si>
  <si>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</si>
  <si>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</si>
  <si>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</si>
  <si>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</si>
  <si>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</si>
  <si>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</si>
  <si>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</si>
  <si>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</si>
  <si>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</si>
  <si>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</si>
  <si>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</si>
  <si>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</si>
  <si>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</si>
  <si>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</si>
  <si>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</si>
  <si>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</si>
  <si>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</si>
  <si>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</si>
  <si>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</si>
  <si>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</si>
  <si>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</si>
  <si>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</si>
  <si>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</si>
  <si>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</si>
  <si>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</si>
  <si>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</si>
  <si>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</si>
  <si>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</si>
  <si>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</si>
  <si>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</si>
  <si>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</si>
  <si>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</si>
  <si>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</si>
  <si>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</si>
  <si>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</si>
  <si>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</si>
  <si>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</si>
  <si>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</si>
  <si>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</si>
  <si>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</si>
  <si>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</si>
  <si>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</si>
  <si>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</si>
  <si>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</si>
  <si>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</si>
  <si>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</si>
  <si>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</si>
  <si>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</si>
  <si>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</si>
  <si>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</si>
  <si>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</si>
  <si>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</si>
  <si>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</si>
  <si>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</si>
  <si>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</si>
  <si>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</si>
  <si>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</si>
  <si>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</si>
  <si>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</si>
  <si>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</si>
  <si>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</si>
  <si>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</si>
  <si>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</si>
  <si>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</si>
  <si>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</si>
  <si>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</si>
  <si>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</si>
  <si>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</si>
  <si>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</si>
  <si>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</si>
  <si>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</si>
  <si>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</si>
  <si>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</si>
  <si>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</si>
  <si>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</si>
  <si>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</si>
  <si>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</si>
  <si>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</si>
  <si>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</si>
  <si>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</si>
  <si>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</si>
  <si>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</si>
  <si>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</si>
  <si>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</si>
  <si>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</si>
  <si>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</si>
  <si>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</si>
  <si>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</si>
  <si>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</si>
  <si>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</si>
  <si>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</si>
  <si>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</si>
  <si>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</si>
  <si>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</si>
  <si>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</si>
  <si>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</si>
  <si>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</si>
  <si>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</si>
  <si>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</si>
  <si>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</si>
  <si>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</si>
  <si>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</si>
  <si>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</si>
  <si>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</si>
  <si>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</si>
  <si>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</si>
  <si>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</si>
  <si>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</si>
  <si>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</si>
  <si>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</si>
  <si>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</si>
  <si>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</si>
  <si>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</si>
  <si>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</si>
  <si>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</si>
  <si>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</si>
  <si>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</si>
  <si>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</si>
  <si>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</si>
  <si>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</si>
  <si>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</si>
  <si>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</si>
  <si>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</si>
  <si>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</si>
  <si>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</si>
  <si>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</si>
  <si>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</si>
  <si>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</si>
  <si>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</si>
  <si>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</si>
  <si>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</si>
  <si>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</si>
  <si>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</si>
  <si>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</si>
  <si>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</si>
  <si>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</si>
  <si>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</si>
  <si>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</si>
  <si>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</si>
  <si>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</si>
  <si>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</si>
  <si>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</si>
  <si>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</si>
  <si>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</si>
  <si>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</si>
  <si>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</si>
  <si>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</si>
  <si>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</si>
  <si>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</si>
  <si>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</si>
  <si>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</si>
  <si>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</si>
  <si>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</si>
  <si>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</si>
  <si>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</si>
  <si>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</si>
  <si>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</si>
  <si>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</si>
  <si>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</si>
  <si>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</si>
  <si>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</si>
  <si>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</si>
  <si>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</si>
  <si>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</si>
  <si>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</si>
  <si>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</si>
  <si>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</si>
  <si>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</si>
  <si>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</si>
  <si>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</si>
  <si>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</si>
  <si>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</si>
  <si>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</si>
  <si>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</si>
  <si>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</si>
  <si>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</si>
  <si>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</si>
  <si>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</si>
  <si>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</si>
  <si>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</si>
  <si>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</si>
  <si>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</si>
  <si>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</si>
  <si>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</si>
  <si>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</si>
  <si>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</si>
  <si>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</si>
  <si>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</si>
  <si>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</si>
  <si>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</si>
  <si>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</si>
  <si>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</si>
  <si>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</si>
  <si>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</si>
  <si>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</si>
  <si>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</si>
  <si>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</si>
  <si>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</si>
  <si>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</si>
  <si>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</si>
  <si>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</si>
  <si>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</si>
  <si>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</si>
  <si>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</si>
  <si>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</si>
  <si>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</si>
  <si>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</si>
  <si>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</si>
  <si>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</si>
  <si>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</si>
  <si>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</si>
  <si>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</si>
  <si>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</si>
  <si>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</si>
  <si>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</si>
  <si>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</si>
  <si>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</si>
  <si>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</si>
  <si>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</si>
  <si>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</si>
  <si>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</si>
  <si>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</si>
  <si>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</si>
  <si>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</si>
  <si>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</si>
  <si>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</si>
  <si>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</si>
  <si>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</si>
  <si>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</si>
  <si>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</si>
  <si>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</si>
  <si>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</si>
  <si>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</si>
  <si>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</si>
  <si>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</si>
  <si>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</si>
  <si>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</si>
  <si>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</si>
  <si>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</si>
  <si>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</si>
  <si>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</si>
  <si>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</si>
  <si>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</si>
  <si>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</si>
  <si>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</si>
  <si>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</si>
  <si>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</si>
  <si>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</si>
  <si>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</si>
  <si>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</si>
  <si>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</si>
  <si>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</si>
  <si>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</si>
  <si>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</si>
  <si>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</si>
  <si>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</si>
  <si>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</si>
  <si>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</si>
  <si>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</si>
  <si>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</si>
  <si>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</si>
  <si>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</si>
  <si>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</si>
  <si>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</si>
  <si>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</si>
  <si>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</si>
  <si>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</si>
  <si>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</si>
  <si>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</si>
  <si>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</si>
  <si>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</si>
  <si>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</si>
  <si>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</si>
  <si>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</si>
  <si>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</si>
  <si>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</si>
  <si>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</si>
  <si>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</si>
  <si>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</si>
  <si>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</si>
  <si>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</si>
  <si>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</si>
  <si>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</si>
  <si>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</si>
  <si>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</si>
  <si>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</si>
  <si>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</si>
  <si>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</si>
  <si>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</si>
  <si>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</si>
  <si>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</si>
  <si>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</si>
  <si>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</si>
  <si>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</si>
  <si>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</si>
  <si>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</si>
  <si>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</si>
  <si>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</si>
  <si>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</si>
  <si>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</si>
  <si>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</si>
  <si>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</si>
  <si>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</si>
  <si>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</si>
  <si>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</si>
  <si>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</si>
  <si>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</si>
  <si>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</si>
  <si>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</si>
  <si>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</si>
  <si>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</si>
  <si>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</si>
  <si>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</si>
  <si>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</si>
  <si>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</si>
  <si>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</si>
  <si>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</si>
  <si>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</si>
  <si>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</si>
  <si>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</si>
  <si>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</si>
  <si>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</si>
  <si>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</si>
  <si>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</si>
  <si>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</si>
  <si>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</si>
  <si>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</si>
  <si>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</si>
  <si>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</si>
  <si>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</si>
  <si>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</si>
  <si>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</si>
  <si>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</si>
  <si>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</si>
  <si>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</si>
  <si>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</si>
  <si>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</si>
  <si>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</si>
  <si>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</si>
  <si>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</si>
  <si>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</si>
  <si>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</si>
  <si>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</si>
  <si>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</si>
  <si>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</si>
  <si>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</si>
  <si>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</si>
  <si>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</si>
  <si>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</si>
  <si>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</si>
  <si>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</si>
  <si>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</si>
  <si>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</si>
  <si>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</si>
  <si>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</si>
  <si>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</si>
  <si>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</si>
  <si>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</si>
  <si>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</si>
  <si>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</si>
  <si>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</si>
  <si>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</si>
  <si>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</si>
  <si>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</si>
  <si>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</si>
  <si>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</si>
  <si>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</si>
  <si>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</si>
  <si>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</si>
  <si>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</si>
  <si>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</si>
  <si>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</si>
  <si>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</si>
  <si>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</si>
  <si>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</si>
  <si>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</si>
  <si>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</si>
  <si>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</si>
  <si>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</si>
  <si>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</si>
  <si>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</si>
  <si>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</si>
  <si>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</si>
  <si>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</si>
  <si>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</si>
  <si>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</si>
  <si>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</si>
  <si>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</si>
  <si>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</si>
  <si>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</si>
  <si>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</si>
  <si>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</si>
  <si>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</si>
  <si>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</si>
  <si>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</si>
  <si>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</si>
  <si>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</si>
  <si>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</si>
  <si>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</si>
  <si>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</si>
  <si>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</si>
  <si>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</si>
  <si>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</si>
  <si>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</si>
  <si>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</si>
  <si>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</si>
  <si>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</si>
  <si>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</si>
  <si>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</si>
  <si>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</si>
  <si>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</si>
  <si>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</si>
  <si>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</si>
  <si>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</si>
  <si>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</si>
  <si>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</si>
  <si>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</si>
  <si>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</si>
  <si>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</si>
  <si>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</si>
  <si>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</si>
  <si>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</si>
  <si>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</si>
  <si>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</si>
  <si>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</si>
  <si>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</si>
  <si>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</si>
  <si>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</si>
  <si>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</si>
  <si>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</si>
  <si>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</si>
  <si>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</si>
  <si>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</si>
  <si>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</si>
  <si>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</si>
  <si>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</si>
  <si>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</si>
  <si>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</si>
  <si>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</si>
  <si>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</si>
  <si>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</si>
  <si>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</si>
  <si>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</si>
  <si>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</si>
  <si>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</si>
  <si>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</si>
  <si>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</si>
  <si>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</si>
  <si>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</si>
  <si>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</si>
  <si>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</si>
  <si>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</si>
  <si>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</si>
  <si>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</si>
  <si>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</si>
  <si>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</si>
  <si>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</si>
  <si>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</si>
  <si>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</si>
  <si>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</si>
  <si>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</si>
  <si>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</si>
  <si>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</si>
  <si>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</si>
  <si>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</si>
  <si>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</si>
  <si>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</si>
  <si>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</si>
  <si>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</si>
  <si>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</si>
  <si>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</si>
  <si>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</si>
  <si>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</si>
  <si>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</si>
  <si>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</si>
  <si>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</si>
  <si>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</si>
  <si>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</si>
  <si>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</si>
  <si>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</si>
  <si>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</si>
  <si>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</si>
  <si>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</si>
  <si>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</si>
  <si>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</si>
  <si>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</si>
  <si>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</si>
  <si>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</si>
  <si>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</si>
  <si>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</si>
  <si>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</si>
  <si>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</si>
  <si>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</si>
  <si>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</si>
  <si>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</si>
  <si>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</si>
  <si>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</si>
  <si>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</si>
  <si>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</si>
  <si>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</si>
  <si>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</si>
  <si>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</si>
  <si>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</si>
  <si>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</si>
  <si>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</si>
  <si>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</si>
  <si>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</si>
  <si>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</si>
  <si>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</si>
  <si>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</si>
  <si>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</si>
  <si>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</si>
  <si>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</si>
  <si>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</si>
  <si>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</si>
  <si>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</si>
  <si>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</si>
  <si>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</si>
  <si>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</si>
  <si>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</si>
  <si>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</si>
  <si>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</si>
  <si>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</si>
  <si>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</si>
  <si>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</si>
  <si>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</si>
  <si>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</si>
  <si>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</si>
  <si>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</si>
  <si>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</si>
  <si>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</si>
  <si>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</si>
  <si>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</si>
  <si>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</si>
  <si>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</si>
  <si>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</si>
  <si>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</si>
  <si>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</si>
  <si>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</si>
  <si>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</si>
  <si>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</si>
  <si>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</si>
  <si>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</si>
  <si>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</si>
  <si>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</si>
  <si>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</si>
  <si>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</si>
  <si>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</si>
  <si>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</si>
  <si>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</si>
  <si>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</si>
  <si>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</si>
  <si>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</si>
  <si>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</si>
  <si>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</si>
  <si>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</si>
  <si>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</si>
  <si>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</si>
  <si>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</si>
  <si>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</si>
  <si>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</si>
  <si>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</si>
  <si>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</si>
  <si>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</si>
  <si>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</si>
  <si>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</si>
  <si>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</si>
  <si>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</si>
  <si>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</si>
  <si>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</si>
  <si>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</si>
  <si>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</si>
  <si>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</si>
  <si>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</si>
  <si>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</si>
  <si>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</si>
  <si>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</si>
  <si>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</si>
  <si>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</si>
  <si>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</si>
  <si>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</si>
  <si>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</si>
  <si>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</si>
  <si>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</si>
  <si>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</si>
  <si>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</si>
  <si>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</si>
  <si>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</si>
  <si>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</si>
  <si>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</si>
  <si>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</si>
  <si>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</si>
  <si>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</si>
  <si>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</si>
  <si>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</si>
  <si>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</si>
  <si>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</si>
  <si>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</si>
  <si>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</si>
  <si>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</si>
  <si>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</si>
  <si>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</si>
  <si>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</si>
  <si>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</si>
  <si>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</si>
  <si>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</si>
  <si>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</si>
  <si>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</si>
  <si>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</si>
  <si>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</si>
  <si>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</si>
  <si>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</si>
  <si>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</si>
  <si>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</si>
  <si>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</si>
  <si>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</si>
  <si>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</si>
  <si>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</si>
  <si>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</si>
  <si>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</si>
  <si>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</si>
  <si>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</si>
  <si>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</si>
  <si>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</si>
  <si>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</si>
  <si>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</si>
  <si>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</si>
  <si>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</si>
  <si>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</si>
  <si>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</si>
  <si>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</si>
  <si>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</si>
  <si>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</si>
  <si>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</si>
  <si>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</si>
  <si>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</si>
  <si>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</si>
  <si>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</si>
  <si>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</si>
  <si>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</si>
  <si>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</si>
  <si>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</si>
  <si>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</si>
  <si>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</si>
  <si>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</si>
  <si>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</si>
  <si>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</si>
  <si>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</si>
  <si>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</si>
  <si>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</si>
  <si>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</si>
  <si>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</si>
  <si>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</si>
  <si>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</si>
  <si>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</si>
  <si>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</si>
  <si>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</si>
  <si>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</si>
  <si>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</si>
  <si>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</si>
  <si>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</si>
  <si>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</si>
  <si>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</si>
  <si>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</si>
  <si>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</si>
  <si>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</si>
  <si>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</si>
  <si>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</si>
  <si>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</si>
  <si>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</si>
  <si>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</si>
  <si>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</si>
  <si>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</si>
  <si>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</si>
  <si>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</si>
  <si>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</si>
  <si>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</si>
  <si>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</si>
  <si>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</si>
  <si>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</si>
  <si>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</si>
  <si>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</si>
  <si>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</si>
  <si>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</si>
  <si>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</si>
  <si>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</si>
  <si>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</si>
  <si>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</si>
  <si>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</si>
  <si>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</si>
  <si>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</si>
  <si>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</si>
  <si>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</si>
  <si>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</si>
  <si>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</si>
  <si>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</si>
  <si>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</si>
  <si>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</si>
  <si>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</si>
  <si>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</si>
  <si>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</si>
  <si>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</si>
  <si>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</si>
  <si>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</si>
  <si>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</si>
  <si>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</si>
  <si>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</si>
  <si>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</si>
  <si>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</si>
  <si>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</si>
  <si>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</si>
  <si>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</si>
  <si>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</si>
  <si>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</si>
  <si>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</si>
  <si>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</si>
  <si>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</si>
  <si>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</si>
  <si>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</si>
  <si>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</si>
  <si>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</si>
  <si>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</si>
  <si>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</si>
  <si>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</si>
  <si>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</si>
  <si>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</si>
  <si>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</si>
  <si>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</si>
  <si>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</si>
  <si>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</si>
  <si>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</si>
  <si>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</si>
  <si>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</si>
  <si>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</si>
  <si>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</si>
  <si>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</si>
  <si>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</si>
  <si>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</si>
  <si>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</si>
  <si>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</si>
  <si>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</si>
  <si>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</si>
  <si>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</si>
  <si>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</si>
  <si>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</si>
  <si>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</si>
  <si>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</si>
  <si>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</si>
  <si>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</si>
  <si>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</si>
  <si>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</si>
  <si>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</si>
  <si>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</si>
  <si>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</si>
  <si>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</si>
  <si>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</si>
  <si>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</si>
  <si>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</si>
  <si>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</si>
  <si>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</si>
  <si>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</si>
  <si>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</si>
  <si>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</si>
  <si>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</si>
  <si>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</si>
  <si>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</si>
  <si>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</si>
  <si>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</si>
  <si>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</si>
  <si>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</si>
  <si>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</si>
  <si>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</si>
  <si>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</si>
  <si>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</si>
  <si>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</si>
  <si>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</si>
  <si>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</si>
  <si>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</si>
  <si>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</si>
  <si>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</si>
  <si>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</si>
  <si>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</si>
  <si>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</si>
  <si>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</si>
  <si>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</si>
  <si>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</si>
  <si>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</si>
  <si>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</si>
  <si>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</si>
  <si>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</si>
  <si>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</si>
  <si>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</si>
  <si>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</si>
  <si>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</si>
  <si>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</si>
  <si>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</si>
  <si>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</si>
  <si>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</si>
  <si>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</si>
  <si>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</si>
  <si>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</si>
  <si>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</si>
  <si>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</si>
  <si>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</si>
  <si>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</si>
  <si>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</si>
  <si>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</si>
  <si>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</si>
  <si>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</si>
  <si>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</si>
  <si>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</si>
  <si>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</si>
  <si>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</si>
  <si>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</si>
  <si>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</si>
  <si>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</si>
  <si>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</si>
  <si>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</si>
  <si>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</si>
  <si>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</si>
  <si>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</si>
  <si>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</si>
  <si>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</si>
  <si>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</si>
  <si>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</si>
  <si>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</si>
  <si>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</si>
  <si>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</si>
  <si>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</si>
  <si>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</si>
  <si>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</si>
  <si>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</si>
  <si>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</si>
  <si>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</si>
  <si>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</si>
  <si>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</si>
  <si>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</si>
  <si>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</si>
  <si>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</si>
  <si>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</si>
  <si>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</si>
  <si>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</si>
  <si>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</si>
  <si>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</si>
  <si>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</si>
  <si>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</si>
  <si>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</si>
  <si>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</si>
  <si>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</si>
  <si>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</si>
  <si>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</si>
  <si>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</si>
  <si>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</si>
  <si>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</si>
  <si>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</si>
  <si>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</si>
  <si>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</si>
  <si>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</si>
  <si>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</si>
  <si>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</si>
  <si>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</si>
  <si>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</si>
  <si>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</si>
  <si>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</si>
  <si>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</si>
  <si>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</si>
  <si>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</si>
  <si>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</si>
  <si>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</si>
  <si>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</si>
  <si>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</si>
  <si>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</si>
  <si>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</si>
  <si>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</si>
  <si>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</si>
  <si>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</si>
  <si>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</si>
  <si>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</si>
  <si>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</si>
  <si>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</si>
  <si>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</si>
  <si>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</si>
  <si>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</si>
  <si>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</si>
  <si>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</si>
  <si>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</si>
  <si>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</si>
  <si>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</si>
  <si>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</si>
  <si>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</si>
  <si>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</si>
  <si>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</si>
  <si>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</si>
  <si>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</si>
  <si>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</si>
  <si>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</si>
  <si>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</si>
  <si>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</si>
  <si>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</si>
  <si>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</si>
  <si>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</si>
  <si>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</si>
  <si>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</si>
  <si>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</si>
  <si>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</si>
  <si>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</si>
  <si>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</si>
  <si>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</si>
  <si>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</si>
  <si>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</si>
  <si>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</si>
  <si>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</si>
  <si>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</si>
  <si>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</si>
  <si>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</si>
  <si>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</si>
  <si>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</si>
  <si>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</si>
  <si>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</si>
  <si>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</si>
  <si>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</si>
  <si>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</si>
  <si>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</si>
  <si>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</si>
  <si>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</si>
  <si>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</si>
  <si>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</si>
  <si>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</si>
  <si>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</si>
  <si>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</si>
  <si>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</si>
  <si>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</si>
  <si>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</si>
  <si>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</si>
  <si>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</si>
  <si>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</si>
  <si>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</si>
  <si>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</si>
  <si>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</si>
  <si>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</si>
  <si>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</si>
  <si>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</si>
  <si>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</si>
  <si>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</si>
  <si>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</si>
  <si>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</si>
  <si>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</si>
  <si>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</si>
  <si>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</si>
  <si>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</si>
  <si>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</si>
  <si>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</si>
  <si>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</si>
  <si>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</si>
  <si>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</si>
  <si>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</si>
  <si>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</si>
  <si>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</si>
  <si>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</si>
  <si>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</si>
  <si>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</si>
  <si>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</si>
  <si>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</si>
  <si>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</si>
  <si>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</si>
  <si>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</si>
  <si>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</si>
  <si>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</si>
  <si>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</si>
  <si>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</si>
  <si>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</si>
  <si>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</si>
  <si>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</si>
  <si>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</si>
  <si>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</si>
  <si>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</si>
  <si>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</si>
  <si>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</si>
  <si>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</si>
  <si>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</si>
  <si>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</si>
  <si>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</si>
  <si>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</si>
  <si>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</si>
  <si>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</si>
  <si>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</si>
  <si>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</si>
  <si>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</si>
  <si>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</si>
  <si>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</si>
  <si>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</si>
  <si>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</si>
  <si>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</si>
  <si>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</si>
  <si>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</si>
  <si>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</si>
  <si>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</si>
  <si>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</si>
  <si>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</si>
  <si>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</si>
  <si>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</si>
  <si>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</si>
  <si>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</si>
  <si>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</si>
  <si>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</si>
  <si>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</si>
  <si>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</si>
  <si>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</si>
  <si>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</si>
  <si>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</si>
  <si>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</si>
  <si>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</si>
  <si>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</si>
  <si>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</si>
  <si>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</si>
  <si>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</si>
  <si>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</si>
  <si>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</si>
  <si>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</si>
  <si>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</si>
  <si>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</si>
  <si>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</si>
  <si>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</si>
  <si>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</si>
  <si>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</si>
  <si>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</si>
  <si>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</si>
  <si>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</si>
  <si>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</si>
  <si>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</si>
  <si>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</si>
  <si>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</si>
  <si>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</si>
  <si>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</si>
  <si>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</si>
  <si>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</si>
  <si>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</si>
  <si>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</si>
  <si>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</si>
  <si>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</si>
  <si>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</si>
  <si>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</si>
  <si>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</si>
  <si>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</si>
  <si>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</si>
  <si>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</si>
  <si>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</si>
  <si>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</si>
  <si>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</si>
  <si>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</si>
  <si>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</si>
  <si>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</si>
  <si>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</si>
  <si>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</si>
  <si>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</si>
  <si>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</si>
  <si>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</si>
  <si>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</si>
  <si>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</si>
  <si>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</si>
  <si>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</si>
  <si>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</si>
  <si>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</si>
  <si>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</si>
  <si>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</si>
  <si>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</si>
  <si>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</si>
  <si>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</si>
  <si>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</si>
  <si>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</si>
  <si>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</si>
  <si>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</si>
  <si>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</si>
  <si>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</si>
  <si>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</si>
  <si>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</si>
  <si>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</si>
  <si>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</si>
  <si>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</si>
  <si>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</si>
  <si>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</si>
  <si>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</si>
  <si>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</si>
  <si>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</si>
  <si>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</si>
  <si>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</si>
  <si>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</si>
  <si>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</si>
  <si>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</si>
  <si>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</si>
  <si>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</si>
  <si>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</si>
  <si>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</si>
  <si>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</si>
  <si>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</si>
  <si>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</si>
  <si>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</si>
  <si>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</si>
  <si>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</si>
  <si>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</si>
  <si>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</si>
  <si>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</si>
  <si>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</si>
  <si>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</si>
  <si>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</si>
  <si>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</si>
  <si>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</si>
  <si>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</si>
  <si>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</si>
  <si>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</si>
  <si>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</si>
  <si>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</si>
  <si>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</si>
  <si>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</si>
  <si>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</si>
  <si>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</si>
  <si>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</si>
  <si>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</si>
  <si>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</si>
  <si>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</si>
  <si>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</si>
  <si>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</si>
  <si>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</si>
  <si>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</si>
  <si>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</si>
  <si>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</si>
  <si>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</si>
  <si>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</si>
  <si>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</si>
  <si>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</si>
  <si>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</si>
  <si>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</si>
  <si>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</si>
  <si>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</si>
  <si>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</si>
  <si>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</si>
  <si>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</si>
  <si>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</si>
  <si>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</si>
  <si>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</si>
  <si>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</si>
  <si>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</si>
  <si>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</si>
  <si>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</si>
  <si>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</si>
  <si>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</si>
  <si>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</si>
  <si>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</si>
  <si>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</si>
  <si>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</si>
  <si>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</si>
  <si>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</si>
  <si>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</si>
  <si>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</si>
  <si>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</si>
  <si>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</si>
  <si>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</si>
  <si>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</si>
  <si>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</si>
  <si>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</si>
  <si>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</si>
  <si>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</si>
  <si>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</si>
  <si>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</si>
  <si>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</si>
  <si>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</si>
  <si>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</si>
  <si>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</si>
  <si>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</si>
  <si>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</si>
  <si>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</si>
  <si>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</si>
  <si>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</si>
  <si>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</si>
  <si>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</si>
  <si>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</si>
  <si>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</si>
  <si>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</si>
  <si>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</si>
  <si>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</si>
  <si>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</si>
  <si>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</si>
  <si>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</si>
  <si>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</si>
  <si>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</si>
  <si>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</si>
  <si>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</si>
  <si>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</si>
  <si>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</si>
  <si>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</si>
  <si>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</si>
  <si>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</si>
  <si>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</si>
  <si>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</si>
  <si>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</si>
  <si>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</si>
  <si>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</si>
  <si>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</si>
  <si>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</si>
  <si>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</si>
  <si>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</si>
  <si>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</si>
  <si>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</si>
  <si>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</si>
  <si>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</si>
  <si>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</si>
  <si>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</si>
  <si>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</si>
  <si>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</si>
  <si>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</si>
  <si>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</si>
  <si>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</si>
  <si>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</si>
  <si>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</si>
  <si>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</si>
  <si>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</si>
  <si>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</si>
  <si>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</si>
  <si>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</si>
  <si>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</si>
  <si>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</si>
  <si>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</si>
  <si>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</si>
  <si>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</si>
  <si>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</si>
  <si>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</si>
  <si>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</si>
  <si>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</si>
  <si>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</si>
  <si>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</si>
  <si>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</si>
  <si>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</si>
  <si>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</si>
  <si>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</si>
  <si>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</si>
  <si>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</si>
  <si>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</si>
  <si>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</si>
  <si>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</si>
  <si>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</si>
  <si>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</si>
  <si>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</si>
  <si>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</si>
  <si>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</si>
  <si>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</si>
  <si>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</si>
  <si>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</si>
  <si>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</si>
  <si>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</si>
  <si>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</si>
  <si>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</si>
  <si>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</si>
  <si>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</si>
  <si>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</si>
  <si>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</si>
  <si>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</si>
  <si>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</si>
  <si>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</si>
  <si>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</si>
  <si>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</si>
  <si>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</si>
  <si>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</si>
  <si>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</si>
  <si>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</si>
  <si>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</si>
  <si>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</si>
  <si>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</si>
  <si>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</si>
  <si>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</si>
  <si>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</si>
  <si>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</si>
  <si>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</si>
  <si>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</si>
  <si>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</si>
  <si>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</si>
  <si>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</si>
  <si>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</si>
  <si>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</si>
  <si>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</si>
  <si>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</si>
  <si>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</si>
  <si>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</si>
  <si>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</si>
  <si>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</si>
  <si>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</si>
  <si>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</si>
  <si>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</si>
  <si>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</si>
  <si>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</si>
  <si>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</si>
  <si>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</si>
  <si>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</si>
  <si>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</si>
  <si>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</si>
  <si>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</si>
  <si>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</si>
  <si>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</si>
  <si>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</si>
  <si>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</si>
  <si>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</si>
  <si>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</si>
  <si>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</si>
  <si>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</si>
  <si>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</si>
  <si>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</si>
  <si>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</si>
  <si>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</si>
  <si>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</si>
  <si>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</si>
  <si>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</si>
  <si>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</si>
  <si>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</si>
  <si>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</si>
  <si>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</si>
  <si>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</si>
  <si>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</si>
  <si>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</si>
  <si>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</si>
  <si>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</si>
  <si>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</si>
  <si>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</si>
  <si>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</si>
  <si>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</si>
  <si>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</si>
  <si>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</si>
  <si>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</si>
  <si>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</si>
  <si>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</si>
  <si>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</si>
  <si>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</si>
  <si>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</si>
  <si>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</si>
  <si>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</si>
  <si>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</si>
  <si>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</si>
  <si>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</si>
  <si>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</si>
  <si>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</si>
  <si>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</si>
  <si>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</si>
  <si>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</si>
  <si>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</si>
  <si>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</si>
  <si>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</si>
  <si>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</si>
  <si>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</si>
  <si>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</si>
  <si>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</si>
  <si>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</si>
  <si>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</si>
  <si>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</si>
  <si>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</si>
  <si>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</si>
  <si>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</si>
  <si>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</si>
  <si>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</si>
  <si>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</si>
  <si>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</si>
  <si>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</si>
  <si>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</si>
  <si>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</si>
  <si>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</si>
  <si>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</si>
  <si>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</si>
  <si>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</si>
  <si>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</si>
  <si>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</si>
  <si>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</si>
  <si>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</si>
  <si>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</si>
  <si>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</si>
  <si>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</si>
  <si>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</si>
  <si>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</si>
  <si>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</si>
  <si>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</si>
  <si>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</si>
  <si>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</si>
  <si>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</si>
  <si>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</si>
  <si>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</si>
  <si>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</si>
  <si>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</si>
  <si>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</si>
  <si>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</si>
  <si>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</si>
  <si>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</si>
  <si>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</si>
  <si>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</si>
  <si>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</si>
  <si>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</si>
  <si>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</si>
  <si>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</si>
  <si>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</si>
  <si>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</si>
  <si>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</si>
  <si>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</si>
  <si>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</si>
  <si>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</si>
  <si>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</si>
  <si>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</si>
  <si>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</si>
  <si>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</si>
  <si>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</si>
  <si>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</si>
  <si>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</si>
  <si>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</si>
  <si>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</si>
  <si>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</si>
  <si>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</si>
  <si>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</si>
  <si>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</si>
  <si>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</si>
  <si>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</si>
  <si>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</si>
  <si>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</si>
  <si>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</si>
  <si>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</si>
  <si>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</si>
  <si>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</si>
  <si>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</si>
  <si>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</si>
  <si>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</si>
  <si>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</si>
  <si>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</si>
  <si>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</si>
  <si>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</si>
  <si>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</si>
  <si>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</si>
  <si>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</si>
  <si>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</si>
  <si>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</si>
  <si>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</si>
  <si>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</si>
  <si>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</si>
  <si>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</si>
  <si>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</si>
  <si>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</si>
  <si>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</si>
  <si>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</si>
  <si>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</si>
  <si>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</si>
  <si>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</si>
  <si>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</si>
  <si>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</si>
  <si>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</si>
  <si>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</si>
  <si>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</si>
  <si>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</si>
  <si>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</si>
  <si>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</si>
  <si>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</si>
  <si>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</si>
  <si>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</si>
  <si>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</si>
  <si>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</si>
  <si>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</si>
  <si>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</si>
  <si>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</si>
  <si>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</si>
  <si>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</si>
  <si>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</si>
  <si>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</si>
  <si>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</si>
  <si>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</si>
  <si>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</si>
  <si>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</si>
  <si>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</si>
  <si>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</si>
  <si>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</si>
  <si>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</si>
  <si>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</si>
  <si>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</si>
  <si>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</si>
  <si>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</si>
  <si>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</si>
  <si>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</si>
  <si>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</si>
  <si>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</si>
  <si>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</si>
  <si>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</si>
  <si>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</si>
  <si>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</si>
  <si>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</si>
  <si>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</si>
  <si>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</si>
  <si>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</si>
  <si>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</si>
  <si>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</si>
  <si>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</si>
  <si>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</si>
  <si>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</si>
  <si>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</si>
  <si>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</si>
  <si>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</si>
  <si>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</si>
  <si>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</si>
  <si>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</si>
  <si>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</si>
  <si>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</si>
  <si>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</si>
  <si>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</si>
  <si>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</si>
  <si>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</si>
  <si>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</si>
  <si>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</si>
  <si>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</si>
  <si>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</si>
  <si>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</si>
  <si>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</si>
  <si>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</si>
  <si>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</si>
  <si>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</si>
  <si>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</si>
  <si>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</si>
  <si>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</si>
  <si>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</si>
  <si>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</si>
  <si>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</si>
  <si>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</si>
  <si>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</si>
  <si>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</si>
  <si>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</si>
  <si>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</si>
  <si>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</si>
  <si>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</si>
  <si>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</si>
  <si>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</si>
  <si>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</si>
  <si>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</si>
  <si>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</si>
  <si>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</si>
  <si>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</si>
  <si>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</si>
  <si>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</si>
  <si>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</si>
  <si>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</si>
  <si>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</si>
  <si>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</si>
  <si>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</si>
  <si>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</si>
  <si>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</si>
  <si>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</si>
  <si>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</si>
  <si>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</si>
  <si>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</si>
  <si>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</si>
  <si>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</si>
  <si>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</si>
  <si>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</si>
  <si>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</si>
  <si>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</si>
  <si>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</si>
  <si>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</si>
  <si>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</si>
  <si>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</si>
  <si>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</si>
  <si>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</si>
  <si>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</si>
  <si>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</si>
  <si>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</si>
  <si>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</si>
  <si>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</si>
  <si>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</si>
  <si>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</si>
  <si>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</si>
  <si>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</si>
  <si>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</si>
  <si>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</si>
  <si>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</si>
  <si>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</si>
  <si>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</si>
  <si>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</si>
  <si>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</si>
  <si>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</si>
  <si>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</si>
  <si>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</si>
  <si>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</si>
  <si>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</si>
  <si>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</si>
  <si>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</si>
  <si>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</si>
  <si>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</si>
  <si>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</si>
  <si>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</si>
  <si>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</si>
  <si>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</si>
  <si>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</si>
  <si>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</si>
  <si>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</si>
  <si>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</si>
  <si>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</si>
  <si>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</si>
  <si>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</si>
  <si>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</si>
  <si>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</si>
  <si>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</si>
  <si>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</si>
  <si>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</si>
  <si>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</si>
  <si>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</si>
  <si>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</si>
  <si>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</si>
  <si>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</si>
  <si>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</si>
  <si>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</si>
  <si>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</si>
  <si>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</si>
  <si>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</si>
  <si>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</si>
  <si>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</si>
  <si>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</si>
  <si>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</si>
  <si>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</si>
  <si>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</si>
  <si>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</si>
  <si>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</si>
  <si>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</si>
  <si>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</si>
  <si>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</si>
  <si>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</si>
  <si>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</si>
  <si>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</si>
  <si>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</si>
  <si>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</si>
  <si>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</si>
  <si>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</si>
  <si>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</si>
  <si>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</si>
  <si>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</si>
  <si>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</si>
  <si>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</si>
  <si>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</si>
  <si>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</si>
  <si>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</si>
  <si>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</si>
  <si>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</si>
  <si>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</si>
  <si>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</si>
  <si>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</si>
  <si>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</si>
  <si>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</si>
  <si>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</si>
  <si>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</si>
  <si>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</si>
  <si>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</si>
  <si>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</si>
  <si>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</si>
  <si>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</si>
  <si>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</si>
  <si>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</si>
  <si>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</si>
  <si>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</si>
  <si>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</si>
  <si>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</si>
  <si>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</si>
  <si>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</si>
  <si>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</si>
  <si>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</si>
  <si>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</si>
  <si>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</si>
  <si>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</si>
  <si>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</si>
  <si>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</si>
  <si>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</si>
  <si>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</si>
  <si>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</si>
  <si>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</si>
  <si>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</si>
  <si>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</si>
  <si>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</si>
  <si>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</si>
  <si>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</si>
  <si>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</si>
  <si>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</si>
  <si>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</si>
  <si>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</si>
  <si>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</si>
  <si>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</si>
  <si>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</si>
  <si>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</si>
  <si>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</si>
  <si>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</si>
  <si>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</si>
  <si>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</si>
  <si>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</si>
  <si>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</si>
  <si>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</si>
  <si>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</si>
  <si>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</si>
  <si>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</si>
  <si>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</si>
  <si>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</si>
  <si>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</si>
  <si>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</si>
  <si>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</si>
  <si>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</si>
  <si>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</si>
  <si>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</si>
  <si>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</si>
  <si>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</si>
  <si>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</si>
  <si>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</si>
  <si>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</si>
  <si>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</si>
  <si>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</si>
  <si>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</si>
  <si>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</si>
  <si>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</si>
  <si>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</si>
  <si>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</si>
  <si>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</si>
  <si>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</si>
  <si>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</si>
  <si>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</si>
  <si>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</si>
  <si>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</si>
  <si>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</si>
  <si>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</si>
  <si>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</si>
  <si>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</si>
  <si>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</si>
  <si>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</si>
  <si>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</si>
  <si>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</si>
  <si>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</si>
  <si>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</si>
  <si>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</si>
  <si>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</si>
  <si>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</si>
  <si>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</si>
  <si>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</si>
  <si>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</si>
  <si>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</si>
  <si>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</si>
  <si>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</si>
  <si>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</si>
  <si>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</si>
  <si>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</si>
  <si>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</si>
  <si>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</si>
  <si>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</si>
  <si>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</si>
  <si>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</si>
  <si>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</si>
  <si>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</si>
  <si>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</si>
  <si>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</si>
  <si>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</si>
  <si>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</si>
  <si>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</si>
  <si>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</si>
  <si>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</si>
  <si>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</si>
  <si>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</si>
  <si>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</si>
  <si>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</si>
  <si>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</si>
  <si>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</si>
  <si>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</si>
  <si>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</si>
  <si>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</si>
  <si>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</si>
  <si>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</si>
  <si>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</si>
  <si>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</si>
  <si>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</si>
  <si>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</si>
  <si>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</si>
  <si>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</si>
  <si>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</si>
  <si>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</si>
  <si>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</si>
  <si>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</si>
  <si>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</si>
  <si>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</si>
  <si>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</si>
  <si>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</si>
  <si>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</si>
  <si>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</si>
  <si>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</si>
  <si>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</si>
  <si>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</si>
  <si>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</si>
  <si>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</si>
  <si>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</si>
  <si>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</si>
  <si>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</si>
  <si>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</si>
  <si>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</si>
  <si>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</si>
  <si>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</si>
  <si>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</si>
  <si>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</si>
  <si>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</si>
  <si>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</si>
  <si>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</si>
  <si>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</si>
  <si>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</si>
  <si>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</si>
  <si>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</si>
  <si>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</si>
  <si>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</si>
  <si>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</si>
  <si>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</si>
  <si>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</si>
  <si>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</si>
  <si>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</si>
  <si>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</si>
  <si>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</si>
  <si>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</si>
  <si>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</si>
  <si>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</si>
  <si>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</si>
  <si>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</si>
  <si>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</si>
  <si>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</si>
  <si>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</si>
  <si>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</si>
  <si>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</si>
  <si>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</si>
  <si>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</si>
  <si>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</si>
  <si>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</si>
  <si>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</si>
  <si>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</si>
  <si>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</si>
  <si>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</si>
  <si>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</si>
  <si>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</si>
  <si>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</si>
  <si>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</si>
  <si>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</si>
  <si>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</si>
  <si>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</si>
  <si>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</si>
  <si>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</si>
  <si>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</si>
  <si>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</si>
  <si>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</si>
  <si>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</si>
  <si>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</si>
  <si>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</si>
  <si>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</si>
  <si>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</si>
  <si>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</si>
  <si>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</si>
  <si>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</si>
  <si>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</si>
  <si>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</si>
  <si>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</si>
  <si>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</si>
  <si>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</si>
  <si>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</si>
  <si>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</si>
  <si>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</si>
  <si>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</si>
  <si>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</si>
  <si>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</si>
  <si>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</si>
  <si>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</si>
  <si>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</si>
  <si>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</si>
  <si>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</si>
  <si>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</si>
  <si>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</si>
  <si>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</si>
  <si>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</si>
  <si>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</si>
  <si>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</si>
  <si>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</si>
  <si>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</si>
  <si>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</si>
  <si>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</si>
  <si>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</si>
  <si>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</si>
  <si>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</si>
  <si>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</si>
  <si>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</si>
  <si>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</si>
  <si>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</si>
  <si>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</si>
  <si>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</si>
  <si>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</si>
  <si>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</si>
  <si>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</si>
  <si>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</si>
  <si>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</si>
  <si>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</si>
  <si>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</si>
  <si>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</si>
  <si>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</si>
  <si>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</si>
  <si>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</si>
  <si>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</si>
  <si>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</si>
  <si>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</si>
  <si>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</si>
  <si>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</si>
  <si>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</si>
  <si>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</si>
  <si>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</si>
  <si>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</si>
  <si>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</si>
  <si>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</si>
  <si>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</si>
  <si>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</si>
  <si>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</si>
  <si>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</si>
  <si>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</si>
  <si>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</si>
  <si>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</si>
  <si>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</si>
  <si>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</si>
  <si>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</si>
  <si>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</si>
  <si>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</si>
  <si>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</si>
  <si>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</si>
  <si>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</si>
  <si>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</si>
  <si>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</si>
  <si>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</si>
  <si>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</si>
  <si>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</si>
  <si>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</si>
  <si>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</si>
  <si>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</si>
  <si>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</si>
  <si>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</si>
  <si>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</si>
  <si>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</si>
  <si>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</si>
  <si>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</si>
  <si>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</si>
  <si>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</si>
  <si>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</si>
  <si>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</si>
  <si>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</si>
  <si>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</si>
  <si>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</si>
  <si>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</si>
  <si>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</si>
  <si>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</si>
  <si>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</si>
  <si>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</si>
  <si>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</si>
  <si>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</si>
  <si>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</si>
  <si>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</si>
  <si>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</si>
  <si>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</si>
  <si>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</si>
  <si>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</si>
  <si>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</si>
  <si>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</si>
  <si>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</si>
  <si>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</si>
  <si>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</si>
  <si>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</si>
  <si>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</si>
  <si>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</si>
  <si>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</si>
  <si>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</si>
  <si>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</si>
  <si>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</si>
  <si>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</si>
  <si>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</si>
  <si>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</si>
  <si>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</si>
  <si>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</si>
  <si>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</si>
  <si>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</si>
  <si>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</si>
  <si>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</si>
  <si>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</si>
  <si>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</si>
  <si>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</si>
  <si>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</si>
  <si>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</si>
  <si>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</si>
  <si>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</si>
  <si>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</si>
  <si>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</si>
  <si>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</si>
  <si>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</si>
  <si>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房地产抵押价值</t>
  </si>
  <si>
    <t>抵押</t>
  </si>
  <si>
    <t>北京市</t>
  </si>
  <si>
    <t>企业</t>
  </si>
  <si>
    <t>附1</t>
    <phoneticPr fontId="134" type="noConversion"/>
  </si>
  <si>
    <t>附属用房</t>
    <phoneticPr fontId="134" type="noConversion"/>
  </si>
  <si>
    <t>幢号</t>
    <phoneticPr fontId="134" type="noConversion"/>
  </si>
  <si>
    <t>房号</t>
    <phoneticPr fontId="134" type="noConversion"/>
  </si>
  <si>
    <t>综合楼</t>
    <phoneticPr fontId="134" type="noConversion"/>
  </si>
  <si>
    <t>综合办公</t>
    <phoneticPr fontId="134" type="noConversion"/>
  </si>
  <si>
    <t>层数</t>
    <phoneticPr fontId="134" type="noConversion"/>
  </si>
  <si>
    <r>
      <rPr>
        <sz val="11"/>
        <color theme="1"/>
        <rFont val="宋体"/>
        <family val="3"/>
        <charset val="134"/>
        <scheme val="minor"/>
      </rPr>
      <t>-</t>
    </r>
    <r>
      <rPr>
        <sz val="11"/>
        <color theme="1"/>
        <rFont val="宋体"/>
        <family val="3"/>
        <charset val="134"/>
        <scheme val="minor"/>
      </rPr>
      <t>1-7</t>
    </r>
    <phoneticPr fontId="134" type="noConversion"/>
  </si>
  <si>
    <t>面积</t>
    <phoneticPr fontId="134" type="noConversion"/>
  </si>
  <si>
    <t>用途</t>
    <phoneticPr fontId="134" type="noConversion"/>
  </si>
  <si>
    <t>Ⅵ-亦1</t>
  </si>
  <si>
    <t>Ⅵ-BDA核心</t>
  </si>
  <si>
    <t>1-4</t>
    <phoneticPr fontId="134" type="noConversion"/>
  </si>
  <si>
    <t>地上</t>
  </si>
  <si>
    <t>地下</t>
  </si>
  <si>
    <t>是</t>
  </si>
  <si>
    <t>成新度</t>
  </si>
  <si>
    <t>租金</t>
    <phoneticPr fontId="134" type="noConversion"/>
  </si>
  <si>
    <t>售价</t>
    <phoneticPr fontId="134" type="noConversion"/>
  </si>
  <si>
    <t>估价对象容积率</t>
  </si>
  <si>
    <t>较好</t>
  </si>
  <si>
    <t>好</t>
  </si>
  <si>
    <t>未包含在土地购买价格中</t>
  </si>
  <si>
    <t>全部缴纳</t>
  </si>
  <si>
    <t>已包含在土地取得成本中</t>
  </si>
  <si>
    <t>押一</t>
  </si>
  <si>
    <t>钢混</t>
  </si>
  <si>
    <t>非生产用房</t>
  </si>
  <si>
    <t>成本法</t>
  </si>
  <si>
    <t>建安</t>
    <phoneticPr fontId="134" type="noConversion"/>
  </si>
  <si>
    <t>综合楼</t>
    <phoneticPr fontId="134" type="noConversion"/>
  </si>
  <si>
    <t>厂房</t>
    <phoneticPr fontId="134" type="noConversion"/>
  </si>
  <si>
    <t>单套模式</t>
  </si>
  <si>
    <t>租金</t>
  </si>
  <si>
    <t>建成年代</t>
    <phoneticPr fontId="134" type="noConversion"/>
  </si>
  <si>
    <t>地上</t>
    <phoneticPr fontId="134" type="noConversion"/>
  </si>
  <si>
    <t>附属用房</t>
    <phoneticPr fontId="134" type="noConversion"/>
  </si>
  <si>
    <t>地下一层</t>
    <phoneticPr fontId="134" type="noConversion"/>
  </si>
  <si>
    <t>人防</t>
    <phoneticPr fontId="134" type="noConversion"/>
  </si>
  <si>
    <t>4号楼</t>
    <phoneticPr fontId="134" type="noConversion"/>
  </si>
  <si>
    <t>建筑面积</t>
    <phoneticPr fontId="134" type="noConversion"/>
  </si>
  <si>
    <t>成新度</t>
    <phoneticPr fontId="134" type="noConversion"/>
  </si>
  <si>
    <t>非生产</t>
  </si>
  <si>
    <t>生产</t>
    <phoneticPr fontId="134" type="noConversion"/>
  </si>
  <si>
    <t>非生产</t>
    <phoneticPr fontId="134" type="noConversion"/>
  </si>
  <si>
    <t>挂牌</t>
    <phoneticPr fontId="3" type="noConversion"/>
  </si>
  <si>
    <t>办公研发</t>
    <phoneticPr fontId="3" type="noConversion"/>
  </si>
  <si>
    <t>钢混</t>
    <phoneticPr fontId="3" type="noConversion"/>
  </si>
  <si>
    <t>精装修</t>
    <phoneticPr fontId="3" type="noConversion"/>
  </si>
  <si>
    <t>部分精装修</t>
    <phoneticPr fontId="3" type="noConversion"/>
  </si>
  <si>
    <t>专业</t>
    <phoneticPr fontId="3" type="noConversion"/>
  </si>
  <si>
    <t>普通</t>
    <phoneticPr fontId="3" type="noConversion"/>
  </si>
  <si>
    <t>五通</t>
    <phoneticPr fontId="3" type="noConversion"/>
  </si>
  <si>
    <t>精装修</t>
  </si>
  <si>
    <t>普通装修</t>
  </si>
  <si>
    <t>简单装修</t>
  </si>
  <si>
    <t>毛坯</t>
  </si>
  <si>
    <t>差</t>
  </si>
  <si>
    <t>中和街16号</t>
    <phoneticPr fontId="3" type="noConversion"/>
  </si>
  <si>
    <t>77文创亦庄大地</t>
    <phoneticPr fontId="3" type="noConversion"/>
  </si>
  <si>
    <t>正常</t>
  </si>
  <si>
    <t>挂牌</t>
  </si>
  <si>
    <t>工业研发</t>
  </si>
  <si>
    <t>工业研发</t>
    <phoneticPr fontId="31" type="noConversion"/>
  </si>
  <si>
    <t>七通</t>
  </si>
  <si>
    <t>办公研发</t>
  </si>
  <si>
    <t>普通</t>
  </si>
  <si>
    <t>五通</t>
  </si>
  <si>
    <t>平均</t>
    <phoneticPr fontId="134" type="noConversion"/>
  </si>
  <si>
    <t>1号楼</t>
    <phoneticPr fontId="134" type="noConversion"/>
  </si>
  <si>
    <t>2号楼</t>
  </si>
  <si>
    <t>2号楼</t>
    <phoneticPr fontId="134" type="noConversion"/>
  </si>
  <si>
    <t>3号楼</t>
    <phoneticPr fontId="134" type="noConversion"/>
  </si>
  <si>
    <t>4号楼</t>
  </si>
  <si>
    <t>4号楼</t>
    <phoneticPr fontId="134" type="noConversion"/>
  </si>
  <si>
    <t>中和街9号</t>
    <phoneticPr fontId="3" type="noConversion"/>
  </si>
  <si>
    <t>普通装修</t>
    <phoneticPr fontId="31" type="noConversion"/>
  </si>
  <si>
    <t>建筑档次</t>
    <phoneticPr fontId="31" type="noConversion"/>
  </si>
  <si>
    <t>高</t>
    <phoneticPr fontId="3" type="noConversion"/>
  </si>
  <si>
    <t>较高</t>
    <phoneticPr fontId="3" type="noConversion"/>
  </si>
  <si>
    <t>一般</t>
  </si>
  <si>
    <t>较低</t>
    <phoneticPr fontId="31" type="noConversion"/>
  </si>
  <si>
    <t>普通</t>
    <phoneticPr fontId="31" type="noConversion"/>
  </si>
  <si>
    <t>较高</t>
    <phoneticPr fontId="31" type="noConversion"/>
  </si>
  <si>
    <t>普通</t>
    <phoneticPr fontId="31" type="noConversion"/>
  </si>
  <si>
    <t>1、3号楼</t>
  </si>
  <si>
    <t>面积</t>
    <phoneticPr fontId="31" type="noConversion"/>
  </si>
  <si>
    <t>租金</t>
    <phoneticPr fontId="31" type="noConversion"/>
  </si>
  <si>
    <t>工业厂房</t>
  </si>
  <si>
    <t>工业厂房</t>
    <phoneticPr fontId="134" type="noConversion"/>
  </si>
  <si>
    <t>简单装修</t>
    <phoneticPr fontId="134" type="noConversion"/>
  </si>
  <si>
    <t>较低</t>
    <phoneticPr fontId="31" type="noConversion"/>
  </si>
  <si>
    <t>4号收益法</t>
    <phoneticPr fontId="16" type="noConversion"/>
  </si>
  <si>
    <t>1、3号收益法</t>
  </si>
  <si>
    <t>1、3号收益法</t>
    <phoneticPr fontId="16" type="noConversion"/>
  </si>
  <si>
    <t>2号收益法</t>
  </si>
  <si>
    <t>2号收益法</t>
    <phoneticPr fontId="16" type="noConversion"/>
  </si>
  <si>
    <t>否</t>
  </si>
  <si>
    <t>生产用房</t>
  </si>
  <si>
    <t>简单装修</t>
    <phoneticPr fontId="134" type="noConversion"/>
  </si>
  <si>
    <t>土地证</t>
    <phoneticPr fontId="134" type="noConversion"/>
  </si>
  <si>
    <t>开和国用（2000）字第008号</t>
    <phoneticPr fontId="134" type="noConversion"/>
  </si>
  <si>
    <t>房产证</t>
    <phoneticPr fontId="134" type="noConversion"/>
  </si>
  <si>
    <r>
      <t>京房权证开股字第0</t>
    </r>
    <r>
      <rPr>
        <sz val="11"/>
        <color theme="1"/>
        <rFont val="宋体"/>
        <family val="3"/>
        <charset val="134"/>
        <scheme val="minor"/>
      </rPr>
      <t>0056号</t>
    </r>
    <phoneticPr fontId="134" type="noConversion"/>
  </si>
  <si>
    <r>
      <t>京房权证开股字第0</t>
    </r>
    <r>
      <rPr>
        <sz val="11"/>
        <color theme="1"/>
        <rFont val="宋体"/>
        <family val="3"/>
        <charset val="134"/>
        <scheme val="minor"/>
      </rPr>
      <t>0090号</t>
    </r>
    <phoneticPr fontId="134" type="noConversion"/>
  </si>
  <si>
    <r>
      <t>X京房权证开字第</t>
    </r>
    <r>
      <rPr>
        <sz val="11"/>
        <color theme="1"/>
        <rFont val="宋体"/>
        <family val="3"/>
        <charset val="134"/>
        <scheme val="minor"/>
      </rPr>
      <t>021522号</t>
    </r>
    <phoneticPr fontId="134" type="noConversion"/>
  </si>
  <si>
    <t>办公研发</t>
    <phoneticPr fontId="7" type="noConversion"/>
  </si>
  <si>
    <t>收益法</t>
  </si>
  <si>
    <t>总价</t>
  </si>
  <si>
    <t>成本比率</t>
  </si>
  <si>
    <t>与级别开发程度不一致</t>
  </si>
  <si>
    <t>通路</t>
  </si>
  <si>
    <t>通电</t>
  </si>
  <si>
    <t>通讯</t>
  </si>
  <si>
    <t>通上水</t>
  </si>
  <si>
    <t>通下水</t>
  </si>
  <si>
    <t>燃气</t>
  </si>
  <si>
    <t>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</si>
</sst>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pplyAlignment="1">
      <alignment horizontal="left" vertical="center"/>
    </xf>
    <xf numFmtId="0" fontId="47" fillId="0" borderId="1" xfId="0" applyFont="1" applyBorder="1" applyAlignment="1" applyProtection="1">
      <alignment horizontal="left" vertical="center" wrapText="1"/>
      <protection locked="0"/>
    </xf>
    <xf numFmtId="0" fontId="77" fillId="0" borderId="1" xfId="0" applyFont="1" applyBorder="1" applyAlignment="1" applyProtection="1">
      <alignment vertical="center" wrapText="1"/>
      <protection locked="0"/>
    </xf>
    <xf numFmtId="181" fontId="99" fillId="22" borderId="1" xfId="0" applyNumberFormat="1" applyFont="1" applyFill="1" applyBorder="1" applyAlignment="1" applyProtection="1">
      <alignment horizontal="center" vertical="center"/>
      <protection locked="0"/>
    </xf>
    <xf numFmtId="0" fontId="95" fillId="0" borderId="1" xfId="0" applyFont="1" applyBorder="1" applyAlignment="1">
      <alignment horizontal="left" vertical="center"/>
    </xf>
    <xf numFmtId="0" fontId="0" fillId="0" borderId="1" xfId="0" applyBorder="1" applyAlignment="1">
      <alignment horizontal="left" vertical="center"/>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17" borderId="1" xfId="0" applyFill="1" applyBorder="1" applyAlignment="1">
      <alignment horizontal="left" vertical="center"/>
    </xf>
    <xf numFmtId="0" fontId="95" fillId="17" borderId="1" xfId="0" applyFont="1" applyFill="1" applyBorder="1" applyAlignment="1">
      <alignment horizontal="left" vertical="center"/>
    </xf>
    <xf numFmtId="0" fontId="95" fillId="15" borderId="1" xfId="0" applyFont="1" applyFill="1" applyBorder="1" applyAlignment="1">
      <alignment horizontal="left" vertical="center"/>
    </xf>
    <xf numFmtId="0" fontId="0" fillId="15" borderId="1" xfId="0" applyFill="1" applyBorder="1" applyAlignment="1">
      <alignment horizontal="left" vertical="center"/>
    </xf>
    <xf numFmtId="0" fontId="95" fillId="23" borderId="1" xfId="0" applyFont="1" applyFill="1" applyBorder="1" applyAlignment="1">
      <alignment horizontal="left" vertical="center"/>
    </xf>
    <xf numFmtId="0" fontId="0" fillId="23" borderId="1" xfId="0" applyFill="1" applyBorder="1" applyAlignment="1">
      <alignment horizontal="left" vertical="center"/>
    </xf>
    <xf numFmtId="0" fontId="95" fillId="24" borderId="1" xfId="0" applyFont="1" applyFill="1" applyBorder="1" applyAlignment="1">
      <alignment horizontal="left" vertical="center"/>
    </xf>
    <xf numFmtId="0" fontId="0" fillId="24" borderId="1" xfId="0" applyFill="1" applyBorder="1" applyAlignment="1">
      <alignment horizontal="left" vertical="center"/>
    </xf>
    <xf numFmtId="58" fontId="95" fillId="24" borderId="1" xfId="0" quotePrefix="1" applyNumberFormat="1" applyFont="1" applyFill="1" applyBorder="1" applyAlignment="1">
      <alignment horizontal="left" vertical="center"/>
    </xf>
    <xf numFmtId="0" fontId="44" fillId="0" borderId="23" xfId="0" applyNumberFormat="1" applyFont="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25" borderId="1" xfId="0" applyFont="1" applyFill="1" applyBorder="1" applyAlignment="1">
      <alignment horizontal="left" vertical="center"/>
    </xf>
    <xf numFmtId="0" fontId="0" fillId="25" borderId="1" xfId="0" applyFill="1" applyBorder="1" applyAlignment="1">
      <alignment horizontal="left" vertical="center"/>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81" fontId="44" fillId="0" borderId="1" xfId="0" applyNumberFormat="1"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24" borderId="1" xfId="0" applyFill="1" applyBorder="1" applyAlignment="1">
      <alignment horizontal="left" vertical="center"/>
    </xf>
    <xf numFmtId="0" fontId="0" fillId="23" borderId="1" xfId="0" applyFill="1" applyBorder="1" applyAlignment="1">
      <alignment horizontal="left" vertical="center"/>
    </xf>
    <xf numFmtId="0" fontId="95" fillId="24" borderId="13" xfId="0" applyFont="1" applyFill="1" applyBorder="1" applyAlignment="1">
      <alignment horizontal="left" vertical="center"/>
    </xf>
    <xf numFmtId="0" fontId="0" fillId="24" borderId="2" xfId="0" applyFill="1" applyBorder="1" applyAlignment="1">
      <alignment horizontal="left" vertical="center"/>
    </xf>
    <xf numFmtId="0" fontId="95" fillId="23" borderId="13" xfId="0" applyFont="1" applyFill="1" applyBorder="1" applyAlignment="1">
      <alignment horizontal="left" vertical="center"/>
    </xf>
    <xf numFmtId="0" fontId="0" fillId="23" borderId="2" xfId="0" applyFill="1" applyBorder="1" applyAlignment="1">
      <alignment horizontal="left" vertical="center"/>
    </xf>
    <xf numFmtId="0" fontId="95" fillId="23" borderId="2" xfId="0" applyFont="1" applyFill="1" applyBorder="1" applyAlignment="1">
      <alignment horizontal="left" vertical="center"/>
    </xf>
    <xf numFmtId="0" fontId="95" fillId="23" borderId="13" xfId="0" quotePrefix="1" applyFont="1" applyFill="1" applyBorder="1" applyAlignment="1">
      <alignment horizontal="left" vertical="center"/>
    </xf>
    <xf numFmtId="0" fontId="95" fillId="23" borderId="2" xfId="0" quotePrefix="1" applyFont="1" applyFill="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66675</xdr:rowOff>
    </xdr:from>
    <xdr:to>
      <xdr:col>5</xdr:col>
      <xdr:colOff>313843</xdr:colOff>
      <xdr:row>39</xdr:row>
      <xdr:rowOff>161270</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1"/>
        <a:stretch>
          <a:fillRect/>
        </a:stretch>
      </xdr:blipFill>
      <xdr:spPr>
        <a:xfrm>
          <a:off x="0" y="1609725"/>
          <a:ext cx="3857143" cy="5238095"/>
        </a:xfrm>
        <a:prstGeom prst="rect">
          <a:avLst/>
        </a:prstGeom>
      </xdr:spPr>
    </xdr:pic>
    <xdr:clientData/>
  </xdr:twoCellAnchor>
  <xdr:twoCellAnchor editAs="oneCell">
    <xdr:from>
      <xdr:col>5</xdr:col>
      <xdr:colOff>323850</xdr:colOff>
      <xdr:row>9</xdr:row>
      <xdr:rowOff>76200</xdr:rowOff>
    </xdr:from>
    <xdr:to>
      <xdr:col>11</xdr:col>
      <xdr:colOff>170955</xdr:colOff>
      <xdr:row>40</xdr:row>
      <xdr:rowOff>66012</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3867150" y="1619250"/>
          <a:ext cx="3961905" cy="5304762"/>
        </a:xfrm>
        <a:prstGeom prst="rect">
          <a:avLst/>
        </a:prstGeom>
      </xdr:spPr>
    </xdr:pic>
    <xdr:clientData/>
  </xdr:twoCellAnchor>
  <xdr:twoCellAnchor editAs="oneCell">
    <xdr:from>
      <xdr:col>0</xdr:col>
      <xdr:colOff>0</xdr:colOff>
      <xdr:row>39</xdr:row>
      <xdr:rowOff>168510</xdr:rowOff>
    </xdr:from>
    <xdr:to>
      <xdr:col>9</xdr:col>
      <xdr:colOff>533400</xdr:colOff>
      <xdr:row>59</xdr:row>
      <xdr:rowOff>104070</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3"/>
        <a:stretch>
          <a:fillRect/>
        </a:stretch>
      </xdr:blipFill>
      <xdr:spPr>
        <a:xfrm>
          <a:off x="0" y="6855060"/>
          <a:ext cx="6819900" cy="3364560"/>
        </a:xfrm>
        <a:prstGeom prst="rect">
          <a:avLst/>
        </a:prstGeom>
      </xdr:spPr>
    </xdr:pic>
    <xdr:clientData/>
  </xdr:twoCellAnchor>
  <xdr:twoCellAnchor editAs="oneCell">
    <xdr:from>
      <xdr:col>0</xdr:col>
      <xdr:colOff>0</xdr:colOff>
      <xdr:row>59</xdr:row>
      <xdr:rowOff>114300</xdr:rowOff>
    </xdr:from>
    <xdr:to>
      <xdr:col>10</xdr:col>
      <xdr:colOff>294051</xdr:colOff>
      <xdr:row>79</xdr:row>
      <xdr:rowOff>151707</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4"/>
        <a:stretch>
          <a:fillRect/>
        </a:stretch>
      </xdr:blipFill>
      <xdr:spPr>
        <a:xfrm>
          <a:off x="0" y="10229850"/>
          <a:ext cx="7266351" cy="3466407"/>
        </a:xfrm>
        <a:prstGeom prst="rect">
          <a:avLst/>
        </a:prstGeom>
      </xdr:spPr>
    </xdr:pic>
    <xdr:clientData/>
  </xdr:twoCellAnchor>
  <xdr:twoCellAnchor editAs="oneCell">
    <xdr:from>
      <xdr:col>0</xdr:col>
      <xdr:colOff>0</xdr:colOff>
      <xdr:row>79</xdr:row>
      <xdr:rowOff>114299</xdr:rowOff>
    </xdr:from>
    <xdr:to>
      <xdr:col>10</xdr:col>
      <xdr:colOff>506887</xdr:colOff>
      <xdr:row>100</xdr:row>
      <xdr:rowOff>170764</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5"/>
        <a:stretch>
          <a:fillRect/>
        </a:stretch>
      </xdr:blipFill>
      <xdr:spPr>
        <a:xfrm>
          <a:off x="0" y="13658849"/>
          <a:ext cx="7479187" cy="3656915"/>
        </a:xfrm>
        <a:prstGeom prst="rect">
          <a:avLst/>
        </a:prstGeom>
      </xdr:spPr>
    </xdr:pic>
    <xdr:clientData/>
  </xdr:twoCellAnchor>
  <xdr:twoCellAnchor editAs="oneCell">
    <xdr:from>
      <xdr:col>9</xdr:col>
      <xdr:colOff>190500</xdr:colOff>
      <xdr:row>40</xdr:row>
      <xdr:rowOff>168157</xdr:rowOff>
    </xdr:from>
    <xdr:to>
      <xdr:col>20</xdr:col>
      <xdr:colOff>46264</xdr:colOff>
      <xdr:row>64</xdr:row>
      <xdr:rowOff>104048</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6"/>
        <a:stretch>
          <a:fillRect/>
        </a:stretch>
      </xdr:blipFill>
      <xdr:spPr>
        <a:xfrm>
          <a:off x="6477000" y="7026157"/>
          <a:ext cx="7590064" cy="4050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估价对象为北京市房地产，为所有。根据《国有土地使用证》[]，估价对象（分摊）出让国有建设用地使用权面积为15255.5平方米，建筑面积为17747.63平方米。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估价对象为北京市房地产,属开发建设的，该项目尚在开发建设中。根据《国有土地使用证》[]，估价对象（分摊）出让国有建设用地使用权面积为15255.5平方米，规划建筑面积为17747.63平方米。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2024年9月4日（评估专业人员实地查勘之日）</v>
      </c>
    </row>
    <row r="13" spans="1:2" s="1197" customFormat="1">
      <c r="A13" s="1195" t="s">
        <v>529</v>
      </c>
      <c r="B13" s="1196"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11143</v>
      </c>
    </row>
    <row r="21" spans="1:2" s="1197" customFormat="1">
      <c r="A21" s="1195" t="s">
        <v>537</v>
      </c>
      <c r="B21" s="1196">
        <f ca="1">'预评函-2'!D7</f>
        <v>6279</v>
      </c>
    </row>
    <row r="22" spans="1:2" s="1197" customFormat="1">
      <c r="A22" s="1195" t="s">
        <v>538</v>
      </c>
      <c r="B22" s="1196" t="str">
        <f ca="1">'预评函-2'!D6</f>
        <v>壹亿壹仟壹佰肆拾叁万元整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11143</v>
      </c>
    </row>
    <row r="31" spans="1:2" s="1197" customFormat="1">
      <c r="A31" s="1195" t="s">
        <v>576</v>
      </c>
      <c r="B31" s="1196">
        <f ca="1">'预评函-2'!D15</f>
        <v>6279</v>
      </c>
    </row>
    <row r="32" spans="1:2" s="1197" customFormat="1">
      <c r="A32" s="1195" t="s">
        <v>543</v>
      </c>
      <c r="B32" s="1196" t="str">
        <f ca="1">'预评函-2'!D14</f>
        <v>壹亿壹仟壹佰肆拾叁万元整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17747.629999999997</v>
      </c>
    </row>
    <row r="44" spans="1:2" s="1197" customFormat="1">
      <c r="A44" s="1195" t="s">
        <v>575</v>
      </c>
      <c r="B44" s="1196" t="str">
        <f>'预评函-3'!C2</f>
        <v>(分摊)土地面积</v>
      </c>
    </row>
    <row r="45" spans="1:2" s="1197" customFormat="1">
      <c r="A45" s="1195" t="s">
        <v>547</v>
      </c>
      <c r="B45" s="1196">
        <f>'预评函-3'!C4</f>
        <v>15255.5</v>
      </c>
    </row>
    <row r="46" spans="1:2" s="1197" customFormat="1">
      <c r="A46" s="1195" t="s">
        <v>573</v>
      </c>
      <c r="B46" s="1196" t="str">
        <f>'预评函-3'!D2</f>
        <v>出让国有建设用地使用权价值</v>
      </c>
    </row>
    <row r="47" spans="1:2" s="1197" customFormat="1">
      <c r="A47" s="1195" t="s">
        <v>548</v>
      </c>
      <c r="B47" s="1196">
        <f ca="1">'预评函-3'!D4</f>
        <v>5583</v>
      </c>
    </row>
    <row r="48" spans="1:2" s="1197" customFormat="1">
      <c r="A48" s="1195" t="s">
        <v>549</v>
      </c>
      <c r="B48" s="1196">
        <f ca="1">'预评函-3'!E4</f>
        <v>3146</v>
      </c>
    </row>
    <row r="49" spans="1:2" s="1197" customFormat="1">
      <c r="A49" s="1195" t="s">
        <v>550</v>
      </c>
      <c r="B49" s="1196" t="str">
        <f ca="1">'预评函-3'!D5</f>
        <v>伍仟伍佰捌拾叁万元整</v>
      </c>
    </row>
    <row r="50" spans="1:2" s="1197" customFormat="1">
      <c r="A50" s="1195" t="s">
        <v>574</v>
      </c>
      <c r="B50" s="1196" t="str">
        <f>'预评函-3'!F2</f>
        <v>在建建筑物价值</v>
      </c>
    </row>
    <row r="51" spans="1:2" s="1197" customFormat="1">
      <c r="A51" s="1195" t="s">
        <v>551</v>
      </c>
      <c r="B51" s="1196">
        <f ca="1">'预评函-3'!F4</f>
        <v>5560</v>
      </c>
    </row>
    <row r="52" spans="1:2" s="1197" customFormat="1">
      <c r="A52" s="1195" t="s">
        <v>552</v>
      </c>
      <c r="B52" s="1196">
        <f ca="1">'预评函-3'!G4</f>
        <v>3133</v>
      </c>
    </row>
    <row r="53" spans="1:2" s="1197" customFormat="1">
      <c r="A53" s="1195" t="s">
        <v>580</v>
      </c>
      <c r="B53" s="1196" t="str">
        <f ca="1">'预评函-3'!F5</f>
        <v>伍仟伍佰陆拾万元整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4" sqref="G24"/>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3344</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3330</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3331</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3332</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3333</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3334</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3335</v>
      </c>
    </row>
    <row r="8" spans="1:23">
      <c r="A8" s="1540" t="s">
        <v>1026</v>
      </c>
      <c r="B8" s="1540" t="s">
        <v>1027</v>
      </c>
      <c r="C8" s="1541" t="s">
        <v>319</v>
      </c>
      <c r="F8" s="1542" t="s">
        <v>1028</v>
      </c>
      <c r="H8" s="1542" t="s">
        <v>2570</v>
      </c>
      <c r="I8" s="1542" t="s">
        <v>3336</v>
      </c>
    </row>
    <row r="9" spans="1:23">
      <c r="A9" s="1540" t="s">
        <v>1029</v>
      </c>
      <c r="B9" s="1540" t="s">
        <v>1030</v>
      </c>
      <c r="C9" s="1541" t="s">
        <v>320</v>
      </c>
      <c r="F9" s="1542" t="s">
        <v>1031</v>
      </c>
      <c r="H9" s="1542"/>
      <c r="I9" s="1545" t="s">
        <v>3337</v>
      </c>
    </row>
    <row r="10" spans="1:23">
      <c r="A10" s="1540" t="s">
        <v>1032</v>
      </c>
      <c r="B10" s="1540" t="s">
        <v>1033</v>
      </c>
      <c r="C10" s="1541" t="s">
        <v>321</v>
      </c>
      <c r="F10" s="1542" t="s">
        <v>2571</v>
      </c>
      <c r="I10" s="1545" t="s">
        <v>3338</v>
      </c>
    </row>
    <row r="11" spans="1:23">
      <c r="A11" s="1540" t="s">
        <v>1034</v>
      </c>
      <c r="B11" s="1540" t="s">
        <v>1035</v>
      </c>
      <c r="C11" s="1541" t="s">
        <v>322</v>
      </c>
      <c r="F11" s="1542" t="s">
        <v>13</v>
      </c>
      <c r="I11" s="1545" t="s">
        <v>3339</v>
      </c>
    </row>
    <row r="12" spans="1:23">
      <c r="A12" s="1540" t="s">
        <v>1036</v>
      </c>
      <c r="B12" s="1540" t="s">
        <v>1037</v>
      </c>
      <c r="C12" s="1541" t="s">
        <v>323</v>
      </c>
      <c r="I12" s="1545" t="s">
        <v>3340</v>
      </c>
    </row>
    <row r="13" spans="1:23">
      <c r="A13" s="1540" t="s">
        <v>1038</v>
      </c>
      <c r="B13" s="1540" t="s">
        <v>1039</v>
      </c>
      <c r="C13" s="1541" t="s">
        <v>324</v>
      </c>
      <c r="I13" s="1545" t="s">
        <v>3341</v>
      </c>
    </row>
    <row r="14" spans="1:23">
      <c r="A14" s="1540" t="s">
        <v>1040</v>
      </c>
      <c r="B14" s="1540" t="s">
        <v>1041</v>
      </c>
      <c r="C14" s="1542" t="s">
        <v>13</v>
      </c>
      <c r="I14" s="1545" t="s">
        <v>3342</v>
      </c>
    </row>
    <row r="15" spans="1:23">
      <c r="A15" s="1540" t="s">
        <v>1042</v>
      </c>
      <c r="B15" s="1540" t="s">
        <v>1043</v>
      </c>
      <c r="C15" s="1541"/>
      <c r="I15" s="1545" t="s">
        <v>3343</v>
      </c>
    </row>
    <row r="16" spans="1:23">
      <c r="A16" s="1540" t="s">
        <v>1044</v>
      </c>
      <c r="B16" s="1540" t="s">
        <v>312</v>
      </c>
      <c r="C16" s="1541"/>
    </row>
    <row r="17" spans="1:3">
      <c r="A17" s="1540" t="s">
        <v>1045</v>
      </c>
      <c r="B17" s="1540" t="s">
        <v>2284</v>
      </c>
      <c r="C17" s="1541"/>
    </row>
    <row r="18" spans="1:3">
      <c r="A18" s="1540" t="s">
        <v>1046</v>
      </c>
      <c r="B18" s="1540" t="s">
        <v>2426</v>
      </c>
      <c r="C18" s="1541"/>
    </row>
    <row r="19" spans="1:3">
      <c r="A19" s="1540" t="s">
        <v>1047</v>
      </c>
      <c r="B19" s="1540" t="s">
        <v>3472</v>
      </c>
      <c r="C19" s="1541"/>
    </row>
    <row r="20" spans="1:3">
      <c r="A20" s="1540" t="s">
        <v>1048</v>
      </c>
      <c r="B20" s="1540" t="s">
        <v>3474</v>
      </c>
      <c r="C20" s="1541"/>
    </row>
    <row r="21" spans="1:3">
      <c r="A21" s="1540" t="s">
        <v>1049</v>
      </c>
      <c r="B21" s="1540" t="s">
        <v>3476</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31"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48" t="s">
        <v>385</v>
      </c>
      <c r="C54" s="1545" t="s">
        <v>583</v>
      </c>
    </row>
    <row r="55" spans="1:4">
      <c r="A55" s="3531"/>
      <c r="B55" s="1548" t="s">
        <v>386</v>
      </c>
      <c r="C55" s="1545" t="s">
        <v>584</v>
      </c>
    </row>
    <row r="56" spans="1:4">
      <c r="A56" s="3531"/>
      <c r="B56" s="1548" t="s">
        <v>387</v>
      </c>
      <c r="C56" s="1545" t="s">
        <v>588</v>
      </c>
    </row>
    <row r="57" spans="1:4">
      <c r="A57" s="3531"/>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2493</v>
      </c>
      <c r="B1" s="3008"/>
      <c r="C1" s="3008"/>
      <c r="D1" s="3008"/>
      <c r="E1" s="3008"/>
      <c r="F1" s="3009"/>
      <c r="I1" s="3431" t="s">
        <v>2586</v>
      </c>
      <c r="J1" s="3220"/>
      <c r="K1" s="3220"/>
      <c r="L1" s="3220"/>
      <c r="M1" s="3220"/>
      <c r="N1" s="3432"/>
      <c r="O1" s="3432"/>
      <c r="P1" s="3432"/>
      <c r="Q1" s="3432"/>
      <c r="R1" s="3432"/>
    </row>
    <row r="2" spans="1:18">
      <c r="A2" s="3011"/>
      <c r="B2" s="3012"/>
      <c r="C2" s="3012"/>
      <c r="D2" s="3012"/>
      <c r="E2" s="3012"/>
      <c r="F2" s="3013"/>
      <c r="I2" s="3532" t="s">
        <v>2573</v>
      </c>
      <c r="J2" s="3532"/>
      <c r="K2" s="3532"/>
      <c r="L2" s="3532"/>
      <c r="M2" s="3532"/>
      <c r="N2" s="3532"/>
      <c r="O2" s="3532"/>
      <c r="P2" s="3532"/>
      <c r="Q2" s="3532"/>
      <c r="R2" s="3532"/>
    </row>
    <row r="3" spans="1:18">
      <c r="A3" s="3014" t="s">
        <v>2494</v>
      </c>
      <c r="B3" s="3015">
        <f>项目基本情况!D3</f>
        <v>45539</v>
      </c>
      <c r="C3" s="3017"/>
      <c r="D3" s="3017"/>
      <c r="E3" s="3017"/>
      <c r="F3" s="3013"/>
      <c r="I3" s="3433"/>
      <c r="J3" s="3433" t="s">
        <v>2577</v>
      </c>
      <c r="K3" s="3433" t="s">
        <v>2578</v>
      </c>
      <c r="L3" s="3433" t="s">
        <v>2579</v>
      </c>
      <c r="M3" s="3433" t="s">
        <v>2580</v>
      </c>
      <c r="N3" s="3434" t="s">
        <v>2581</v>
      </c>
      <c r="O3" s="3434" t="s">
        <v>2582</v>
      </c>
      <c r="P3" s="3434" t="s">
        <v>2583</v>
      </c>
      <c r="Q3" s="3434" t="s">
        <v>2584</v>
      </c>
      <c r="R3" s="3434" t="s">
        <v>2585</v>
      </c>
    </row>
    <row r="4" spans="1:18">
      <c r="A4" s="3014" t="s">
        <v>2495</v>
      </c>
      <c r="B4" s="3017" t="s">
        <v>2496</v>
      </c>
      <c r="C4" s="3017" t="s">
        <v>2497</v>
      </c>
      <c r="D4" s="3017" t="s">
        <v>2498</v>
      </c>
      <c r="E4" s="3017" t="s">
        <v>2499</v>
      </c>
      <c r="F4" s="3013"/>
      <c r="I4" s="3433" t="s">
        <v>2574</v>
      </c>
      <c r="J4" s="3433">
        <v>80</v>
      </c>
      <c r="K4" s="3433">
        <v>70</v>
      </c>
      <c r="L4" s="3433">
        <v>20</v>
      </c>
      <c r="M4" s="3433">
        <v>30</v>
      </c>
      <c r="N4" s="3017">
        <v>45</v>
      </c>
      <c r="O4" s="3017">
        <v>60</v>
      </c>
      <c r="P4" s="3017">
        <v>50</v>
      </c>
      <c r="Q4" s="3017">
        <v>20</v>
      </c>
      <c r="R4" s="3017">
        <v>375</v>
      </c>
    </row>
    <row r="5" spans="1:18">
      <c r="A5" s="3018">
        <v>40</v>
      </c>
      <c r="B5" s="3015">
        <v>46375</v>
      </c>
      <c r="C5" s="3017">
        <f>ROUNDDOWN(MIN((B5-B3)/365,A5),2)</f>
        <v>2.29</v>
      </c>
      <c r="D5" s="3019">
        <f>IF(ISERROR(ROUND(POWER(1+E5,A5-C5)*(POWER(1+E5,C5)-1)/(POWER(1+E5,A5)-1),3)),0,ROUND(POWER(1+E5,A5-C5)*(POWER(1+E5,C5)-1)/(POWER(1+E5,A5)-1),4))</f>
        <v>0.1085</v>
      </c>
      <c r="E5" s="3020">
        <v>0.04</v>
      </c>
      <c r="F5" s="3013"/>
      <c r="I5" s="3433" t="s">
        <v>2575</v>
      </c>
      <c r="J5" s="3433">
        <v>70</v>
      </c>
      <c r="K5" s="3433">
        <v>60</v>
      </c>
      <c r="L5" s="3433">
        <v>15</v>
      </c>
      <c r="M5" s="3433">
        <v>25</v>
      </c>
      <c r="N5" s="3017">
        <v>40</v>
      </c>
      <c r="O5" s="3017">
        <v>50</v>
      </c>
      <c r="P5" s="3017">
        <v>40</v>
      </c>
      <c r="Q5" s="3017">
        <v>15</v>
      </c>
      <c r="R5" s="3017">
        <v>315</v>
      </c>
    </row>
    <row r="6" spans="1:18">
      <c r="A6" s="3018">
        <v>50</v>
      </c>
      <c r="B6" s="3015">
        <v>50028</v>
      </c>
      <c r="C6" s="3017">
        <f>ROUNDDOWN(MIN((B6-B3)/365,A6),2)</f>
        <v>12.29</v>
      </c>
      <c r="D6" s="3019">
        <f>IF(ISERROR(ROUND(POWER(1+E6,A6-C6)*(POWER(1+E6,C6)-1)/(POWER(1+E6,A6)-1),3)),0,ROUND(POWER(1+E6,A6-C6)*(POWER(1+E6,C6)-1)/(POWER(1+E6,A6)-1),4))</f>
        <v>0.4451</v>
      </c>
      <c r="E6" s="3020">
        <v>0.04</v>
      </c>
      <c r="F6" s="3013"/>
      <c r="I6" s="3433" t="s">
        <v>2576</v>
      </c>
      <c r="J6" s="3433">
        <v>60</v>
      </c>
      <c r="K6" s="3433">
        <v>50</v>
      </c>
      <c r="L6" s="3433">
        <v>10</v>
      </c>
      <c r="M6" s="3433">
        <v>20</v>
      </c>
      <c r="N6" s="3017">
        <v>35</v>
      </c>
      <c r="O6" s="3017">
        <v>40</v>
      </c>
      <c r="P6" s="3017">
        <v>30</v>
      </c>
      <c r="Q6" s="3017">
        <v>10</v>
      </c>
      <c r="R6" s="3017">
        <v>255</v>
      </c>
    </row>
    <row r="7" spans="1:18">
      <c r="A7" s="3018">
        <v>70</v>
      </c>
      <c r="B7" s="3015">
        <v>57333</v>
      </c>
      <c r="C7" s="3017">
        <f>ROUNDDOWN(MIN((B7-B3)/365,A7),2)</f>
        <v>32.31</v>
      </c>
      <c r="D7" s="3019">
        <f>IF(ISERROR(ROUND(POWER(1+E7,A7-C7)*(POWER(1+E7,C7)-1)/(POWER(1+E7,A7)-1),3)),0,ROUND(POWER(1+E7,A7-C7)*(POWER(1+E7,C7)-1)/(POWER(1+E7,A7)-1),4))</f>
        <v>0.76770000000000005</v>
      </c>
      <c r="E7" s="3020">
        <v>0.04</v>
      </c>
      <c r="F7" s="3013"/>
    </row>
    <row r="8" spans="1:18">
      <c r="A8" s="3011"/>
      <c r="B8" s="3012"/>
      <c r="C8" s="3012"/>
      <c r="D8" s="3012"/>
      <c r="E8" s="3012"/>
      <c r="F8" s="3013"/>
    </row>
    <row r="9" spans="1:18">
      <c r="A9" s="3014" t="s">
        <v>2500</v>
      </c>
      <c r="B9" s="3017"/>
      <c r="C9" s="3017"/>
      <c r="D9" s="3017"/>
      <c r="E9" s="3017"/>
      <c r="F9" s="3021"/>
    </row>
    <row r="10" spans="1:18">
      <c r="A10" s="3014" t="s">
        <v>2501</v>
      </c>
      <c r="B10" s="3017"/>
      <c r="C10" s="3017"/>
      <c r="D10" s="3017" t="s">
        <v>2499</v>
      </c>
      <c r="E10" s="3017"/>
      <c r="F10" s="3021" t="s">
        <v>2498</v>
      </c>
    </row>
    <row r="11" spans="1:18">
      <c r="A11" s="3014" t="s">
        <v>2502</v>
      </c>
      <c r="B11" s="3022">
        <v>70</v>
      </c>
      <c r="C11" s="3017" t="s">
        <v>2503</v>
      </c>
      <c r="D11" s="3023">
        <v>4.4999999999999998E-2</v>
      </c>
      <c r="E11" s="3017" t="s">
        <v>2504</v>
      </c>
      <c r="F11" s="3024">
        <f>ROUND(1-(1/(POWER(1+D11,B11))),4)</f>
        <v>0.95409999999999995</v>
      </c>
    </row>
    <row r="12" spans="1:18">
      <c r="A12" s="3014" t="s">
        <v>2505</v>
      </c>
      <c r="B12" s="3022">
        <v>40</v>
      </c>
      <c r="C12" s="3017" t="s">
        <v>2506</v>
      </c>
      <c r="D12" s="3023">
        <v>4.4999999999999998E-2</v>
      </c>
      <c r="E12" s="3017" t="s">
        <v>2507</v>
      </c>
      <c r="F12" s="3024">
        <f>ROUND(1-(1/(POWER(1+D12,B12))),4)</f>
        <v>0.82809999999999995</v>
      </c>
    </row>
    <row r="13" spans="1:18">
      <c r="A13" s="3014" t="s">
        <v>2508</v>
      </c>
      <c r="B13" s="3017"/>
      <c r="C13" s="3017"/>
      <c r="D13" s="3012"/>
      <c r="E13" s="3012"/>
      <c r="F13" s="3013"/>
    </row>
    <row r="14" spans="1:18">
      <c r="A14" s="3014" t="s">
        <v>2509</v>
      </c>
      <c r="B14" s="3022">
        <v>5000</v>
      </c>
      <c r="C14" s="3016"/>
      <c r="D14" s="3012"/>
      <c r="E14" s="3012"/>
      <c r="F14" s="3013"/>
    </row>
    <row r="15" spans="1:18">
      <c r="A15" s="3014" t="s">
        <v>2510</v>
      </c>
      <c r="B15" s="3017">
        <f>ROUND(B14*F12/F11,2)</f>
        <v>4339.6899999999996</v>
      </c>
      <c r="C15" s="3017">
        <f>ROUND(F12/F11,4)</f>
        <v>0.8679</v>
      </c>
      <c r="D15" s="3012"/>
      <c r="E15" s="3012"/>
      <c r="F15" s="3013"/>
    </row>
    <row r="16" spans="1:18">
      <c r="A16" s="3014" t="s">
        <v>2511</v>
      </c>
      <c r="B16" s="3017"/>
      <c r="C16" s="3017"/>
      <c r="D16" s="3012"/>
      <c r="E16" s="3012"/>
      <c r="F16" s="3013"/>
    </row>
    <row r="17" spans="1:13">
      <c r="A17" s="3014" t="s">
        <v>2510</v>
      </c>
      <c r="B17" s="3023">
        <v>4810</v>
      </c>
      <c r="C17" s="3016"/>
      <c r="D17" s="3012"/>
      <c r="E17" s="3012"/>
      <c r="F17" s="3013"/>
    </row>
    <row r="18" spans="1:13" ht="14.25" thickBot="1">
      <c r="A18" s="3025" t="s">
        <v>2509</v>
      </c>
      <c r="B18" s="3026">
        <f>ROUND(B17*F11/F12,2)</f>
        <v>5541.87</v>
      </c>
      <c r="C18" s="3026">
        <f>ROUND(F11/F12,4)</f>
        <v>1.1521999999999999</v>
      </c>
      <c r="D18" s="3027"/>
      <c r="E18" s="3027"/>
      <c r="F18" s="3028"/>
    </row>
    <row r="19" spans="1:13" ht="14.25" thickBot="1"/>
    <row r="20" spans="1:13" s="3063" customFormat="1" ht="14.25" thickTop="1">
      <c r="A20" s="3060" t="s">
        <v>2512</v>
      </c>
      <c r="B20" s="3061"/>
      <c r="C20" s="3061"/>
      <c r="D20" s="3061"/>
      <c r="E20" s="3061"/>
      <c r="F20" s="3061"/>
      <c r="G20" s="3062"/>
      <c r="I20" s="3064" t="s">
        <v>2557</v>
      </c>
      <c r="J20" s="3064" t="s">
        <v>2562</v>
      </c>
      <c r="K20" s="3064"/>
      <c r="L20" s="3064"/>
      <c r="M20" s="3064"/>
    </row>
    <row r="21" spans="1:13">
      <c r="A21" s="3029"/>
      <c r="B21" s="3030" t="s">
        <v>2513</v>
      </c>
      <c r="C21" s="3030" t="s">
        <v>2514</v>
      </c>
      <c r="D21" s="3030" t="s">
        <v>2515</v>
      </c>
      <c r="E21" s="3030" t="s">
        <v>2516</v>
      </c>
      <c r="F21" s="3030" t="s">
        <v>2517</v>
      </c>
      <c r="G21" s="3031" t="s">
        <v>2518</v>
      </c>
      <c r="I21" s="3052">
        <v>5</v>
      </c>
      <c r="J21" s="3052">
        <v>54.2</v>
      </c>
    </row>
    <row r="22" spans="1:13">
      <c r="A22" s="3029" t="s">
        <v>2519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2560</v>
      </c>
      <c r="M23" s="3052" t="s">
        <v>2561</v>
      </c>
    </row>
    <row r="24" spans="1:13">
      <c r="A24" s="3029" t="s">
        <v>2521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2559</v>
      </c>
      <c r="M24" s="3052">
        <v>10</v>
      </c>
    </row>
    <row r="25" spans="1:13">
      <c r="A25" s="3029" t="s">
        <v>2522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2563</v>
      </c>
      <c r="M25" s="3052">
        <v>8</v>
      </c>
    </row>
    <row r="26" spans="1:13">
      <c r="A26" s="3034"/>
      <c r="B26" s="3035"/>
      <c r="C26" s="3035"/>
      <c r="D26" s="3035"/>
      <c r="E26" s="3035"/>
      <c r="F26" s="3035"/>
      <c r="G26" s="3036"/>
      <c r="I26" s="3052">
        <v>30</v>
      </c>
      <c r="J26" s="3052">
        <v>90.5</v>
      </c>
      <c r="K26" s="3052">
        <f t="shared" si="2"/>
        <v>4.2000000000000028</v>
      </c>
      <c r="L26" s="3052" t="s">
        <v>2564</v>
      </c>
      <c r="M26" s="3052">
        <v>5</v>
      </c>
    </row>
    <row r="27" spans="1:13">
      <c r="A27" s="3034" t="s">
        <v>2523</v>
      </c>
      <c r="B27" s="3035"/>
      <c r="C27" s="3035"/>
      <c r="D27" s="3035"/>
      <c r="E27" s="3035"/>
      <c r="F27" s="3035"/>
      <c r="G27" s="3036"/>
      <c r="I27" s="3052">
        <v>35</v>
      </c>
      <c r="J27" s="3052">
        <v>93.8</v>
      </c>
      <c r="K27" s="3052">
        <f t="shared" si="2"/>
        <v>3.2999999999999972</v>
      </c>
      <c r="L27" s="3052" t="s">
        <v>2565</v>
      </c>
      <c r="M27" s="3052">
        <v>3</v>
      </c>
    </row>
    <row r="28" spans="1:13">
      <c r="A28" s="3034" t="s">
        <v>2524</v>
      </c>
      <c r="B28" s="3035"/>
      <c r="C28" s="3035"/>
      <c r="D28" s="3035"/>
      <c r="E28" s="3035"/>
      <c r="F28" s="3035"/>
      <c r="G28" s="3036"/>
      <c r="I28" s="3052">
        <v>40</v>
      </c>
      <c r="J28" s="3052">
        <v>96.4</v>
      </c>
      <c r="K28" s="3052">
        <f t="shared" si="2"/>
        <v>2.6000000000000085</v>
      </c>
      <c r="L28" s="3052" t="s">
        <v>2566</v>
      </c>
      <c r="M28" s="3052">
        <v>2</v>
      </c>
    </row>
    <row r="29" spans="1:13">
      <c r="A29" s="3034" t="s">
        <v>2525</v>
      </c>
      <c r="B29" s="3035"/>
      <c r="C29" s="3035"/>
      <c r="D29" s="3035"/>
      <c r="E29" s="3035"/>
      <c r="F29" s="3035"/>
      <c r="G29" s="3036"/>
      <c r="I29" s="3052">
        <v>45</v>
      </c>
      <c r="J29" s="3052">
        <v>98.4</v>
      </c>
      <c r="K29" s="3052">
        <f t="shared" si="2"/>
        <v>2</v>
      </c>
    </row>
    <row r="30" spans="1:13">
      <c r="A30" s="3034" t="s">
        <v>2526</v>
      </c>
      <c r="B30" s="3035"/>
      <c r="C30" s="3035"/>
      <c r="D30" s="3035"/>
      <c r="E30" s="3035"/>
      <c r="F30" s="3035"/>
      <c r="G30" s="3036"/>
      <c r="I30" s="3052">
        <v>50</v>
      </c>
      <c r="J30" s="3052">
        <v>100</v>
      </c>
      <c r="K30" s="3052">
        <f t="shared" si="2"/>
        <v>1.5999999999999943</v>
      </c>
    </row>
    <row r="31" spans="1:13">
      <c r="A31" s="3034" t="s">
        <v>2527</v>
      </c>
      <c r="B31" s="3035"/>
      <c r="C31" s="3035"/>
      <c r="D31" s="3035"/>
      <c r="E31" s="3035"/>
      <c r="F31" s="3035"/>
      <c r="G31" s="3036"/>
      <c r="I31" s="3052" t="s">
        <v>2558</v>
      </c>
    </row>
    <row r="32" spans="1:13">
      <c r="A32" s="3034" t="s">
        <v>2528</v>
      </c>
      <c r="B32" s="3035"/>
      <c r="C32" s="3035"/>
      <c r="D32" s="3035"/>
      <c r="E32" s="3035"/>
      <c r="F32" s="3035"/>
      <c r="G32" s="3036"/>
    </row>
    <row r="33" spans="1:13">
      <c r="A33" s="3034" t="s">
        <v>2529</v>
      </c>
      <c r="B33" s="3035"/>
      <c r="C33" s="3035"/>
      <c r="D33" s="3035"/>
      <c r="E33" s="3035"/>
      <c r="F33" s="3035"/>
      <c r="G33" s="3036"/>
      <c r="I33" s="3052" t="s">
        <v>2557</v>
      </c>
      <c r="J33" s="3052" t="s">
        <v>2567</v>
      </c>
    </row>
    <row r="34" spans="1:13">
      <c r="A34" s="3034" t="s">
        <v>2530</v>
      </c>
      <c r="B34" s="3035"/>
      <c r="C34" s="3035"/>
      <c r="D34" s="3035"/>
      <c r="E34" s="3035"/>
      <c r="F34" s="3035"/>
      <c r="G34" s="3036"/>
      <c r="I34" s="3052">
        <v>5</v>
      </c>
      <c r="J34" s="3052">
        <v>55.1</v>
      </c>
    </row>
    <row r="35" spans="1:13">
      <c r="A35" s="3034" t="s">
        <v>2531</v>
      </c>
      <c r="B35" s="3035"/>
      <c r="C35" s="3035"/>
      <c r="D35" s="3035"/>
      <c r="E35" s="3035"/>
      <c r="F35" s="3035"/>
      <c r="G35" s="3036"/>
      <c r="I35" s="3052">
        <v>10</v>
      </c>
      <c r="J35" s="3052">
        <v>67</v>
      </c>
      <c r="K35" s="3052">
        <f>J35-J34</f>
        <v>11.899999999999999</v>
      </c>
    </row>
    <row r="36" spans="1:13">
      <c r="A36" s="3034" t="s">
        <v>2532</v>
      </c>
      <c r="B36" s="3035"/>
      <c r="C36" s="3035"/>
      <c r="D36" s="3035"/>
      <c r="E36" s="3035"/>
      <c r="F36" s="3035"/>
      <c r="G36" s="3036"/>
      <c r="I36" s="3052">
        <v>15</v>
      </c>
      <c r="J36" s="3052">
        <v>76.3</v>
      </c>
      <c r="K36" s="3052">
        <f t="shared" ref="K36:K41" si="3">J36-J35</f>
        <v>9.2999999999999972</v>
      </c>
      <c r="L36" s="3052" t="s">
        <v>2560</v>
      </c>
      <c r="M36" s="3052" t="s">
        <v>2561</v>
      </c>
    </row>
    <row r="37" spans="1:13">
      <c r="A37" s="3034" t="s">
        <v>2533</v>
      </c>
      <c r="B37" s="3035"/>
      <c r="C37" s="3035"/>
      <c r="D37" s="3035"/>
      <c r="E37" s="3035"/>
      <c r="F37" s="3035"/>
      <c r="G37" s="3036"/>
      <c r="I37" s="3052">
        <v>20</v>
      </c>
      <c r="J37" s="3052">
        <v>83.6</v>
      </c>
      <c r="K37" s="3052">
        <f t="shared" si="3"/>
        <v>7.2999999999999972</v>
      </c>
      <c r="L37" s="3052" t="s">
        <v>2559</v>
      </c>
      <c r="M37" s="3052">
        <v>10</v>
      </c>
    </row>
    <row r="38" spans="1:13">
      <c r="A38" s="3034" t="s">
        <v>2534</v>
      </c>
      <c r="B38" s="3035"/>
      <c r="C38" s="3035"/>
      <c r="D38" s="3035"/>
      <c r="E38" s="3035"/>
      <c r="F38" s="3035"/>
      <c r="G38" s="3036"/>
      <c r="I38" s="3052">
        <v>25</v>
      </c>
      <c r="J38" s="3052">
        <v>89.3</v>
      </c>
      <c r="K38" s="3052">
        <f t="shared" si="3"/>
        <v>5.7000000000000028</v>
      </c>
      <c r="L38" s="3052" t="s">
        <v>2563</v>
      </c>
      <c r="M38" s="3052">
        <v>8</v>
      </c>
    </row>
    <row r="39" spans="1:13">
      <c r="A39" s="3034"/>
      <c r="B39" s="3035"/>
      <c r="C39" s="3035"/>
      <c r="D39" s="3035"/>
      <c r="E39" s="3035"/>
      <c r="F39" s="3035"/>
      <c r="G39" s="3036"/>
      <c r="I39" s="3052">
        <v>30</v>
      </c>
      <c r="J39" s="3052">
        <v>93.8</v>
      </c>
      <c r="K39" s="3052">
        <f t="shared" si="3"/>
        <v>4.5</v>
      </c>
      <c r="L39" s="3052" t="s">
        <v>2564</v>
      </c>
      <c r="M39" s="3052">
        <v>6</v>
      </c>
    </row>
    <row r="40" spans="1:13">
      <c r="A40" s="3037" t="s">
        <v>2535</v>
      </c>
      <c r="B40" s="3038"/>
      <c r="C40" s="3038"/>
      <c r="D40" s="3038"/>
      <c r="E40" s="3038"/>
      <c r="F40" s="3038"/>
      <c r="G40" s="3039"/>
      <c r="I40" s="3052">
        <v>35</v>
      </c>
      <c r="J40" s="3052">
        <v>97.2</v>
      </c>
      <c r="K40" s="3052">
        <f t="shared" si="3"/>
        <v>3.4000000000000057</v>
      </c>
      <c r="L40" s="3052" t="s">
        <v>2565</v>
      </c>
      <c r="M40" s="3052">
        <v>3</v>
      </c>
    </row>
    <row r="41" spans="1:13">
      <c r="A41" s="3040" t="s">
        <v>2536</v>
      </c>
      <c r="B41" s="3041" t="s">
        <v>2537</v>
      </c>
      <c r="C41" s="3042" t="s">
        <v>2538</v>
      </c>
      <c r="D41" s="3042" t="s">
        <v>2539</v>
      </c>
      <c r="E41" s="3043"/>
      <c r="F41" s="3044"/>
      <c r="G41" s="3045"/>
      <c r="I41" s="3052">
        <v>40</v>
      </c>
      <c r="J41" s="3052">
        <v>100</v>
      </c>
      <c r="K41" s="3052">
        <f t="shared" si="3"/>
        <v>2.7999999999999972</v>
      </c>
    </row>
    <row r="42" spans="1:13">
      <c r="A42" s="3040" t="s">
        <v>2540</v>
      </c>
      <c r="B42" s="3041" t="s">
        <v>2541</v>
      </c>
      <c r="C42" s="3042" t="s">
        <v>2542</v>
      </c>
      <c r="D42" s="3046" t="s">
        <v>2543</v>
      </c>
      <c r="E42" s="3038" t="s">
        <v>2544</v>
      </c>
      <c r="F42" s="3038"/>
      <c r="G42" s="3039"/>
    </row>
    <row r="43" spans="1:13">
      <c r="A43" s="3040" t="s">
        <v>2545</v>
      </c>
      <c r="B43" s="3041" t="s">
        <v>2546</v>
      </c>
      <c r="C43" s="3042" t="s">
        <v>2547</v>
      </c>
      <c r="D43" s="3042" t="s">
        <v>2548</v>
      </c>
      <c r="E43" s="3043" t="s">
        <v>2549</v>
      </c>
      <c r="F43" s="3044"/>
      <c r="G43" s="3045"/>
      <c r="I43" s="3052" t="s">
        <v>2557</v>
      </c>
      <c r="J43" s="3052" t="s">
        <v>2568</v>
      </c>
    </row>
    <row r="44" spans="1:13">
      <c r="A44" s="3040" t="s">
        <v>2550</v>
      </c>
      <c r="B44" s="3041" t="s">
        <v>2551</v>
      </c>
      <c r="C44" s="3042" t="s">
        <v>2552</v>
      </c>
      <c r="D44" s="3046">
        <v>0.5</v>
      </c>
      <c r="E44" s="3043" t="s">
        <v>2553</v>
      </c>
      <c r="F44" s="3044"/>
      <c r="G44" s="3045"/>
      <c r="I44" s="3052">
        <v>30</v>
      </c>
      <c r="J44" s="3052">
        <v>81.7</v>
      </c>
    </row>
    <row r="45" spans="1:13" ht="14.25" thickBot="1">
      <c r="A45" s="3047" t="s">
        <v>2554</v>
      </c>
      <c r="B45" s="3048" t="s">
        <v>2541</v>
      </c>
      <c r="C45" s="3049" t="s">
        <v>2541</v>
      </c>
      <c r="D45" s="3049" t="s">
        <v>2555</v>
      </c>
      <c r="E45" s="3050" t="s">
        <v>2556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80" zoomScaleNormal="100" zoomScaleSheetLayoutView="80" workbookViewId="0">
      <selection activeCell="H26" sqref="H26"/>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2168</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2169</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9" t="s">
        <v>2170</v>
      </c>
      <c r="B3" s="2367">
        <v>45539</v>
      </c>
      <c r="C3" s="2368" t="s">
        <v>2171</v>
      </c>
      <c r="D3" s="2367">
        <f>B3</f>
        <v>45539</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2172</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2173</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2174</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2175</v>
      </c>
      <c r="B7" s="2381"/>
      <c r="C7" s="2379"/>
      <c r="D7" s="2380"/>
      <c r="E7" s="2656"/>
      <c r="F7" s="2658"/>
      <c r="G7" s="2658"/>
      <c r="H7" s="2658"/>
      <c r="I7" s="2658"/>
      <c r="J7" s="2433"/>
      <c r="K7" s="2610"/>
      <c r="L7" s="2607"/>
      <c r="M7" s="2607"/>
      <c r="N7" s="2433"/>
      <c r="O7" s="2444"/>
      <c r="P7" s="2433"/>
      <c r="Q7" s="2433"/>
      <c r="R7" s="2433"/>
    </row>
    <row r="8" spans="1:30">
      <c r="A8" s="2382" t="s">
        <v>2176</v>
      </c>
      <c r="B8" s="2383" t="s">
        <v>3377</v>
      </c>
      <c r="C8" s="2384"/>
      <c r="D8" s="3536" t="s">
        <v>2177</v>
      </c>
      <c r="E8" s="2385" t="s">
        <v>3376</v>
      </c>
      <c r="F8" s="2386"/>
      <c r="G8" s="2657"/>
      <c r="H8" s="2657"/>
      <c r="I8" s="2657"/>
      <c r="J8" s="2433"/>
      <c r="K8" s="2608"/>
      <c r="L8" s="2607"/>
      <c r="M8" s="2607"/>
      <c r="N8" s="2433"/>
      <c r="O8" s="2444"/>
      <c r="P8" s="2433"/>
      <c r="Q8" s="2433"/>
      <c r="R8" s="2433"/>
    </row>
    <row r="9" spans="1:30" ht="13.5" thickBot="1">
      <c r="A9" s="2387" t="s">
        <v>2178</v>
      </c>
      <c r="B9" s="2388" t="s">
        <v>3376</v>
      </c>
      <c r="C9" s="2389"/>
      <c r="D9" s="3537"/>
      <c r="E9" s="2388" t="s">
        <v>43</v>
      </c>
      <c r="F9" s="2390"/>
      <c r="G9" s="2659"/>
      <c r="H9" s="2659"/>
      <c r="I9" s="2659"/>
      <c r="J9" s="2433"/>
      <c r="K9" s="2610"/>
      <c r="L9" s="2607"/>
      <c r="M9" s="2607"/>
      <c r="N9" s="2433"/>
      <c r="O9" s="2444"/>
      <c r="P9" s="2433"/>
      <c r="Q9" s="2433"/>
      <c r="R9" s="2433"/>
    </row>
    <row r="10" spans="1:30" ht="13.5" thickTop="1">
      <c r="A10" s="2391" t="s">
        <v>2179</v>
      </c>
      <c r="B10" s="2392" t="s">
        <v>3378</v>
      </c>
      <c r="C10" s="2393"/>
      <c r="D10" s="2376"/>
      <c r="E10" s="2394" t="s">
        <v>2180</v>
      </c>
      <c r="F10" s="2660"/>
      <c r="G10" s="2661"/>
      <c r="H10" s="2662"/>
      <c r="I10" s="2663"/>
      <c r="J10" s="2433"/>
      <c r="K10" s="2610"/>
      <c r="L10" s="2607"/>
      <c r="M10" s="2607"/>
      <c r="N10" s="2433"/>
      <c r="O10" s="2444"/>
      <c r="P10" s="2433"/>
      <c r="Q10" s="2433"/>
      <c r="R10" s="2433"/>
    </row>
    <row r="11" spans="1:30">
      <c r="A11" s="2395" t="s">
        <v>2181</v>
      </c>
      <c r="B11" s="2396" t="s">
        <v>3379</v>
      </c>
      <c r="C11" s="2397"/>
      <c r="D11" s="2398"/>
      <c r="E11" s="2364"/>
      <c r="F11" s="2364"/>
      <c r="G11" s="2364"/>
      <c r="H11" s="2364"/>
      <c r="I11" s="2364"/>
      <c r="J11" s="3055"/>
      <c r="K11" s="3054"/>
      <c r="L11" s="2607"/>
      <c r="M11" s="2607"/>
      <c r="N11" s="2433"/>
      <c r="O11" s="2444"/>
      <c r="P11" s="2433"/>
      <c r="Q11" s="2433"/>
      <c r="R11" s="2433"/>
    </row>
    <row r="12" spans="1:30">
      <c r="A12" s="2399" t="s">
        <v>2182</v>
      </c>
      <c r="B12" s="320" t="s">
        <v>2183</v>
      </c>
      <c r="C12" s="2400" t="s">
        <v>2184</v>
      </c>
      <c r="D12" s="2400" t="s">
        <v>2185</v>
      </c>
      <c r="E12" s="2400" t="s">
        <v>2186</v>
      </c>
      <c r="F12" s="2400" t="s">
        <v>2187</v>
      </c>
      <c r="G12" s="2400" t="s">
        <v>2188</v>
      </c>
      <c r="H12" s="2400" t="s">
        <v>2189</v>
      </c>
      <c r="I12" s="3053" t="s">
        <v>2569</v>
      </c>
      <c r="J12" s="3056"/>
      <c r="K12" s="2607"/>
      <c r="L12" s="2607"/>
      <c r="M12" s="2433"/>
      <c r="N12" s="2444"/>
      <c r="O12" s="2433"/>
      <c r="P12" s="2433"/>
      <c r="Q12" s="2433"/>
      <c r="AD12" s="1739"/>
    </row>
    <row r="13" spans="1:30">
      <c r="A13" s="3417" t="s">
        <v>3325</v>
      </c>
      <c r="B13" s="2401" t="s">
        <v>2190</v>
      </c>
      <c r="C13" s="850"/>
      <c r="D13" s="850"/>
      <c r="E13" s="850"/>
      <c r="F13" s="850"/>
      <c r="G13" s="850"/>
      <c r="H13" s="850">
        <v>55211</v>
      </c>
      <c r="I13" s="850"/>
      <c r="J13" s="3056"/>
      <c r="K13" s="2607"/>
      <c r="L13" s="2607"/>
      <c r="M13" s="2433"/>
      <c r="N13" s="2444"/>
      <c r="O13" s="2433"/>
      <c r="P13" s="2433"/>
      <c r="Q13" s="2433"/>
      <c r="AD13" s="1739"/>
    </row>
    <row r="14" spans="1:30">
      <c r="A14" s="1075"/>
      <c r="B14" s="2401" t="s">
        <v>2191</v>
      </c>
      <c r="C14" s="2402"/>
      <c r="D14" s="2402"/>
      <c r="E14" s="2402"/>
      <c r="F14" s="2402"/>
      <c r="G14" s="2402"/>
      <c r="H14" s="2402">
        <v>50</v>
      </c>
      <c r="I14" s="2402"/>
      <c r="J14" s="3057"/>
      <c r="K14" s="2607"/>
      <c r="L14" s="2607"/>
      <c r="M14" s="2433"/>
      <c r="N14" s="2444"/>
      <c r="O14" s="2433"/>
      <c r="P14" s="2433"/>
      <c r="Q14" s="2433"/>
      <c r="AD14" s="1739"/>
    </row>
    <row r="15" spans="1:30">
      <c r="A15" s="317"/>
      <c r="B15" s="2403" t="s">
        <v>2192</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26.49</v>
      </c>
      <c r="I15" s="2404" t="str">
        <f>IF(A13="出让",IF(I13="","",ROUNDDOWN(MIN((I13-$D$3)/365,I14),2)),I14)</f>
        <v/>
      </c>
      <c r="J15" s="3058"/>
      <c r="K15" s="2445"/>
      <c r="L15" s="2445"/>
      <c r="M15" s="2503"/>
      <c r="N15" s="2445"/>
      <c r="O15" s="2503"/>
      <c r="P15" s="2433"/>
      <c r="Q15" s="2433"/>
      <c r="AD15" s="1739"/>
    </row>
    <row r="16" spans="1:30">
      <c r="A16" s="2394" t="s">
        <v>2193</v>
      </c>
      <c r="B16" s="3543"/>
      <c r="C16" s="3544"/>
      <c r="D16" s="3545"/>
      <c r="E16" s="2407" t="s">
        <v>2194</v>
      </c>
      <c r="F16" s="3546"/>
      <c r="G16" s="3547"/>
      <c r="H16" s="3547"/>
      <c r="I16" s="3548"/>
      <c r="J16" s="2433"/>
      <c r="K16" s="2611"/>
      <c r="L16" s="2445"/>
      <c r="M16" s="2445"/>
      <c r="N16" s="2503"/>
      <c r="O16" s="2445"/>
      <c r="P16" s="2503"/>
      <c r="Q16" s="2433"/>
      <c r="R16" s="2433"/>
    </row>
    <row r="17" spans="1:28">
      <c r="A17" s="310" t="s">
        <v>2195</v>
      </c>
      <c r="B17" s="299" t="s">
        <v>2196</v>
      </c>
      <c r="C17" s="8">
        <f>'数据-汇总表'!E3</f>
        <v>17747.629999999997</v>
      </c>
      <c r="D17" s="2316" t="s">
        <v>2197</v>
      </c>
      <c r="E17" s="3549" t="s">
        <v>2198</v>
      </c>
      <c r="F17" s="3550"/>
      <c r="G17" s="3550"/>
      <c r="H17" s="3550"/>
      <c r="I17" s="3551"/>
      <c r="J17" s="2433"/>
      <c r="K17" s="2612"/>
      <c r="L17" s="2445"/>
      <c r="M17" s="2445"/>
      <c r="N17" s="2503"/>
      <c r="O17" s="2445"/>
      <c r="P17" s="2503"/>
      <c r="Q17" s="2433"/>
      <c r="R17" s="2433"/>
      <c r="S17" s="2433"/>
      <c r="T17" s="2433"/>
      <c r="U17" s="2433"/>
      <c r="V17" s="2433"/>
    </row>
    <row r="18" spans="1:28" ht="24.75" thickBot="1">
      <c r="A18" s="2408" t="s">
        <v>2199</v>
      </c>
      <c r="B18" s="1084" t="s">
        <v>2200</v>
      </c>
      <c r="C18" s="2409">
        <f>'数据-汇总表'!D3</f>
        <v>15255.5</v>
      </c>
      <c r="D18" s="1086" t="s">
        <v>2201</v>
      </c>
      <c r="E18" s="3552" t="s">
        <v>2202</v>
      </c>
      <c r="F18" s="3553"/>
      <c r="G18" s="3553"/>
      <c r="H18" s="3553"/>
      <c r="I18" s="3554"/>
      <c r="J18" s="2433"/>
      <c r="K18" s="2612"/>
      <c r="L18" s="2445"/>
      <c r="M18" s="2445"/>
      <c r="N18" s="2503"/>
      <c r="O18" s="2445"/>
      <c r="P18" s="2503"/>
      <c r="Q18" s="2433"/>
      <c r="R18" s="2433"/>
      <c r="S18" s="2433"/>
      <c r="T18" s="2433"/>
      <c r="U18" s="2433"/>
      <c r="V18" s="2433"/>
    </row>
    <row r="19" spans="1:28" ht="37.5" thickTop="1" thickBot="1">
      <c r="A19" s="324" t="s">
        <v>1055</v>
      </c>
      <c r="B19" s="304" t="s">
        <v>2203</v>
      </c>
      <c r="C19" s="1557"/>
      <c r="D19" s="1558" t="s">
        <v>2204</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2205</v>
      </c>
      <c r="B20" s="3539" t="s">
        <v>2206</v>
      </c>
      <c r="C20" s="3540"/>
      <c r="D20" s="3541" t="s">
        <v>2207</v>
      </c>
      <c r="E20" s="3542"/>
      <c r="F20" s="2641" t="s">
        <v>1056</v>
      </c>
      <c r="G20" s="2658"/>
      <c r="H20" s="2658"/>
      <c r="I20" s="2658"/>
      <c r="J20" s="2433"/>
      <c r="K20" s="3538" t="s">
        <v>2208</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2209</v>
      </c>
      <c r="C21" s="2628" t="s">
        <v>1057</v>
      </c>
      <c r="D21" s="1562" t="s">
        <v>2210</v>
      </c>
      <c r="E21" s="2629" t="s">
        <v>1057</v>
      </c>
      <c r="F21" s="2642"/>
      <c r="G21" s="2658"/>
      <c r="H21" s="2658"/>
      <c r="I21" s="2658"/>
      <c r="J21" s="2433"/>
      <c r="K21" s="353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2211</v>
      </c>
      <c r="C22" s="2628" t="s">
        <v>1058</v>
      </c>
      <c r="D22" s="2657"/>
      <c r="E22" s="2657"/>
      <c r="F22" s="2657"/>
      <c r="G22" s="2658"/>
      <c r="H22" s="2658"/>
      <c r="I22" s="2658"/>
      <c r="J22" s="2433"/>
      <c r="K22" s="353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56" t="s">
        <v>2214</v>
      </c>
      <c r="B27" s="317" t="s">
        <v>2215</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56"/>
      <c r="B28" s="299"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56"/>
      <c r="B29" s="299"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57"/>
      <c r="B30" s="299" t="s">
        <v>2218</v>
      </c>
      <c r="C30" s="3558"/>
      <c r="D30" s="3559"/>
      <c r="E30" s="2658"/>
      <c r="F30" s="2658"/>
      <c r="G30" s="2658"/>
      <c r="H30" s="2658"/>
      <c r="I30" s="2658"/>
      <c r="J30" s="2433"/>
      <c r="K30" s="2610"/>
      <c r="L30" s="2607"/>
      <c r="M30" s="2607"/>
      <c r="N30" s="2433"/>
      <c r="O30" s="2444"/>
      <c r="P30" s="2433"/>
      <c r="Q30" s="2433"/>
      <c r="R30" s="2433"/>
      <c r="S30" s="2433"/>
      <c r="T30" s="2433"/>
      <c r="U30" s="2433"/>
      <c r="V30" s="2433"/>
    </row>
    <row r="31" spans="1:28">
      <c r="A31" s="3560" t="s">
        <v>2219</v>
      </c>
      <c r="B31" s="2416"/>
      <c r="C31" s="2317" t="str">
        <f>IF(B31="现房","成新及维护状况正常否",IF(B31="在建","工程状态是否正常",IF(B31="土地","是否闲置","-")))</f>
        <v>-</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61"/>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61"/>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9" t="s">
        <v>2220</v>
      </c>
      <c r="B34" s="2020"/>
      <c r="C34" s="2020"/>
      <c r="D34" s="2020"/>
      <c r="E34" s="2020"/>
      <c r="F34" s="2020"/>
      <c r="G34" s="2020"/>
      <c r="H34" s="2020"/>
      <c r="I34" s="2658"/>
      <c r="J34" s="2433"/>
      <c r="K34" s="2421">
        <f>COUNTIF(B34:H34,"——")</f>
        <v>0</v>
      </c>
      <c r="L34" s="320" t="s">
        <v>2221</v>
      </c>
      <c r="M34" s="320" t="s">
        <v>2222</v>
      </c>
      <c r="N34" s="320" t="s">
        <v>2223</v>
      </c>
      <c r="O34" s="320" t="s">
        <v>2224</v>
      </c>
      <c r="P34" s="320" t="s">
        <v>2225</v>
      </c>
      <c r="Q34" s="320" t="s">
        <v>2226</v>
      </c>
      <c r="R34" s="320" t="s">
        <v>2227</v>
      </c>
      <c r="S34" s="3555" t="s">
        <v>2228</v>
      </c>
      <c r="T34" s="2422" t="str">
        <f>NUMBERSTRING(7-K34,1)&amp;"通"</f>
        <v>七通</v>
      </c>
      <c r="U34" s="2433"/>
      <c r="V34" s="2433"/>
    </row>
    <row r="35" spans="1:30">
      <c r="A35" s="2423"/>
      <c r="B35" s="3562" t="s">
        <v>2229</v>
      </c>
      <c r="C35" s="3562"/>
      <c r="D35" s="3562"/>
      <c r="E35" s="3562"/>
      <c r="F35" s="661">
        <f>C10</f>
        <v>0</v>
      </c>
      <c r="G35" s="2658"/>
      <c r="H35" s="2658"/>
      <c r="I35" s="2658"/>
      <c r="J35" s="2433"/>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55"/>
      <c r="T35" s="326" t="str">
        <f>IF(T34="一通",L35,IF(T34="二通",M35,IF(T34="三通",N35,IF(T34="四通",O35,IF(T34="五通",P35,IF(T34="六通",Q35,R35))))))</f>
        <v>、、、、、、</v>
      </c>
      <c r="U35" s="2433"/>
      <c r="V35" s="2433"/>
    </row>
    <row r="36" spans="1:30">
      <c r="A36" s="2424"/>
      <c r="B36" s="661" t="s">
        <v>2185</v>
      </c>
      <c r="C36" s="661" t="s">
        <v>2186</v>
      </c>
      <c r="D36" s="661" t="s">
        <v>2184</v>
      </c>
      <c r="E36" s="661" t="s">
        <v>2189</v>
      </c>
      <c r="F36" s="3059" t="s">
        <v>2572</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t="s">
        <v>29</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3390</v>
      </c>
      <c r="D38" s="2426"/>
      <c r="E38" s="2426" t="s">
        <v>3391</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2233</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0"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S18"/>
  <sheetViews>
    <sheetView workbookViewId="0">
      <selection activeCell="J8" sqref="J8"/>
    </sheetView>
  </sheetViews>
  <sheetFormatPr defaultRowHeight="13.5"/>
  <cols>
    <col min="1" max="2" width="9" style="3248"/>
    <col min="3" max="3" width="10.5" style="3248" bestFit="1" customWidth="1"/>
    <col min="4" max="11" width="9" style="3248"/>
    <col min="12" max="12" width="9.5" style="3248" bestFit="1" customWidth="1"/>
    <col min="13" max="16" width="9.5" style="3248" customWidth="1"/>
    <col min="17" max="23" width="9" style="3248"/>
    <col min="24" max="24" width="13.5" style="3248" bestFit="1" customWidth="1"/>
    <col min="25" max="16384" width="9" style="3248"/>
  </cols>
  <sheetData>
    <row r="1" spans="2:19">
      <c r="B1" s="3443" t="s">
        <v>3398</v>
      </c>
      <c r="D1" s="3447" t="s">
        <v>3382</v>
      </c>
      <c r="E1" s="3447" t="s">
        <v>3383</v>
      </c>
      <c r="F1" s="3447" t="s">
        <v>3388</v>
      </c>
      <c r="G1" s="3447" t="s">
        <v>3389</v>
      </c>
      <c r="H1" s="3447" t="s">
        <v>3386</v>
      </c>
      <c r="I1" s="3447" t="s">
        <v>3397</v>
      </c>
      <c r="J1" s="3447" t="s">
        <v>3409</v>
      </c>
      <c r="K1" s="3447" t="s">
        <v>3414</v>
      </c>
      <c r="L1" s="3447" t="s">
        <v>3421</v>
      </c>
      <c r="M1" s="3448"/>
      <c r="N1" s="3443"/>
      <c r="O1" s="3443"/>
      <c r="P1" s="3443"/>
      <c r="Q1" s="3443" t="s">
        <v>3419</v>
      </c>
      <c r="R1" s="3443" t="s">
        <v>3420</v>
      </c>
      <c r="S1" s="3443" t="s">
        <v>3418</v>
      </c>
    </row>
    <row r="2" spans="2:19">
      <c r="B2" s="3248">
        <v>10000</v>
      </c>
      <c r="C2" s="3248">
        <f>B2*F2/10000</f>
        <v>2552.4699999999998</v>
      </c>
      <c r="D2" s="3468" t="s">
        <v>3449</v>
      </c>
      <c r="E2" s="3467"/>
      <c r="F2" s="3467">
        <v>2552.4699999999998</v>
      </c>
      <c r="G2" s="3468" t="s">
        <v>3410</v>
      </c>
      <c r="H2" s="3467">
        <v>3</v>
      </c>
      <c r="I2" s="3467">
        <v>2</v>
      </c>
      <c r="J2" s="3467">
        <v>2500</v>
      </c>
      <c r="K2" s="3467">
        <v>2002</v>
      </c>
      <c r="L2" s="3467">
        <f>ROUND(1-(2024-K2)/60,2)</f>
        <v>0.63</v>
      </c>
      <c r="M2" s="3468" t="s">
        <v>3424</v>
      </c>
      <c r="N2" s="3248">
        <f t="shared" ref="N2:N7" si="0">F2*J2</f>
        <v>6381174.9999999991</v>
      </c>
      <c r="O2" s="3248">
        <f>F2*L2</f>
        <v>1608.0560999999998</v>
      </c>
      <c r="P2" s="3248">
        <f t="shared" ref="P2:P7" si="1">F2*I2</f>
        <v>5104.9399999999996</v>
      </c>
      <c r="Q2" s="3248">
        <v>-1</v>
      </c>
      <c r="R2" s="3248">
        <v>921.48</v>
      </c>
      <c r="S2" s="3443">
        <v>611.84</v>
      </c>
    </row>
    <row r="3" spans="2:19">
      <c r="B3" s="3248">
        <v>5000</v>
      </c>
      <c r="C3" s="3248">
        <f t="shared" ref="C3:C6" si="2">B3*F3/10000</f>
        <v>1862.61</v>
      </c>
      <c r="D3" s="3469" t="s">
        <v>3451</v>
      </c>
      <c r="E3" s="3469"/>
      <c r="F3" s="3470">
        <v>3725.22</v>
      </c>
      <c r="G3" s="3469" t="s">
        <v>3411</v>
      </c>
      <c r="H3" s="3470">
        <v>2</v>
      </c>
      <c r="I3" s="3470">
        <v>1.5</v>
      </c>
      <c r="J3" s="3470">
        <v>2000</v>
      </c>
      <c r="K3" s="3470">
        <v>2002</v>
      </c>
      <c r="L3" s="3470">
        <f>ROUND(1-(2024-K3)/50,2)</f>
        <v>0.56000000000000005</v>
      </c>
      <c r="M3" s="3469" t="s">
        <v>3423</v>
      </c>
      <c r="N3" s="3248">
        <f t="shared" si="0"/>
        <v>7450440</v>
      </c>
      <c r="O3" s="3248">
        <f t="shared" ref="O3:O7" si="3">F3*L3</f>
        <v>2086.1232</v>
      </c>
      <c r="P3" s="3248">
        <f t="shared" si="1"/>
        <v>5587.83</v>
      </c>
      <c r="Q3" s="3248">
        <v>1</v>
      </c>
      <c r="R3" s="3248">
        <v>1011.36</v>
      </c>
    </row>
    <row r="4" spans="2:19">
      <c r="C4" s="3248">
        <f t="shared" si="2"/>
        <v>0</v>
      </c>
      <c r="D4" s="3565" t="s">
        <v>3452</v>
      </c>
      <c r="E4" s="3473" t="s">
        <v>3380</v>
      </c>
      <c r="F4" s="3474">
        <v>96.57</v>
      </c>
      <c r="G4" s="3473" t="s">
        <v>3381</v>
      </c>
      <c r="H4" s="3474"/>
      <c r="I4" s="3474"/>
      <c r="J4" s="3474">
        <v>2500</v>
      </c>
      <c r="K4" s="3563">
        <v>2004</v>
      </c>
      <c r="L4" s="3474">
        <f>ROUND(1-(2024-K4)/60,2)</f>
        <v>0.67</v>
      </c>
      <c r="M4" s="3563" t="s">
        <v>3422</v>
      </c>
      <c r="N4" s="3248">
        <f t="shared" si="0"/>
        <v>241424.99999999997</v>
      </c>
      <c r="O4" s="3248">
        <f t="shared" si="3"/>
        <v>64.701899999999995</v>
      </c>
      <c r="P4" s="3248">
        <f t="shared" si="1"/>
        <v>0</v>
      </c>
      <c r="Q4" s="3248">
        <v>2</v>
      </c>
      <c r="R4" s="3248">
        <v>896.26</v>
      </c>
    </row>
    <row r="5" spans="2:19">
      <c r="B5" s="3248">
        <f>B2</f>
        <v>10000</v>
      </c>
      <c r="C5" s="3248">
        <f t="shared" si="2"/>
        <v>4151.04</v>
      </c>
      <c r="D5" s="3566"/>
      <c r="E5" s="3474"/>
      <c r="F5" s="3474">
        <v>4151.04</v>
      </c>
      <c r="G5" s="3473" t="s">
        <v>3384</v>
      </c>
      <c r="H5" s="3475" t="s">
        <v>3392</v>
      </c>
      <c r="I5" s="3474">
        <v>2</v>
      </c>
      <c r="J5" s="3474">
        <v>2500</v>
      </c>
      <c r="K5" s="3563"/>
      <c r="L5" s="3474">
        <f>ROUND(1-(2024-K4)/60,2)</f>
        <v>0.67</v>
      </c>
      <c r="M5" s="3563"/>
      <c r="N5" s="3248">
        <f t="shared" si="0"/>
        <v>10377600</v>
      </c>
      <c r="O5" s="3248">
        <f t="shared" si="3"/>
        <v>2781.1968000000002</v>
      </c>
      <c r="P5" s="3248">
        <f t="shared" si="1"/>
        <v>8302.08</v>
      </c>
      <c r="Q5" s="3248">
        <v>3</v>
      </c>
      <c r="R5" s="3248">
        <v>1028.67</v>
      </c>
    </row>
    <row r="6" spans="2:19">
      <c r="B6" s="3248">
        <v>15000</v>
      </c>
      <c r="C6" s="3248">
        <f t="shared" si="2"/>
        <v>10369.035</v>
      </c>
      <c r="D6" s="3567" t="s">
        <v>3454</v>
      </c>
      <c r="E6" s="3471" t="s">
        <v>3415</v>
      </c>
      <c r="F6" s="3472">
        <f>SUM(R3:R10)</f>
        <v>6912.69</v>
      </c>
      <c r="G6" s="3567" t="s">
        <v>3385</v>
      </c>
      <c r="H6" s="3570" t="s">
        <v>3387</v>
      </c>
      <c r="I6" s="3472">
        <v>2.5</v>
      </c>
      <c r="J6" s="3472">
        <v>4000</v>
      </c>
      <c r="K6" s="3564">
        <v>2013</v>
      </c>
      <c r="L6" s="3472">
        <f>ROUND(1-(2024-K6)/60,2)</f>
        <v>0.82</v>
      </c>
      <c r="M6" s="3564" t="s">
        <v>3422</v>
      </c>
      <c r="N6" s="3248">
        <f t="shared" si="0"/>
        <v>27650760</v>
      </c>
      <c r="O6" s="3248">
        <f t="shared" si="3"/>
        <v>5668.4057999999995</v>
      </c>
      <c r="P6" s="3248">
        <f t="shared" ref="P6" si="4">F6*I6</f>
        <v>17281.724999999999</v>
      </c>
      <c r="Q6" s="3248">
        <v>4</v>
      </c>
      <c r="R6" s="3248">
        <v>945.42</v>
      </c>
    </row>
    <row r="7" spans="2:19">
      <c r="D7" s="3568"/>
      <c r="E7" s="3471" t="s">
        <v>3417</v>
      </c>
      <c r="F7" s="3472">
        <f>R2-S2</f>
        <v>309.64</v>
      </c>
      <c r="G7" s="3569"/>
      <c r="H7" s="3571"/>
      <c r="I7" s="3472"/>
      <c r="J7" s="3472">
        <v>4000</v>
      </c>
      <c r="K7" s="3564"/>
      <c r="L7" s="3472">
        <f>ROUND(1-(2024-K6)/60,2)</f>
        <v>0.82</v>
      </c>
      <c r="M7" s="3564"/>
      <c r="N7" s="3248">
        <f t="shared" si="0"/>
        <v>1238560</v>
      </c>
      <c r="O7" s="3248">
        <f t="shared" si="3"/>
        <v>253.90479999999997</v>
      </c>
      <c r="P7" s="3248">
        <f t="shared" si="1"/>
        <v>0</v>
      </c>
      <c r="Q7" s="3248">
        <v>5</v>
      </c>
      <c r="R7" s="3248">
        <v>945.42</v>
      </c>
    </row>
    <row r="8" spans="2:19">
      <c r="B8" s="3248">
        <f>C8/F8</f>
        <v>1.0669117510338002</v>
      </c>
      <c r="C8" s="3248">
        <f>SUM(C2:C6)</f>
        <v>18935.154999999999</v>
      </c>
      <c r="D8" s="3484" t="s">
        <v>3448</v>
      </c>
      <c r="E8" s="3485"/>
      <c r="F8" s="3485">
        <f>SUM(F2:F7)</f>
        <v>17747.629999999997</v>
      </c>
      <c r="G8" s="3485"/>
      <c r="H8" s="3485"/>
      <c r="I8" s="3485">
        <f>ROUND(P8/F8,1)</f>
        <v>2</v>
      </c>
      <c r="J8" s="3485">
        <f>ROUND(N8/F8,0)</f>
        <v>3005</v>
      </c>
      <c r="K8" s="3485"/>
      <c r="L8" s="3485">
        <f>ROUND(O8/F8,2)</f>
        <v>0.7</v>
      </c>
      <c r="M8" s="3485"/>
      <c r="N8" s="3248">
        <f>SUM(N2:N7)</f>
        <v>53339960</v>
      </c>
      <c r="O8" s="3248">
        <f>SUM(O2:O7)</f>
        <v>12462.388599999998</v>
      </c>
      <c r="P8" s="3248">
        <f>SUM(P2:P7)</f>
        <v>36276.574999999997</v>
      </c>
      <c r="Q8" s="3248">
        <v>6</v>
      </c>
      <c r="R8" s="3248">
        <v>945.42</v>
      </c>
    </row>
    <row r="9" spans="2:19">
      <c r="Q9" s="3248">
        <v>7</v>
      </c>
      <c r="R9" s="3248">
        <v>1000.45</v>
      </c>
    </row>
    <row r="10" spans="2:19">
      <c r="Q10" s="3443" t="s">
        <v>3416</v>
      </c>
      <c r="R10" s="3248">
        <v>139.69</v>
      </c>
    </row>
    <row r="11" spans="2:19">
      <c r="R11" s="3248">
        <f>SUM(R2:R10)</f>
        <v>7834.17</v>
      </c>
    </row>
    <row r="15" spans="2:19">
      <c r="M15" s="3443" t="s">
        <v>3480</v>
      </c>
      <c r="N15" s="3443" t="s">
        <v>3481</v>
      </c>
    </row>
    <row r="16" spans="2:19">
      <c r="M16" s="3443" t="s">
        <v>3482</v>
      </c>
      <c r="N16" s="3443" t="s">
        <v>3483</v>
      </c>
    </row>
    <row r="17" spans="14:14">
      <c r="N17" s="3443" t="s">
        <v>3484</v>
      </c>
    </row>
    <row r="18" spans="14:14">
      <c r="N18" s="3443" t="s">
        <v>3485</v>
      </c>
    </row>
  </sheetData>
  <mergeCells count="8">
    <mergeCell ref="M4:M5"/>
    <mergeCell ref="M6:M7"/>
    <mergeCell ref="D4:D5"/>
    <mergeCell ref="K4:K5"/>
    <mergeCell ref="D6:D7"/>
    <mergeCell ref="G6:G7"/>
    <mergeCell ref="H6:H7"/>
    <mergeCell ref="K6:K7"/>
  </mergeCells>
  <phoneticPr fontId="1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2" width="9.5" style="1567" customWidth="1"/>
    <col min="13" max="14" width="9.5" style="1567" hidden="1"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v>15255.5</v>
      </c>
      <c r="B3" s="11">
        <f>IF(C3="否",G5-AT5,G5)</f>
        <v>17747.629999999997</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17747.629999999997</v>
      </c>
      <c r="H5" s="13">
        <f t="shared" ref="H5:AT5" si="0">SUM(H13:H656)</f>
        <v>17747.629999999997</v>
      </c>
      <c r="I5" s="13">
        <f t="shared" si="0"/>
        <v>17437.989999999998</v>
      </c>
      <c r="J5" s="13">
        <f t="shared" si="0"/>
        <v>0</v>
      </c>
      <c r="K5" s="13">
        <f t="shared" si="0"/>
        <v>309.64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17747.629999999997</v>
      </c>
      <c r="BA5" s="15">
        <f t="shared" si="1"/>
        <v>17747.629999999997</v>
      </c>
      <c r="BB5" s="15">
        <f t="shared" si="1"/>
        <v>17437.989999999998</v>
      </c>
      <c r="BC5" s="15">
        <f t="shared" si="1"/>
        <v>309.64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15255.5</v>
      </c>
      <c r="F6" s="13" t="s">
        <v>0</v>
      </c>
      <c r="G6" s="13" t="s">
        <v>1</v>
      </c>
      <c r="H6" s="17">
        <f>SUMIF(I$12:AB$12,"总值",I6:AB6)</f>
        <v>15255.5</v>
      </c>
      <c r="I6" s="13">
        <f t="shared" ref="I6:AB6" si="2">ROUND($A$3*I5/$B$3,2)</f>
        <v>14989.34</v>
      </c>
      <c r="J6" s="13">
        <f t="shared" si="2"/>
        <v>0</v>
      </c>
      <c r="K6" s="13">
        <f t="shared" si="2"/>
        <v>266.16000000000003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15255.5</v>
      </c>
      <c r="AZ6" s="13" t="s">
        <v>2</v>
      </c>
      <c r="BA6" s="13">
        <f>ROUND($AY$6*BA5/$AZ$5,2)</f>
        <v>15255.5</v>
      </c>
      <c r="BB6" s="13">
        <f>ROUND($AY$6*BB5/$AZ$5,2)</f>
        <v>14989.34</v>
      </c>
      <c r="BC6" s="13">
        <f t="shared" ref="BC6:BH6" si="4">ROUND($AY$6*BC5/$AZ$5,2)</f>
        <v>266.16000000000003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3393</v>
      </c>
      <c r="J9" s="803"/>
      <c r="K9" s="1597" t="s">
        <v>3394</v>
      </c>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t="str">
        <f>K9</f>
        <v>地下</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f>I10</f>
        <v>0</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3444" t="str">
        <f>Sheet1!D2</f>
        <v>1号楼</v>
      </c>
      <c r="D13" s="1619" t="s">
        <v>3395</v>
      </c>
      <c r="E13" s="13">
        <f>IF($C$3="是",ROUND($A$3*G13/$B$3,2),ROUND($A$3*(G13-AT13)/$B$3,2))</f>
        <v>2194.0500000000002</v>
      </c>
      <c r="F13" s="29"/>
      <c r="G13" s="30">
        <f>H13+AC13+AT13</f>
        <v>2552.4699999999998</v>
      </c>
      <c r="H13" s="17">
        <f>SUMIF(I$12:AB$12,"总值",I13:AB13)</f>
        <v>2552.4699999999998</v>
      </c>
      <c r="I13" s="1620">
        <f>Sheet1!F2</f>
        <v>2552.4699999999998</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t="str">
        <f t="shared" si="6"/>
        <v>1号楼</v>
      </c>
      <c r="AY13" s="1343">
        <f>ROUND($AY$6*AZ13/$AZ$5,2)</f>
        <v>2194.0500000000002</v>
      </c>
      <c r="AZ13" s="13">
        <f>BA13+BL13</f>
        <v>2552.4699999999998</v>
      </c>
      <c r="BA13" s="13">
        <f>SUM(BB13:BK13)</f>
        <v>2552.4699999999998</v>
      </c>
      <c r="BB13" s="13">
        <f>IF($D13="是",I13-J13,0)</f>
        <v>2552.4699999999998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3444" t="str">
        <f>Sheet1!D3</f>
        <v>2号楼</v>
      </c>
      <c r="D14" s="1619" t="s">
        <v>3395</v>
      </c>
      <c r="E14" s="13">
        <f>IF($C$3="是",ROUND($A$3*G14/$B$3,2),ROUND($A$3*(G14-AT14)/$B$3,2))</f>
        <v>3202.12</v>
      </c>
      <c r="F14" s="29"/>
      <c r="G14" s="30">
        <f>H14+AC14+AT14</f>
        <v>3725.22</v>
      </c>
      <c r="H14" s="17">
        <f>SUMIF(I$12:AB$12,"总值",I14:AB14)</f>
        <v>3725.22</v>
      </c>
      <c r="I14" s="1620">
        <f>Sheet1!F3</f>
        <v>3725.22</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t="str">
        <f t="shared" si="6"/>
        <v>2号楼</v>
      </c>
      <c r="AY14" s="1343">
        <f>ROUND($AY$6*AZ14/$AZ$5,2)</f>
        <v>3202.12</v>
      </c>
      <c r="AZ14" s="13">
        <f>BA14+BL14</f>
        <v>3725.22</v>
      </c>
      <c r="BA14" s="13">
        <f>SUM(BB14:BK14)</f>
        <v>3725.22</v>
      </c>
      <c r="BB14" s="13">
        <f>IF($D14="是",I14-J14,0)</f>
        <v>3725.22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3444" t="str">
        <f>Sheet1!D4</f>
        <v>3号楼</v>
      </c>
      <c r="D15" s="1619" t="s">
        <v>3395</v>
      </c>
      <c r="E15" s="13">
        <f>IF($C$3="是",ROUND($A$3*G15/$B$3,2),ROUND($A$3*(G15-AT15)/$B$3,2))</f>
        <v>3651.16</v>
      </c>
      <c r="F15" s="29"/>
      <c r="G15" s="30">
        <f>H15+AC15+AT15</f>
        <v>4247.6099999999997</v>
      </c>
      <c r="H15" s="17">
        <f>SUMIF(I$12:AB$12,"总值",I15:AB15)</f>
        <v>4247.6099999999997</v>
      </c>
      <c r="I15" s="1620">
        <f>Sheet1!F4+Sheet1!F5</f>
        <v>4247.6099999999997</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t="str">
        <f t="shared" si="6"/>
        <v>3号楼</v>
      </c>
      <c r="AY15" s="1343">
        <f>ROUND($AY$6*AZ15/$AZ$5,2)</f>
        <v>3651.16</v>
      </c>
      <c r="AZ15" s="13">
        <f>BA15+BL15</f>
        <v>4247.6099999999997</v>
      </c>
      <c r="BA15" s="13">
        <f>SUM(BB15:BK15)</f>
        <v>4247.6099999999997</v>
      </c>
      <c r="BB15" s="13">
        <f>IF($D15="是",I15-J15,0)</f>
        <v>4247.6099999999997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3444" t="str">
        <f>Sheet1!D6</f>
        <v>4号楼</v>
      </c>
      <c r="D16" s="1619" t="s">
        <v>3395</v>
      </c>
      <c r="E16" s="13">
        <f>IF($C$3="是",ROUND($A$3*G16/$B$3,2),ROUND($A$3*(G16-AT16)/$B$3,2))</f>
        <v>6208.17</v>
      </c>
      <c r="F16" s="29"/>
      <c r="G16" s="30">
        <f>H16+AC16+AT16</f>
        <v>7222.33</v>
      </c>
      <c r="H16" s="17">
        <f>SUMIF(I$12:AB$12,"总值",I16:AB16)</f>
        <v>7222.33</v>
      </c>
      <c r="I16" s="1620">
        <f>Sheet1!F6</f>
        <v>6912.69</v>
      </c>
      <c r="J16" s="1620"/>
      <c r="K16" s="1620">
        <f>Sheet1!F7</f>
        <v>309.64</v>
      </c>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t="str">
        <f t="shared" si="6"/>
        <v>4号楼</v>
      </c>
      <c r="AY16" s="1343">
        <f>ROUND($AY$6*AZ16/$AZ$5,2)</f>
        <v>6208.17</v>
      </c>
      <c r="AZ16" s="13">
        <f>BA16+BL16</f>
        <v>7222.33</v>
      </c>
      <c r="BA16" s="13">
        <f>SUM(BB16:BK16)</f>
        <v>7222.33</v>
      </c>
      <c r="BB16" s="13">
        <f>IF($D16="是",I16-J16,0)</f>
        <v>6912.69</v>
      </c>
      <c r="BC16" s="13">
        <f>IF($D16="是",K16-L16,0)</f>
        <v>309.64</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3445"/>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81" t="s">
        <v>1131</v>
      </c>
      <c r="B2" s="3581"/>
      <c r="C2" s="3581"/>
      <c r="D2" s="790" t="s">
        <v>1107</v>
      </c>
      <c r="E2" s="1633" t="s">
        <v>1108</v>
      </c>
      <c r="F2" s="2653"/>
      <c r="G2" s="2644"/>
      <c r="H2" s="2645"/>
      <c r="I2" s="2319" t="s">
        <v>1132</v>
      </c>
      <c r="J2" s="2653"/>
      <c r="K2" s="2653"/>
      <c r="L2" s="2653"/>
      <c r="M2" s="2653"/>
      <c r="N2" s="2655"/>
      <c r="O2" s="2653"/>
      <c r="P2" s="2653"/>
    </row>
    <row r="3" spans="1:16" ht="15.75" thickBot="1">
      <c r="A3" s="3582" t="s">
        <v>1105</v>
      </c>
      <c r="B3" s="3582"/>
      <c r="C3" s="3582"/>
      <c r="D3" s="43">
        <f>'数据-基础表'!AY6</f>
        <v>15255.5</v>
      </c>
      <c r="E3" s="43">
        <f>'数据-基础表'!AZ5</f>
        <v>17747.629999999997</v>
      </c>
      <c r="F3" s="2653"/>
      <c r="G3" s="1139"/>
      <c r="H3" s="1020" t="s">
        <v>1106</v>
      </c>
      <c r="I3" s="849">
        <f>ROUND('数据-基础表'!B3/'数据-基础表'!A3,2)</f>
        <v>1.1599999999999999</v>
      </c>
      <c r="J3" s="2653"/>
      <c r="K3" s="2653"/>
      <c r="L3" s="2653"/>
      <c r="M3" s="2653"/>
      <c r="N3" s="2655"/>
      <c r="O3" s="2653"/>
      <c r="P3" s="2653"/>
    </row>
    <row r="4" spans="1:16" ht="15">
      <c r="A4" s="3583"/>
      <c r="B4" s="3584"/>
      <c r="C4" s="3585"/>
      <c r="D4" s="1635" t="s">
        <v>1107</v>
      </c>
      <c r="E4" s="1636" t="s">
        <v>1108</v>
      </c>
      <c r="F4" s="2653"/>
      <c r="G4" s="2646" t="s">
        <v>1133</v>
      </c>
      <c r="H4" s="1020" t="s">
        <v>1113</v>
      </c>
      <c r="I4" s="849">
        <f>ROUND(SUMIF('数据-基础表'!I9:AS9,"地上",'数据-基础表'!I5:AS5)/'数据-基础表'!A3,2)</f>
        <v>1.1399999999999999</v>
      </c>
      <c r="J4" s="2653"/>
      <c r="K4" s="2653"/>
      <c r="L4" s="2653"/>
      <c r="M4" s="2653"/>
      <c r="N4" s="2655"/>
      <c r="O4" s="2653"/>
      <c r="P4" s="2653"/>
    </row>
    <row r="5" spans="1:16">
      <c r="A5" s="44" t="s">
        <v>1109</v>
      </c>
      <c r="B5" s="3586" t="s">
        <v>1110</v>
      </c>
      <c r="C5" s="3586"/>
      <c r="D5" s="45">
        <f>ROUND($D$3*E5/$E$3,2)</f>
        <v>0</v>
      </c>
      <c r="E5" s="46">
        <f>SUMIF('数据-基础表'!$11:$11,"住宅",'数据-基础表'!$5:$5)</f>
        <v>0</v>
      </c>
      <c r="F5" s="2653"/>
      <c r="G5" s="1139"/>
      <c r="H5" s="1020" t="s">
        <v>1106</v>
      </c>
      <c r="I5" s="849">
        <f>ROUND(E31/D31,2)</f>
        <v>1.1599999999999999</v>
      </c>
      <c r="J5" s="2653"/>
      <c r="K5" s="2653"/>
      <c r="L5" s="2653"/>
      <c r="M5" s="2653"/>
      <c r="N5" s="2653"/>
      <c r="O5" s="2653"/>
      <c r="P5" s="2653"/>
    </row>
    <row r="6" spans="1:16" ht="15" thickBot="1">
      <c r="A6" s="1638"/>
      <c r="B6" s="3586" t="s">
        <v>1111</v>
      </c>
      <c r="C6" s="3586"/>
      <c r="D6" s="45">
        <f>ROUND($D$3*E6/$E$3,2)</f>
        <v>15255.5</v>
      </c>
      <c r="E6" s="46">
        <f>E3-E5</f>
        <v>17747.629999999997</v>
      </c>
      <c r="F6" s="2653"/>
      <c r="G6" s="2647" t="s">
        <v>1112</v>
      </c>
      <c r="H6" s="1140" t="s">
        <v>1113</v>
      </c>
      <c r="I6" s="2648">
        <f>ROUND(F31/D31,2)</f>
        <v>1.1399999999999999</v>
      </c>
      <c r="J6" s="2653"/>
      <c r="K6" s="2653"/>
      <c r="L6" s="2653"/>
      <c r="M6" s="2653"/>
      <c r="N6" s="2653"/>
      <c r="O6" s="2653"/>
      <c r="P6" s="2653"/>
    </row>
    <row r="7" spans="1:16" ht="15.75" thickBot="1">
      <c r="A7" s="3578"/>
      <c r="B7" s="3579"/>
      <c r="C7" s="3580"/>
      <c r="D7" s="1635" t="s">
        <v>1107</v>
      </c>
      <c r="E7" s="1639"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14989.34</v>
      </c>
      <c r="E8" s="48">
        <f>SUMIF('数据-基础表'!BB10:BK10,"地上",'数据-基础表'!BB5:BK5)</f>
        <v>17437.989999999998</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14989.34</v>
      </c>
      <c r="E16" s="50">
        <f>SUM(E8:E15)</f>
        <v>17437.989999999998</v>
      </c>
      <c r="F16" s="2653"/>
      <c r="G16" s="2654"/>
      <c r="H16" s="1642" t="s">
        <v>1135</v>
      </c>
      <c r="I16" s="1643"/>
      <c r="J16" s="1133"/>
      <c r="K16" s="3575" t="s">
        <v>1135</v>
      </c>
      <c r="L16" s="3576"/>
      <c r="M16" s="3576"/>
      <c r="N16" s="3576"/>
      <c r="O16" s="3576"/>
      <c r="P16" s="3577"/>
    </row>
    <row r="17" spans="1:19" ht="15">
      <c r="A17" s="1644" t="s">
        <v>1136</v>
      </c>
      <c r="B17" s="1645" t="s">
        <v>1137</v>
      </c>
      <c r="C17" s="1646" t="s">
        <v>1138</v>
      </c>
      <c r="D17" s="1647" t="s">
        <v>1126</v>
      </c>
      <c r="E17" s="1648" t="s">
        <v>1127</v>
      </c>
      <c r="F17" s="1649"/>
      <c r="G17" s="1650"/>
      <c r="H17" s="1651" t="s">
        <v>1139</v>
      </c>
      <c r="I17" s="1652" t="s">
        <v>1124</v>
      </c>
      <c r="J17" s="1133"/>
      <c r="K17" s="3572" t="s">
        <v>1140</v>
      </c>
      <c r="L17" s="3573"/>
      <c r="M17" s="3574"/>
      <c r="N17" s="3572" t="s">
        <v>1141</v>
      </c>
      <c r="O17" s="3573"/>
      <c r="P17" s="3574"/>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3486</v>
      </c>
      <c r="D19" s="45">
        <f>ROUND($D$3*E19/$E$3,2)</f>
        <v>15255.5</v>
      </c>
      <c r="E19" s="53">
        <f t="shared" ref="E19:E26" si="1">SUM(F19:G19)</f>
        <v>17747.629999999997</v>
      </c>
      <c r="F19" s="2789">
        <f>'数据-基础表'!I5</f>
        <v>17437.989999999998</v>
      </c>
      <c r="G19" s="2790">
        <f>'数据-基础表'!K5</f>
        <v>309.64</v>
      </c>
      <c r="H19" s="667">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15255.5</v>
      </c>
      <c r="S19" s="1021">
        <f t="shared" si="5"/>
        <v>17747.629999999997</v>
      </c>
    </row>
    <row r="20" spans="1:19">
      <c r="A20" s="1664"/>
      <c r="B20" s="47" t="s">
        <v>1153</v>
      </c>
      <c r="C20" s="3411"/>
      <c r="D20" s="45">
        <f t="shared" ref="D20:D26" si="6">ROUND($D$3*E20/$E$3,2)</f>
        <v>0</v>
      </c>
      <c r="E20" s="53">
        <f t="shared" si="1"/>
        <v>0</v>
      </c>
      <c r="F20" s="2789"/>
      <c r="G20" s="2790"/>
      <c r="H20" s="667">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11"/>
      <c r="D21" s="45">
        <f t="shared" si="6"/>
        <v>0</v>
      </c>
      <c r="E21" s="53">
        <f t="shared" si="1"/>
        <v>0</v>
      </c>
      <c r="F21" s="2789"/>
      <c r="G21" s="2790"/>
      <c r="H21" s="667">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7">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7">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7">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15255.5</v>
      </c>
      <c r="E27" s="1135">
        <f>IF(SUM(E19:E26)='数据-基础表'!BA5,SUM(E19:E26),IF(F27="地上面积有误","面积有误","地下面积有误"))</f>
        <v>17747.629999999997</v>
      </c>
      <c r="F27" s="1134">
        <f>IF(SUM(F19:F26)=E8,SUM(F19:F26),"地上面积有误")</f>
        <v>17437.989999999998</v>
      </c>
      <c r="G27" s="1136">
        <f>SUM(G19:G26)</f>
        <v>309.64</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15255.5</v>
      </c>
      <c r="S27" s="1020">
        <f>IF(SUM(S19:S26)=$E$3,SUM(S19:S26),SUM(S19:S26)&amp;"误差"&amp;ROUND(SUM(S19:S26)-E3,2))</f>
        <v>17747.629999999997</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3">
        <f>D27+D30</f>
        <v>15255.5</v>
      </c>
      <c r="E31" s="673">
        <f>E27+E30</f>
        <v>17747.629999999997</v>
      </c>
      <c r="F31" s="674">
        <f>F27+F30</f>
        <v>17437.989999999998</v>
      </c>
      <c r="G31" s="675">
        <f>G27+G30</f>
        <v>309.64</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F22" sqref="F21:AB2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8.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6"/>
      <c r="C1" s="1185"/>
      <c r="D1" s="1674"/>
      <c r="E1" s="1185"/>
      <c r="F1" s="1185"/>
      <c r="G1" s="1185"/>
      <c r="H1" s="1185"/>
      <c r="I1" s="1185"/>
      <c r="J1" s="1185"/>
      <c r="K1" s="156"/>
      <c r="L1" s="156"/>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45539</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3396</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办公研发</v>
      </c>
      <c r="B6" s="1707" t="str">
        <f>IF(A6=0,"","经营性")</f>
        <v>经营性</v>
      </c>
      <c r="C6" s="1708" t="s">
        <v>3</v>
      </c>
      <c r="D6" s="852">
        <f>SUMIF(项目基本情况!C$12:I$12,C6,项目基本情况!C$14:I$14)</f>
        <v>50</v>
      </c>
      <c r="E6" s="851">
        <f>IF(B6="","",SUMIF(项目基本情况!C$12:I$12,C6,项目基本情况!C$13:I$13))</f>
        <v>55211</v>
      </c>
      <c r="F6" s="64">
        <f>SUMIF(项目基本情况!C$12:I$12,C6,项目基本情况!C$15:I$15)</f>
        <v>26.49</v>
      </c>
      <c r="G6" s="65">
        <f>IF(ISERROR(ROUND(POWER(1+H6,D6-F6)*(POWER(1+H6,F6)-1)/(POWER(1+H6,D6)-1),3)),0,ROUND(POWER(1+H6,D6-F6)*(POWER(1+H6,F6)-1)/(POWER(1+H6,D6)-1),3))</f>
        <v>0.79500000000000004</v>
      </c>
      <c r="H6" s="729">
        <v>0.05</v>
      </c>
      <c r="I6" s="729">
        <v>0.06</v>
      </c>
      <c r="J6" s="66">
        <v>7.0000000000000007E-2</v>
      </c>
      <c r="K6" s="1024">
        <f>SUMIF('数据-汇总表'!C$19:C$33,A6,'数据-汇总表'!E$19:E$33)</f>
        <v>17747.629999999997</v>
      </c>
      <c r="L6" s="730">
        <v>3000</v>
      </c>
      <c r="M6" s="67">
        <f t="shared" ref="M6:M14" si="0">ROUND(K6*L6/10000,0)</f>
        <v>5324</v>
      </c>
      <c r="N6" s="728">
        <f>Sheet1!L8</f>
        <v>0.7</v>
      </c>
      <c r="O6" s="67" t="str">
        <f>IF($N$5="成新度","——",ROUND(M6*N6,0))</f>
        <v>——</v>
      </c>
      <c r="P6" s="68" t="str">
        <f>IF($N$5="成新度","——",M6-O6)</f>
        <v>——</v>
      </c>
      <c r="Q6" s="731">
        <v>0.1</v>
      </c>
      <c r="R6" s="69">
        <f ca="1">SUMIF('数据-汇总表'!C$19:C$33,A6,'数据-汇总表'!R$19:R$27)</f>
        <v>15255.5</v>
      </c>
      <c r="S6" s="51">
        <f>IF('数据-汇总表'!$I$17="按面积比例",SUMIF('数据-汇总表'!C$19:C$33,A6,'数据-汇总表'!K$19:K$33),SUMIF('数据-汇总表'!C$19:C$33,A6,'数据-汇总表'!N$19:N$33))</f>
        <v>0</v>
      </c>
      <c r="T6" s="1166">
        <f>ROUND($L$14*S6/10000,0)</f>
        <v>0</v>
      </c>
      <c r="U6" s="3476">
        <f>Sheet1!I8</f>
        <v>2</v>
      </c>
      <c r="V6" s="3488">
        <v>0</v>
      </c>
      <c r="W6" s="70">
        <v>0.15</v>
      </c>
      <c r="X6" s="1034"/>
      <c r="Y6" s="71">
        <f>N6</f>
        <v>0.7</v>
      </c>
      <c r="Z6" s="72"/>
      <c r="AA6" s="66"/>
      <c r="AB6" s="66"/>
      <c r="AC6" s="1034"/>
      <c r="AD6" s="73"/>
      <c r="AE6" s="1035">
        <f ca="1">IF(AN6="",0,SUMIF(INDIRECT("'"&amp;AN6&amp;"'"&amp;"!E:E"),$AE$5,INDIRECT("'"&amp;AN6&amp;"'"&amp;"!F:F")))</f>
        <v>26.49</v>
      </c>
      <c r="AF6" s="1342"/>
      <c r="AG6" s="135">
        <f>IF(AF6="",0,AE6-AF6)</f>
        <v>0</v>
      </c>
      <c r="AH6" s="74"/>
      <c r="AI6" s="76">
        <v>365</v>
      </c>
      <c r="AJ6" s="77"/>
      <c r="AK6" s="78">
        <v>2E-3</v>
      </c>
      <c r="AL6" s="79">
        <v>1E-3</v>
      </c>
      <c r="AM6" s="80">
        <v>0.01</v>
      </c>
      <c r="AN6" s="1709" t="s">
        <v>3487</v>
      </c>
      <c r="AO6" s="52">
        <f ca="1">SUMIF(INDIRECT("'"&amp;AN6&amp;"'"&amp;"!A:A"),"总价",INDIRECT("'"&amp;AN6&amp;"'"&amp;"!B:B"))</f>
        <v>11969</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hidden="1">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v>0.05</v>
      </c>
      <c r="I7" s="3446">
        <v>0.06</v>
      </c>
      <c r="J7" s="66">
        <v>7.0000000000000007E-2</v>
      </c>
      <c r="K7" s="1024">
        <f>SUMIF('数据-汇总表'!C$19:C$33,A7,'数据-汇总表'!E$19:E$33)</f>
        <v>0</v>
      </c>
      <c r="L7" s="730">
        <v>3000</v>
      </c>
      <c r="M7" s="67">
        <f t="shared" si="0"/>
        <v>0</v>
      </c>
      <c r="N7" s="728">
        <f>Sheet1!L8</f>
        <v>0.7</v>
      </c>
      <c r="O7" s="67" t="str">
        <f t="shared" ref="O7:O14" si="3">IF($N$5="成新度","——",ROUND(M7*N7,0))</f>
        <v>——</v>
      </c>
      <c r="P7" s="68" t="str">
        <f t="shared" ref="P7:P14" si="4">IF($N$5="成新度","——",M7-O7)</f>
        <v>——</v>
      </c>
      <c r="Q7" s="731">
        <f>Q6</f>
        <v>0.1</v>
      </c>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f>'1、3号楼租金比较法'!C43</f>
        <v>2.6</v>
      </c>
      <c r="V7" s="3488">
        <v>0</v>
      </c>
      <c r="W7" s="70">
        <f>W6</f>
        <v>0.15</v>
      </c>
      <c r="X7" s="1034"/>
      <c r="Y7" s="71">
        <f>N7</f>
        <v>0.7</v>
      </c>
      <c r="Z7" s="72"/>
      <c r="AA7" s="66"/>
      <c r="AB7" s="66"/>
      <c r="AC7" s="1034"/>
      <c r="AD7" s="73"/>
      <c r="AE7" s="1035" t="e">
        <f t="shared" ref="AE7:AE13" ca="1" si="6">IF(AN7="",0,SUMIF(INDIRECT("'"&amp;AN7&amp;"'"&amp;"!E:E"),$AE$5,INDIRECT("'"&amp;AN7&amp;"'"&amp;"!F:F")))</f>
        <v>#N/A</v>
      </c>
      <c r="AF7" s="1342"/>
      <c r="AG7" s="135">
        <f t="shared" ref="AG7:AG13" si="7">IF(AF7="",0,AE7-AF7)</f>
        <v>0</v>
      </c>
      <c r="AH7" s="74"/>
      <c r="AI7" s="76">
        <v>365</v>
      </c>
      <c r="AJ7" s="77"/>
      <c r="AK7" s="78">
        <v>2E-3</v>
      </c>
      <c r="AL7" s="79">
        <v>1E-3</v>
      </c>
      <c r="AM7" s="80">
        <v>0.01</v>
      </c>
      <c r="AN7" s="1709" t="s">
        <v>3473</v>
      </c>
      <c r="AO7" s="52" t="e">
        <f t="shared" ref="AO7:AO13" ca="1" si="8">SUMIF(INDIRECT("'"&amp;AN7&amp;"'"&amp;"!A:A"),"总价",INDIRECT("'"&amp;AN7&amp;"'"&amp;"!B:B"))</f>
        <v>#N/A</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hidden="1">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9">
        <v>0.05</v>
      </c>
      <c r="I8" s="3446">
        <v>0.06</v>
      </c>
      <c r="J8" s="66">
        <v>7.0000000000000007E-2</v>
      </c>
      <c r="K8" s="1024">
        <f>SUMIF('数据-汇总表'!C$19:C$33,A8,'数据-汇总表'!E$19:E$33)</f>
        <v>0</v>
      </c>
      <c r="L8" s="730">
        <v>2500</v>
      </c>
      <c r="M8" s="67">
        <f>ROUND(K8*L8/10000,0)</f>
        <v>0</v>
      </c>
      <c r="N8" s="728">
        <f>Sheet1!L3</f>
        <v>0.56000000000000005</v>
      </c>
      <c r="O8" s="67" t="str">
        <f t="shared" si="3"/>
        <v>——</v>
      </c>
      <c r="P8" s="68" t="str">
        <f t="shared" si="4"/>
        <v>——</v>
      </c>
      <c r="Q8" s="731">
        <v>0.08</v>
      </c>
      <c r="R8" s="69">
        <f ca="1">SUMIF('数据-汇总表'!C$19:C$33,A8,'数据-汇总表'!R$19:R$27)</f>
        <v>0</v>
      </c>
      <c r="S8" s="51">
        <f>IF('数据-汇总表'!$I$17="按面积比例",SUMIF('数据-汇总表'!C$19:C$33,A8,'数据-汇总表'!K$19:K$33),SUMIF('数据-汇总表'!C$19:C$33,A8,'数据-汇总表'!N$19:N$33))</f>
        <v>0</v>
      </c>
      <c r="T8" s="1166">
        <f t="shared" si="5"/>
        <v>0</v>
      </c>
      <c r="U8" s="3423">
        <f>'2号楼租金比较法'!C43</f>
        <v>2.2999999999999998</v>
      </c>
      <c r="V8" s="3488">
        <v>0</v>
      </c>
      <c r="W8" s="732">
        <f>W6</f>
        <v>0.15</v>
      </c>
      <c r="X8" s="1034"/>
      <c r="Y8" s="71">
        <f>N8</f>
        <v>0.56000000000000005</v>
      </c>
      <c r="Z8" s="72"/>
      <c r="AA8" s="66"/>
      <c r="AB8" s="66"/>
      <c r="AC8" s="1034"/>
      <c r="AD8" s="73"/>
      <c r="AE8" s="1035" t="e">
        <f t="shared" ca="1" si="6"/>
        <v>#N/A</v>
      </c>
      <c r="AF8" s="1342"/>
      <c r="AG8" s="135">
        <f t="shared" si="7"/>
        <v>0</v>
      </c>
      <c r="AH8" s="733"/>
      <c r="AI8" s="76">
        <v>365</v>
      </c>
      <c r="AJ8" s="77"/>
      <c r="AK8" s="78">
        <v>2E-3</v>
      </c>
      <c r="AL8" s="79">
        <v>1E-3</v>
      </c>
      <c r="AM8" s="80">
        <v>0.01</v>
      </c>
      <c r="AN8" s="1709" t="s">
        <v>3475</v>
      </c>
      <c r="AO8" s="52" t="e">
        <f t="shared" ca="1" si="8"/>
        <v>#N/A</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hidden="1">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729">
        <v>0.05</v>
      </c>
      <c r="I9" s="3446">
        <v>0.06</v>
      </c>
      <c r="J9" s="66">
        <v>7.0000000000000007E-2</v>
      </c>
      <c r="K9" s="1024">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5">
        <f t="shared" si="7"/>
        <v>0</v>
      </c>
      <c r="AH9" s="74"/>
      <c r="AI9" s="76"/>
      <c r="AJ9" s="77"/>
      <c r="AK9" s="78">
        <v>2E-3</v>
      </c>
      <c r="AL9" s="79">
        <v>1E-3</v>
      </c>
      <c r="AM9" s="80">
        <v>0.01</v>
      </c>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hidden="1">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729">
        <v>0.05</v>
      </c>
      <c r="I10" s="3446">
        <v>0.06</v>
      </c>
      <c r="J10" s="66">
        <v>7.0000000000000007E-2</v>
      </c>
      <c r="K10" s="1024">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5">
        <f t="shared" si="7"/>
        <v>0</v>
      </c>
      <c r="AH10" s="74"/>
      <c r="AI10" s="76"/>
      <c r="AJ10" s="77"/>
      <c r="AK10" s="78">
        <v>2E-3</v>
      </c>
      <c r="AL10" s="79">
        <v>1E-3</v>
      </c>
      <c r="AM10" s="80">
        <v>0.01</v>
      </c>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hidden="1">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729">
        <v>0.05</v>
      </c>
      <c r="I11" s="3446">
        <v>0.06</v>
      </c>
      <c r="J11" s="66">
        <v>7.0000000000000007E-2</v>
      </c>
      <c r="K11" s="1024">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5">
        <f t="shared" si="7"/>
        <v>0</v>
      </c>
      <c r="AH11" s="74"/>
      <c r="AI11" s="76"/>
      <c r="AJ11" s="77"/>
      <c r="AK11" s="78">
        <v>2E-3</v>
      </c>
      <c r="AL11" s="79">
        <v>1E-3</v>
      </c>
      <c r="AM11" s="80">
        <v>0.01</v>
      </c>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hidden="1">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729">
        <v>0.05</v>
      </c>
      <c r="I12" s="3446">
        <v>0.06</v>
      </c>
      <c r="J12" s="66">
        <v>7.0000000000000007E-2</v>
      </c>
      <c r="K12" s="1024">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5">
        <f t="shared" si="7"/>
        <v>0</v>
      </c>
      <c r="AH12" s="74"/>
      <c r="AI12" s="76"/>
      <c r="AJ12" s="77"/>
      <c r="AK12" s="78">
        <v>2E-3</v>
      </c>
      <c r="AL12" s="79">
        <v>1E-3</v>
      </c>
      <c r="AM12" s="80">
        <v>0.01</v>
      </c>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hidden="1">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729">
        <v>0.05</v>
      </c>
      <c r="I13" s="3446">
        <v>0.06</v>
      </c>
      <c r="J13" s="66">
        <v>7.0000000000000007E-2</v>
      </c>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5">
        <f t="shared" si="7"/>
        <v>0</v>
      </c>
      <c r="AH13" s="74"/>
      <c r="AI13" s="76"/>
      <c r="AJ13" s="77"/>
      <c r="AK13" s="78">
        <v>2E-3</v>
      </c>
      <c r="AL13" s="79">
        <v>1E-3</v>
      </c>
      <c r="AM13" s="80">
        <v>0.01</v>
      </c>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hidden="1">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7"/>
      <c r="V14" s="1029"/>
      <c r="W14" s="1029"/>
      <c r="X14" s="1030"/>
      <c r="Y14" s="1031"/>
      <c r="Z14" s="1032"/>
      <c r="AA14" s="1033"/>
      <c r="AB14" s="1033"/>
      <c r="AC14" s="1034"/>
      <c r="AD14" s="1030"/>
      <c r="AE14" s="1035"/>
      <c r="AF14" s="52"/>
      <c r="AG14" s="135"/>
      <c r="AH14" s="1035"/>
      <c r="AI14" s="1351"/>
      <c r="AJ14" s="701"/>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7"/>
      <c r="V15" s="1029"/>
      <c r="W15" s="1029"/>
      <c r="X15" s="1030"/>
      <c r="Y15" s="1031"/>
      <c r="Z15" s="1032"/>
      <c r="AA15" s="1033"/>
      <c r="AB15" s="1033"/>
      <c r="AC15" s="1034"/>
      <c r="AD15" s="1030"/>
      <c r="AE15" s="1035"/>
      <c r="AF15" s="52"/>
      <c r="AG15" s="135"/>
      <c r="AH15" s="1035"/>
      <c r="AI15" s="1351"/>
      <c r="AJ15" s="701"/>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5"/>
      <c r="C16" s="827"/>
      <c r="D16" s="1714"/>
      <c r="E16" s="85"/>
      <c r="F16" s="85"/>
      <c r="G16" s="86">
        <f>ROUND(SUMPRODUCT(G6:G13,K6:K13)/SUMPRODUCT((G6:G13&gt;0)*(K6:K13)),3)</f>
        <v>0.79500000000000004</v>
      </c>
      <c r="H16" s="87">
        <f>ROUND(SUMPRODUCT(H6:H13,K6:K13)/SUMPRODUCT((H6:H13&gt;0)*(K6:K13)),3)</f>
        <v>0.05</v>
      </c>
      <c r="I16" s="88"/>
      <c r="J16" s="88"/>
      <c r="K16" s="89">
        <f>SUM(K6:K15)</f>
        <v>17747.629999999997</v>
      </c>
      <c r="L16" s="90">
        <f>ROUND(M16*10000/SUM(K6:K14),0)</f>
        <v>3000</v>
      </c>
      <c r="M16" s="90">
        <f>SUM(M6:M14)</f>
        <v>5324</v>
      </c>
      <c r="N16" s="91">
        <f>ROUND(SUMPRODUCT(M6:M14,N6:N14)/M16,3)</f>
        <v>0.7</v>
      </c>
      <c r="O16" s="90">
        <f>SUM(O6:O14)</f>
        <v>0</v>
      </c>
      <c r="P16" s="90">
        <f>SUM(P6:P14)</f>
        <v>0</v>
      </c>
      <c r="Q16" s="92">
        <f>ROUND(SUMPRODUCT(Q6:Q13,K6:K13)/SUMPRODUCT((Q6:Q13&gt;0)*(K6:K13)),2)</f>
        <v>0.1</v>
      </c>
      <c r="R16" s="1028">
        <f ca="1">SUM(R6:R13)</f>
        <v>15255.5</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0">
        <v>0</v>
      </c>
      <c r="C19" s="2793" t="s">
        <v>2294</v>
      </c>
      <c r="D19" s="2670"/>
      <c r="E19" s="2667"/>
      <c r="F19" s="2667"/>
      <c r="G19" s="2667"/>
      <c r="H19" s="2667"/>
      <c r="I19" s="2667"/>
      <c r="J19" s="2667"/>
      <c r="K19" s="2666"/>
      <c r="L19" s="2666"/>
      <c r="M19" s="2665"/>
      <c r="N19" s="3449"/>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1">
        <v>1.5</v>
      </c>
      <c r="C20" s="2794" t="s">
        <v>2292</v>
      </c>
      <c r="D20" s="2670"/>
      <c r="E20" s="2667"/>
      <c r="F20" s="2667"/>
      <c r="G20" s="2667"/>
      <c r="H20" s="2667"/>
      <c r="I20" s="2667"/>
      <c r="J20" s="2667"/>
      <c r="K20" s="2666"/>
      <c r="L20" s="2666"/>
      <c r="M20" s="2665"/>
      <c r="N20" s="3449"/>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1">
        <v>1.5</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2">
        <f>B19+B20</f>
        <v>1.5</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2">
        <f>B19+B21</f>
        <v>1.5</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3">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4">
        <v>160</v>
      </c>
      <c r="C27" s="2795" t="s">
        <v>2296</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07">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09">
        <f ca="1">成本法!C10</f>
        <v>355</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8">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08">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9">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670">
        <v>0.03</v>
      </c>
      <c r="C33" s="2797" t="s">
        <v>3374</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0">
        <v>0</v>
      </c>
      <c r="C34" s="2797" t="s">
        <v>2286</v>
      </c>
      <c r="D34" s="2678" t="s">
        <v>2293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107">
        <v>200</v>
      </c>
      <c r="C35" s="2797" t="s">
        <v>2287</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111">
        <v>1.4999999999999999E-2</v>
      </c>
      <c r="C36" s="2797" t="s">
        <v>3375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112">
        <v>0.02</v>
      </c>
      <c r="C37" s="2797" t="s">
        <v>2288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110">
        <v>0.02</v>
      </c>
      <c r="C38" s="2797" t="s">
        <v>2288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4">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2303</v>
      </c>
      <c r="B40" s="1072">
        <f ca="1">IF(A40="利息：取LPR",存贷款利率!G1,存贷款利率!G1+C40)</f>
        <v>3.3500000000000002E-2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3">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4">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5">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6">
        <v>7.0000000000000007E-2</v>
      </c>
      <c r="C44" s="2797" t="s">
        <v>2297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114">
        <v>0.03</v>
      </c>
      <c r="C45" s="2796" t="s">
        <v>2289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114">
        <v>0.02</v>
      </c>
      <c r="C46" s="2796" t="s">
        <v>2290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117"/>
      <c r="C47" s="2799" t="s">
        <v>2298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118">
        <v>0.03</v>
      </c>
      <c r="C48" s="2796" t="s">
        <v>2289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114">
        <v>5.0000000000000001E-4</v>
      </c>
      <c r="C49" s="2796" t="s">
        <v>2291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19">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20">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21">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t="s">
        <v>29</v>
      </c>
      <c r="C53" s="2655" t="s">
        <v>1246</v>
      </c>
      <c r="D53" s="2798" t="s">
        <v>2295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2"/>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5"/>
      <c r="L69" s="725"/>
    </row>
    <row r="70" spans="1:44" s="787" customFormat="1">
      <c r="A70" s="1735"/>
      <c r="D70" s="1736"/>
      <c r="K70" s="725"/>
      <c r="L70" s="725"/>
    </row>
    <row r="71" spans="1:44" s="787" customFormat="1">
      <c r="A71" s="1735"/>
      <c r="D71" s="1736"/>
      <c r="K71" s="725"/>
      <c r="L71" s="725"/>
    </row>
    <row r="72" spans="1:44" s="787" customFormat="1">
      <c r="A72" s="1735"/>
      <c r="D72" s="1736"/>
      <c r="K72" s="725"/>
      <c r="L72" s="725"/>
    </row>
    <row r="73" spans="1:44" s="787" customFormat="1">
      <c r="A73" s="1735"/>
      <c r="D73" s="1736"/>
      <c r="K73" s="725"/>
      <c r="L73" s="725"/>
    </row>
    <row r="74" spans="1:44" s="787" customFormat="1">
      <c r="A74" s="1735"/>
      <c r="D74" s="1736"/>
      <c r="K74" s="725"/>
      <c r="L74" s="725"/>
    </row>
    <row r="75" spans="1:44" s="787" customFormat="1">
      <c r="A75" s="1735"/>
      <c r="D75" s="1736"/>
      <c r="K75" s="725"/>
      <c r="L75" s="725"/>
    </row>
    <row r="76" spans="1:44" s="787" customFormat="1">
      <c r="A76" s="1735"/>
      <c r="D76" s="1736"/>
      <c r="K76" s="725"/>
      <c r="L76" s="725"/>
    </row>
    <row r="77" spans="1:44" s="787" customFormat="1">
      <c r="A77" s="1735"/>
      <c r="D77" s="1736"/>
      <c r="K77" s="725"/>
      <c r="L77" s="725"/>
    </row>
    <row r="78" spans="1:44" s="787" customFormat="1">
      <c r="A78" s="1735"/>
      <c r="D78" s="1736"/>
      <c r="K78" s="725"/>
      <c r="L78" s="725"/>
    </row>
    <row r="79" spans="1:44" s="787" customFormat="1">
      <c r="A79" s="1735"/>
      <c r="D79" s="1736"/>
      <c r="K79" s="725"/>
      <c r="L79" s="725"/>
    </row>
    <row r="80" spans="1:44" s="787" customFormat="1">
      <c r="A80" s="1735"/>
      <c r="D80" s="1736"/>
      <c r="K80" s="725"/>
      <c r="L80" s="725"/>
    </row>
    <row r="81" spans="1:12" s="787" customFormat="1">
      <c r="A81" s="1735"/>
      <c r="D81" s="1736"/>
      <c r="K81" s="725"/>
      <c r="L81" s="725"/>
    </row>
    <row r="82" spans="1:12" s="787" customFormat="1">
      <c r="A82" s="1735"/>
      <c r="D82" s="1736"/>
      <c r="K82" s="725"/>
      <c r="L82" s="725"/>
    </row>
    <row r="83" spans="1:12" s="787" customFormat="1">
      <c r="A83" s="1735"/>
      <c r="D83" s="1736"/>
      <c r="K83" s="725"/>
      <c r="L83" s="725"/>
    </row>
    <row r="84" spans="1:12" s="787" customFormat="1">
      <c r="A84" s="1735"/>
      <c r="D84" s="1736"/>
      <c r="K84" s="725"/>
      <c r="L84" s="725"/>
    </row>
    <row r="85" spans="1:12" s="787" customFormat="1">
      <c r="A85" s="1735"/>
      <c r="D85" s="1736"/>
      <c r="K85" s="725"/>
      <c r="L85" s="725"/>
    </row>
    <row r="86" spans="1:12" s="787" customFormat="1">
      <c r="A86" s="1735"/>
      <c r="D86" s="1736"/>
      <c r="K86" s="725"/>
      <c r="L86" s="725"/>
    </row>
    <row r="87" spans="1:12" s="787" customFormat="1">
      <c r="A87" s="1735"/>
      <c r="D87" s="1736"/>
      <c r="K87" s="725"/>
      <c r="L87" s="725"/>
    </row>
    <row r="88" spans="1:12" s="787" customFormat="1">
      <c r="A88" s="1735"/>
      <c r="D88" s="1736"/>
      <c r="K88" s="725"/>
      <c r="L88" s="725"/>
    </row>
    <row r="89" spans="1:12" s="787" customFormat="1">
      <c r="A89" s="1735"/>
      <c r="D89" s="1736"/>
      <c r="K89" s="725"/>
      <c r="L89" s="725"/>
    </row>
    <row r="90" spans="1:12" s="787" customFormat="1">
      <c r="A90" s="1735"/>
      <c r="D90" s="1736"/>
      <c r="K90" s="725"/>
      <c r="L90" s="725"/>
    </row>
    <row r="91" spans="1:12" s="787" customFormat="1">
      <c r="A91" s="1735"/>
      <c r="D91" s="1736"/>
      <c r="K91" s="725"/>
      <c r="L91" s="725"/>
    </row>
    <row r="92" spans="1:12" s="787" customFormat="1">
      <c r="A92" s="1735"/>
      <c r="D92" s="1736"/>
      <c r="K92" s="725"/>
      <c r="L92" s="725"/>
    </row>
    <row r="93" spans="1:12" s="787" customFormat="1">
      <c r="A93" s="1735"/>
      <c r="D93" s="1736"/>
      <c r="K93" s="725"/>
      <c r="L93" s="725"/>
    </row>
    <row r="94" spans="1:12" s="787" customFormat="1">
      <c r="A94" s="1735"/>
      <c r="D94" s="1736"/>
      <c r="K94" s="725"/>
      <c r="L94" s="725"/>
    </row>
    <row r="95" spans="1:12" s="787" customFormat="1">
      <c r="A95" s="1735"/>
      <c r="D95" s="1736"/>
      <c r="K95" s="725"/>
      <c r="L95" s="725"/>
    </row>
    <row r="96" spans="1:12" s="787" customFormat="1">
      <c r="A96" s="1735"/>
      <c r="D96" s="1736"/>
      <c r="K96" s="725"/>
      <c r="L96" s="725"/>
    </row>
    <row r="97" spans="1:12" s="787" customFormat="1">
      <c r="A97" s="1735"/>
      <c r="D97" s="1736"/>
      <c r="K97" s="725"/>
      <c r="L97" s="725"/>
    </row>
    <row r="98" spans="1:12" s="787" customFormat="1">
      <c r="A98" s="1735"/>
      <c r="D98" s="1736"/>
      <c r="K98" s="725"/>
      <c r="L98" s="725"/>
    </row>
    <row r="99" spans="1:12" s="787" customFormat="1">
      <c r="A99" s="1735"/>
      <c r="D99" s="1736"/>
      <c r="K99" s="725"/>
      <c r="L99" s="725"/>
    </row>
    <row r="100" spans="1:12" s="787" customFormat="1">
      <c r="A100" s="1735"/>
      <c r="D100" s="1736"/>
      <c r="K100" s="725"/>
      <c r="L100" s="725"/>
    </row>
    <row r="101" spans="1:12" s="787" customFormat="1">
      <c r="A101" s="1735"/>
      <c r="D101" s="1736"/>
      <c r="K101" s="725"/>
      <c r="L101" s="725"/>
    </row>
    <row r="102" spans="1:12" s="787" customFormat="1">
      <c r="A102" s="1735"/>
      <c r="D102" s="1736"/>
      <c r="K102" s="725"/>
      <c r="L102" s="725"/>
    </row>
    <row r="103" spans="1:12" s="787" customFormat="1">
      <c r="A103" s="1735"/>
      <c r="D103" s="1736"/>
      <c r="K103" s="725"/>
      <c r="L103" s="725"/>
    </row>
    <row r="104" spans="1:12" s="787" customFormat="1">
      <c r="A104" s="1735"/>
      <c r="D104" s="1736"/>
      <c r="K104" s="725"/>
      <c r="L104" s="725"/>
    </row>
    <row r="105" spans="1:12" s="787" customFormat="1">
      <c r="A105" s="1735"/>
      <c r="D105" s="1736"/>
      <c r="K105" s="725"/>
      <c r="L105" s="725"/>
    </row>
    <row r="106" spans="1:12" s="787" customFormat="1">
      <c r="A106" s="1735"/>
      <c r="D106" s="1736"/>
      <c r="K106" s="725"/>
      <c r="L106" s="725"/>
    </row>
    <row r="107" spans="1:12" s="787" customFormat="1">
      <c r="A107" s="1735"/>
      <c r="D107" s="1736"/>
      <c r="K107" s="725"/>
      <c r="L107" s="725"/>
    </row>
    <row r="108" spans="1:12" s="787" customFormat="1">
      <c r="A108" s="1735"/>
      <c r="D108" s="1736"/>
      <c r="K108" s="725"/>
      <c r="L108" s="725"/>
    </row>
    <row r="109" spans="1:12" s="787" customFormat="1">
      <c r="A109" s="1735"/>
      <c r="D109" s="1736"/>
      <c r="K109" s="725"/>
      <c r="L109" s="725"/>
    </row>
    <row r="110" spans="1:12" s="787" customFormat="1">
      <c r="A110" s="1735"/>
      <c r="D110" s="1736"/>
      <c r="K110" s="725"/>
      <c r="L110" s="725"/>
    </row>
    <row r="111" spans="1:12" s="787" customFormat="1">
      <c r="A111" s="1735"/>
      <c r="D111" s="1736"/>
      <c r="K111" s="725"/>
      <c r="L111" s="725"/>
    </row>
    <row r="112" spans="1:12" s="787" customFormat="1">
      <c r="A112" s="1735"/>
      <c r="D112" s="1736"/>
      <c r="K112" s="725"/>
      <c r="L112" s="725"/>
    </row>
    <row r="113" spans="1:12" s="787" customFormat="1">
      <c r="A113" s="1735"/>
      <c r="D113" s="1736"/>
      <c r="K113" s="725"/>
      <c r="L113" s="725"/>
    </row>
    <row r="114" spans="1:12" s="787" customFormat="1">
      <c r="A114" s="1735"/>
      <c r="D114" s="1736"/>
      <c r="K114" s="725"/>
      <c r="L114" s="725"/>
    </row>
    <row r="115" spans="1:12" s="787" customFormat="1">
      <c r="A115" s="1735"/>
      <c r="D115" s="1736"/>
      <c r="K115" s="725"/>
      <c r="L115" s="725"/>
    </row>
    <row r="116" spans="1:12" s="787" customFormat="1">
      <c r="A116" s="1735"/>
      <c r="D116" s="1736"/>
      <c r="K116" s="725"/>
      <c r="L116" s="725"/>
    </row>
    <row r="117" spans="1:12" s="787" customFormat="1">
      <c r="A117" s="1735"/>
      <c r="D117" s="1736"/>
      <c r="K117" s="725"/>
      <c r="L117" s="725"/>
    </row>
    <row r="118" spans="1:12" s="787" customFormat="1">
      <c r="A118" s="1735"/>
      <c r="D118" s="1736"/>
      <c r="K118" s="725"/>
      <c r="L118" s="725"/>
    </row>
    <row r="119" spans="1:12" s="787" customFormat="1">
      <c r="A119" s="1735"/>
      <c r="D119" s="1736"/>
      <c r="K119" s="725"/>
      <c r="L119" s="725"/>
    </row>
    <row r="120" spans="1:12" s="787" customFormat="1">
      <c r="A120" s="1735"/>
      <c r="D120" s="1736"/>
      <c r="K120" s="725"/>
      <c r="L120" s="725"/>
    </row>
    <row r="121" spans="1:12" s="787" customFormat="1">
      <c r="A121" s="1735"/>
      <c r="D121" s="1736"/>
      <c r="K121" s="725"/>
      <c r="L121" s="725"/>
    </row>
    <row r="122" spans="1:12" s="787" customFormat="1">
      <c r="A122" s="1735"/>
      <c r="D122" s="1736"/>
      <c r="K122" s="725"/>
      <c r="L122" s="725"/>
    </row>
    <row r="123" spans="1:12" s="787" customFormat="1">
      <c r="A123" s="1735"/>
      <c r="D123" s="1736"/>
      <c r="K123" s="725"/>
      <c r="L123" s="725"/>
    </row>
    <row r="124" spans="1:12" s="787" customFormat="1">
      <c r="A124" s="1735"/>
      <c r="D124" s="1736"/>
      <c r="K124" s="725"/>
      <c r="L124" s="725"/>
    </row>
    <row r="125" spans="1:12" s="787" customFormat="1">
      <c r="A125" s="1735"/>
      <c r="D125" s="1736"/>
      <c r="K125" s="725"/>
      <c r="L125" s="725"/>
    </row>
    <row r="126" spans="1:12" s="787" customFormat="1">
      <c r="A126" s="1735"/>
      <c r="D126" s="1736"/>
      <c r="K126" s="725"/>
      <c r="L126" s="725"/>
    </row>
    <row r="127" spans="1:12" s="787" customFormat="1">
      <c r="A127" s="1735"/>
      <c r="D127" s="1736"/>
      <c r="K127" s="725"/>
      <c r="L127" s="725"/>
    </row>
    <row r="128" spans="1:12" s="787" customFormat="1">
      <c r="A128" s="1735"/>
      <c r="D128" s="1736"/>
      <c r="K128" s="725"/>
      <c r="L128" s="725"/>
    </row>
    <row r="129" spans="1:12" s="787" customFormat="1">
      <c r="A129" s="1735"/>
      <c r="D129" s="1736"/>
      <c r="K129" s="725"/>
      <c r="L129" s="725"/>
    </row>
    <row r="130" spans="1:12" s="787" customFormat="1">
      <c r="A130" s="1735"/>
      <c r="D130" s="1736"/>
      <c r="K130" s="725"/>
      <c r="L130" s="725"/>
    </row>
    <row r="131" spans="1:12" s="787" customFormat="1">
      <c r="A131" s="1735"/>
      <c r="D131" s="1736"/>
      <c r="K131" s="725"/>
      <c r="L131" s="725"/>
    </row>
    <row r="132" spans="1:12" s="787" customFormat="1">
      <c r="A132" s="1735"/>
      <c r="D132" s="1736"/>
      <c r="K132" s="725"/>
      <c r="L132" s="725"/>
    </row>
    <row r="133" spans="1:12" s="787" customFormat="1">
      <c r="A133" s="1735"/>
      <c r="D133" s="1736"/>
      <c r="K133" s="725"/>
      <c r="L133" s="725"/>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87" t="s">
        <v>2277</v>
      </c>
      <c r="B1" s="3588"/>
      <c r="C1" s="3588"/>
      <c r="D1" s="3588"/>
      <c r="E1" s="3588"/>
      <c r="F1" s="3588"/>
      <c r="G1" s="3588"/>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2274</v>
      </c>
      <c r="D2" s="2455"/>
      <c r="E2" s="2452"/>
      <c r="F2" s="2456"/>
      <c r="G2" s="2454" t="s">
        <v>2275</v>
      </c>
      <c r="H2" s="793"/>
      <c r="I2" s="793"/>
      <c r="J2" s="793"/>
      <c r="K2" s="793"/>
      <c r="L2" s="793"/>
      <c r="M2" s="793"/>
      <c r="N2" s="793"/>
      <c r="O2" s="793"/>
      <c r="P2" s="793"/>
      <c r="Q2" s="793"/>
      <c r="R2" s="793"/>
    </row>
    <row r="3" spans="1:29" ht="24">
      <c r="A3" s="2435" t="s">
        <v>2276</v>
      </c>
      <c r="B3" s="2457" t="s">
        <v>2252</v>
      </c>
      <c r="C3" s="2458"/>
      <c r="D3" s="2459"/>
      <c r="E3" s="2436" t="s">
        <v>2276</v>
      </c>
      <c r="F3" s="2460" t="s">
        <v>2253</v>
      </c>
      <c r="G3" s="2461"/>
      <c r="H3" s="793"/>
      <c r="I3" s="793"/>
      <c r="J3" s="793"/>
      <c r="K3" s="793"/>
      <c r="L3" s="793"/>
      <c r="M3" s="793"/>
      <c r="N3" s="793"/>
      <c r="O3" s="793"/>
      <c r="P3" s="793"/>
      <c r="Q3" s="793"/>
      <c r="R3" s="793"/>
    </row>
    <row r="4" spans="1:29">
      <c r="A4" s="2436"/>
      <c r="B4" s="320" t="s">
        <v>2254</v>
      </c>
      <c r="C4" s="2462"/>
      <c r="D4" s="2459"/>
      <c r="E4" s="2463"/>
      <c r="F4" s="1367" t="s">
        <v>2255</v>
      </c>
      <c r="G4" s="2464"/>
      <c r="H4" s="793"/>
      <c r="I4" s="793"/>
      <c r="J4" s="793"/>
      <c r="K4" s="793"/>
      <c r="L4" s="793"/>
      <c r="M4" s="793"/>
      <c r="N4" s="793"/>
      <c r="O4" s="793"/>
      <c r="P4" s="793"/>
      <c r="Q4" s="793"/>
      <c r="R4" s="793"/>
    </row>
    <row r="5" spans="1:29">
      <c r="A5" s="2436"/>
      <c r="B5" s="320" t="s">
        <v>2256</v>
      </c>
      <c r="C5" s="2462"/>
      <c r="D5" s="2459"/>
      <c r="E5" s="2463"/>
      <c r="F5" s="320" t="s">
        <v>2257</v>
      </c>
      <c r="G5" s="2464"/>
      <c r="H5" s="793"/>
      <c r="I5" s="793"/>
      <c r="J5" s="793"/>
      <c r="K5" s="793"/>
      <c r="L5" s="793"/>
      <c r="M5" s="793"/>
      <c r="N5" s="793"/>
      <c r="O5" s="793"/>
      <c r="P5" s="793"/>
      <c r="Q5" s="793"/>
      <c r="R5" s="793"/>
    </row>
    <row r="6" spans="1:29">
      <c r="A6" s="2436"/>
      <c r="B6" s="320" t="s">
        <v>2258</v>
      </c>
      <c r="C6" s="2464"/>
      <c r="D6" s="2459"/>
      <c r="E6" s="2463"/>
      <c r="F6" s="320" t="s">
        <v>2259</v>
      </c>
      <c r="G6" s="2464"/>
      <c r="H6" s="793"/>
      <c r="I6" s="793"/>
      <c r="J6" s="793"/>
      <c r="K6" s="793"/>
      <c r="L6" s="793"/>
      <c r="M6" s="793"/>
      <c r="N6" s="793"/>
      <c r="O6" s="793"/>
      <c r="P6" s="793"/>
      <c r="Q6" s="793"/>
      <c r="R6" s="793"/>
    </row>
    <row r="7" spans="1:29" ht="15" thickBot="1">
      <c r="A7" s="2436"/>
      <c r="B7" s="320" t="s">
        <v>2257</v>
      </c>
      <c r="C7" s="2464"/>
      <c r="D7" s="2465"/>
      <c r="E7" s="2466"/>
      <c r="F7" s="2467" t="s">
        <v>2260</v>
      </c>
      <c r="G7" s="2468"/>
      <c r="H7" s="793"/>
      <c r="I7" s="793"/>
      <c r="J7" s="793"/>
      <c r="K7" s="793"/>
      <c r="L7" s="793"/>
      <c r="M7" s="793"/>
      <c r="N7" s="793"/>
      <c r="O7" s="793"/>
      <c r="P7" s="793"/>
      <c r="Q7" s="793"/>
      <c r="R7" s="793"/>
    </row>
    <row r="8" spans="1:29">
      <c r="A8" s="2436"/>
      <c r="B8" s="320" t="s">
        <v>2259</v>
      </c>
      <c r="C8" s="2464"/>
      <c r="D8" s="2465"/>
      <c r="E8" s="2465"/>
      <c r="F8" s="2469"/>
      <c r="G8" s="2469"/>
      <c r="H8" s="793"/>
      <c r="I8" s="793"/>
      <c r="J8" s="793"/>
      <c r="K8" s="793"/>
      <c r="L8" s="793"/>
      <c r="M8" s="793"/>
      <c r="N8" s="793"/>
      <c r="O8" s="793"/>
      <c r="P8" s="793"/>
      <c r="Q8" s="793"/>
      <c r="R8" s="793"/>
    </row>
    <row r="9" spans="1:29">
      <c r="A9" s="2436"/>
      <c r="B9" s="320" t="s">
        <v>2261</v>
      </c>
      <c r="C9" s="2462"/>
      <c r="D9" s="2459"/>
      <c r="E9" s="2465"/>
      <c r="F9" s="2469"/>
      <c r="G9" s="2469"/>
      <c r="H9" s="793"/>
      <c r="I9" s="793"/>
      <c r="J9" s="793"/>
      <c r="K9" s="793"/>
      <c r="L9" s="793"/>
      <c r="M9" s="793"/>
      <c r="N9" s="793"/>
      <c r="O9" s="793"/>
      <c r="P9" s="793"/>
      <c r="Q9" s="793"/>
      <c r="R9" s="793"/>
    </row>
    <row r="10" spans="1:29" s="2475" customFormat="1" ht="15" thickBot="1">
      <c r="A10" s="2437"/>
      <c r="B10" s="2470" t="s">
        <v>2262</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2278</v>
      </c>
      <c r="B13" s="2478"/>
      <c r="C13" s="2478"/>
      <c r="D13" s="2476"/>
      <c r="E13" s="2478"/>
      <c r="F13" s="2478"/>
      <c r="G13" s="2478"/>
    </row>
    <row r="14" spans="1:29" ht="15" thickBot="1">
      <c r="A14" s="2488"/>
      <c r="B14" s="2488"/>
      <c r="C14" s="2489" t="s">
        <v>2263</v>
      </c>
      <c r="D14" s="2459"/>
      <c r="E14" s="2490"/>
      <c r="F14" s="2490"/>
      <c r="G14" s="2454" t="s">
        <v>2264</v>
      </c>
    </row>
    <row r="15" spans="1:29" ht="24">
      <c r="A15" s="2438" t="s">
        <v>2265</v>
      </c>
      <c r="B15" s="2491" t="s">
        <v>2252</v>
      </c>
      <c r="C15" s="2492">
        <f>C3</f>
        <v>0</v>
      </c>
      <c r="D15" s="2459"/>
      <c r="E15" s="2439" t="s">
        <v>2266</v>
      </c>
      <c r="F15" s="2491" t="s">
        <v>2267</v>
      </c>
      <c r="G15" s="2493">
        <f>G3</f>
        <v>0</v>
      </c>
    </row>
    <row r="16" spans="1:29">
      <c r="A16" s="2440"/>
      <c r="B16" s="2494" t="s">
        <v>2254</v>
      </c>
      <c r="C16" s="2495">
        <f>C4</f>
        <v>0</v>
      </c>
      <c r="D16" s="2459"/>
      <c r="E16" s="2441"/>
      <c r="F16" s="2496" t="s">
        <v>2255</v>
      </c>
      <c r="G16" s="2497">
        <f>G4</f>
        <v>0</v>
      </c>
    </row>
    <row r="17" spans="1:18">
      <c r="A17" s="2440"/>
      <c r="B17" s="2494" t="s">
        <v>2256</v>
      </c>
      <c r="C17" s="2495">
        <f>C5</f>
        <v>0</v>
      </c>
      <c r="D17" s="2465"/>
      <c r="E17" s="2441"/>
      <c r="F17" s="2496" t="s">
        <v>2268</v>
      </c>
      <c r="G17" s="2498"/>
    </row>
    <row r="18" spans="1:18">
      <c r="A18" s="2440"/>
      <c r="B18" s="2496" t="s">
        <v>2258</v>
      </c>
      <c r="C18" s="2497">
        <f>C6</f>
        <v>0</v>
      </c>
      <c r="D18" s="2465"/>
      <c r="E18" s="2441"/>
      <c r="F18" s="2496" t="s">
        <v>2260</v>
      </c>
      <c r="G18" s="2497">
        <f>G7</f>
        <v>0</v>
      </c>
    </row>
    <row r="19" spans="1:18">
      <c r="A19" s="2440"/>
      <c r="B19" s="2496" t="s">
        <v>2269</v>
      </c>
      <c r="C19" s="2498"/>
      <c r="D19" s="2459"/>
      <c r="E19" s="2441"/>
      <c r="F19" s="320" t="s">
        <v>2257</v>
      </c>
      <c r="G19" s="2497">
        <f>G5</f>
        <v>0</v>
      </c>
    </row>
    <row r="20" spans="1:18">
      <c r="A20" s="2440"/>
      <c r="B20" s="2496" t="s">
        <v>2270</v>
      </c>
      <c r="C20" s="2495">
        <f>C9</f>
        <v>0</v>
      </c>
      <c r="D20" s="2465"/>
      <c r="E20" s="2441"/>
      <c r="F20" s="320" t="s">
        <v>2259</v>
      </c>
      <c r="G20" s="2497">
        <f>G6</f>
        <v>0</v>
      </c>
    </row>
    <row r="21" spans="1:18">
      <c r="A21" s="2440"/>
      <c r="B21" s="320" t="s">
        <v>2257</v>
      </c>
      <c r="C21" s="2497">
        <f>C7</f>
        <v>0</v>
      </c>
      <c r="D21" s="2459"/>
      <c r="E21" s="2441"/>
      <c r="F21" s="2496" t="s">
        <v>2271</v>
      </c>
      <c r="G21" s="2499"/>
    </row>
    <row r="22" spans="1:18" ht="13.5" customHeight="1">
      <c r="A22" s="2440"/>
      <c r="B22" s="320" t="s">
        <v>2259</v>
      </c>
      <c r="C22" s="2497">
        <f>C8</f>
        <v>0</v>
      </c>
      <c r="D22" s="2459"/>
      <c r="E22" s="2441"/>
      <c r="F22" s="2496" t="s">
        <v>2262</v>
      </c>
      <c r="G22" s="2498"/>
    </row>
    <row r="23" spans="1:18" s="793" customFormat="1" ht="15" thickBot="1">
      <c r="A23" s="2440"/>
      <c r="B23" s="2496" t="s">
        <v>2271</v>
      </c>
      <c r="C23" s="2499"/>
      <c r="D23" s="1735"/>
      <c r="E23" s="2442"/>
      <c r="F23" s="2500" t="s">
        <v>2272</v>
      </c>
      <c r="G23" s="2501"/>
      <c r="H23" s="2485"/>
      <c r="I23" s="2486"/>
      <c r="J23" s="2485"/>
      <c r="K23" s="2485"/>
      <c r="L23" s="2486"/>
      <c r="M23" s="2485"/>
      <c r="N23" s="2485"/>
      <c r="O23" s="2486"/>
      <c r="P23" s="2485"/>
      <c r="Q23" s="2485"/>
      <c r="R23" s="2487"/>
    </row>
    <row r="24" spans="1:18" s="793" customFormat="1" ht="15" thickBot="1">
      <c r="A24" s="2443"/>
      <c r="B24" s="2500" t="s">
        <v>2273</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0" sqref="L10"/>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17747.629999999997</v>
      </c>
      <c r="C1" s="2680"/>
      <c r="D1" s="2680"/>
      <c r="E1" s="2680"/>
      <c r="F1" s="2680"/>
      <c r="G1" s="2681"/>
      <c r="H1" s="2682"/>
      <c r="I1" s="2682"/>
      <c r="J1" s="2682"/>
      <c r="K1" s="2682"/>
    </row>
    <row r="2" spans="1:11" ht="16.5">
      <c r="A2" s="2506" t="s">
        <v>653</v>
      </c>
      <c r="B2" s="2506">
        <f>SUM(C14:C23)</f>
        <v>15255.5</v>
      </c>
      <c r="C2" s="2680"/>
      <c r="D2" s="2680"/>
      <c r="E2" s="2680"/>
      <c r="F2" s="2680"/>
      <c r="G2" s="2681"/>
      <c r="H2" s="2682"/>
      <c r="I2" s="2682"/>
      <c r="J2" s="2682"/>
      <c r="K2" s="2682"/>
    </row>
    <row r="3" spans="1:11" ht="16.5">
      <c r="A3" s="2506" t="s">
        <v>662</v>
      </c>
      <c r="B3" s="2508">
        <f>项目基本情况!D3</f>
        <v>45539</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11143</v>
      </c>
      <c r="C5" s="2506">
        <f ca="1">IF(B5=D14,结果表!H102,ROUND(B5*10000/$B$1,0))</f>
        <v>6279</v>
      </c>
      <c r="D5" s="2506">
        <f ca="1">ROUND(B5*10000/$B$2,0)</f>
        <v>7304</v>
      </c>
      <c r="E5" s="2680"/>
      <c r="F5" s="2681"/>
      <c r="G5" s="2681"/>
      <c r="H5" s="2682"/>
      <c r="I5" s="2682"/>
      <c r="J5" s="2682"/>
      <c r="K5" s="2682"/>
    </row>
    <row r="6" spans="1:11" ht="16.5">
      <c r="A6" s="2506" t="s">
        <v>656</v>
      </c>
      <c r="B6" s="2506">
        <f ca="1">SUM(G14:G23)</f>
        <v>11143</v>
      </c>
      <c r="C6" s="2506">
        <f ca="1">IF(B6=G14,结果表!H108,ROUND(B6*10000/$B$1,0))</f>
        <v>6279</v>
      </c>
      <c r="D6" s="2506">
        <f ca="1">ROUND(B6*10000/$B$2,0)</f>
        <v>7304</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3349</v>
      </c>
      <c r="D10" s="2506" t="s">
        <v>3350</v>
      </c>
      <c r="E10" s="3435"/>
      <c r="F10" s="3439" t="s">
        <v>3351</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f>
        <v>17747.629999999997</v>
      </c>
      <c r="C14" s="2512">
        <f>'数据-汇总表'!D3</f>
        <v>15255.5</v>
      </c>
      <c r="D14" s="2512">
        <f ca="1">结果表!G19</f>
        <v>11143</v>
      </c>
      <c r="E14" s="2512">
        <f ca="1">ROUND(D14*10000/B14,0)</f>
        <v>6279</v>
      </c>
      <c r="F14" s="2512">
        <f ca="1">ROUND(D14*10000/C14,0)</f>
        <v>7304</v>
      </c>
      <c r="G14" s="2512">
        <f ca="1">D14</f>
        <v>11143</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8" sqref="K8"/>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56" t="str">
        <f>项目基本情况!S2</f>
        <v>北京市房地产</v>
      </c>
      <c r="B2" s="3657"/>
      <c r="C2" s="3657"/>
      <c r="D2" s="3657"/>
      <c r="E2" s="3657"/>
      <c r="F2" s="3657"/>
      <c r="G2" s="3657"/>
      <c r="H2" s="3657"/>
      <c r="I2" s="3658"/>
    </row>
    <row r="3" spans="1:12" ht="12.75">
      <c r="A3" s="3660" t="s">
        <v>1264</v>
      </c>
      <c r="B3" s="3661"/>
      <c r="C3" s="3661"/>
      <c r="D3" s="3661"/>
      <c r="E3" s="3661"/>
      <c r="F3" s="3661"/>
      <c r="G3" s="3661"/>
      <c r="H3" s="3661"/>
      <c r="I3" s="3661"/>
    </row>
    <row r="4" spans="1:12" ht="14.25">
      <c r="A4" s="1748" t="s">
        <v>1265</v>
      </c>
      <c r="B4" s="1749" t="s">
        <v>1266</v>
      </c>
      <c r="C4" s="1750" t="s">
        <v>3408</v>
      </c>
      <c r="D4" s="1750" t="s">
        <v>3487</v>
      </c>
      <c r="E4" s="3665" t="s">
        <v>1267</v>
      </c>
      <c r="F4" s="3666"/>
      <c r="G4" s="3666"/>
      <c r="H4" s="3666"/>
      <c r="I4" s="3667"/>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659">
        <v>25</v>
      </c>
      <c r="C5" s="3662"/>
      <c r="D5" s="3650"/>
      <c r="E5" s="128" t="s">
        <v>1269</v>
      </c>
      <c r="F5" s="1751"/>
      <c r="G5" s="1751"/>
      <c r="H5" s="1751"/>
      <c r="I5" s="1367"/>
    </row>
    <row r="6" spans="1:12" ht="12.75">
      <c r="A6" s="3604"/>
      <c r="B6" s="3659"/>
      <c r="C6" s="3664"/>
      <c r="D6" s="3650"/>
      <c r="E6" s="128" t="s">
        <v>1270</v>
      </c>
      <c r="F6" s="1751"/>
      <c r="G6" s="1751"/>
      <c r="H6" s="1751"/>
      <c r="I6" s="1367"/>
    </row>
    <row r="7" spans="1:12" ht="12.75">
      <c r="A7" s="3604"/>
      <c r="B7" s="3659"/>
      <c r="C7" s="3663"/>
      <c r="D7" s="3650"/>
      <c r="E7" s="128" t="s">
        <v>1271</v>
      </c>
      <c r="F7" s="1751"/>
      <c r="G7" s="1751"/>
      <c r="H7" s="1751"/>
      <c r="I7" s="1367"/>
    </row>
    <row r="8" spans="1:12" ht="12.75">
      <c r="A8" s="3604" t="s">
        <v>1272</v>
      </c>
      <c r="B8" s="3659">
        <v>15</v>
      </c>
      <c r="C8" s="3662"/>
      <c r="D8" s="3650"/>
      <c r="E8" s="128" t="s">
        <v>1273</v>
      </c>
      <c r="F8" s="1751"/>
      <c r="G8" s="1751"/>
      <c r="H8" s="1751"/>
      <c r="I8" s="1367"/>
    </row>
    <row r="9" spans="1:12" ht="12.75">
      <c r="A9" s="3604"/>
      <c r="B9" s="3659"/>
      <c r="C9" s="3663"/>
      <c r="D9" s="3650"/>
      <c r="E9" s="128" t="s">
        <v>1274</v>
      </c>
      <c r="F9" s="1751"/>
      <c r="G9" s="1751"/>
      <c r="H9" s="1751"/>
      <c r="I9" s="1367"/>
    </row>
    <row r="10" spans="1:12" ht="12.75">
      <c r="A10" s="3604" t="s">
        <v>1275</v>
      </c>
      <c r="B10" s="3659">
        <v>15</v>
      </c>
      <c r="C10" s="3662"/>
      <c r="D10" s="3650"/>
      <c r="E10" s="128" t="s">
        <v>1276</v>
      </c>
      <c r="F10" s="1751"/>
      <c r="G10" s="1751"/>
      <c r="H10" s="1751"/>
      <c r="I10" s="1367"/>
    </row>
    <row r="11" spans="1:12" ht="12.75">
      <c r="A11" s="3604"/>
      <c r="B11" s="3659"/>
      <c r="C11" s="3663"/>
      <c r="D11" s="3650"/>
      <c r="E11" s="128" t="s">
        <v>1277</v>
      </c>
      <c r="F11" s="1751"/>
      <c r="G11" s="1751"/>
      <c r="H11" s="1751"/>
      <c r="I11" s="1367"/>
    </row>
    <row r="12" spans="1:12" ht="12.75">
      <c r="A12" s="3604" t="s">
        <v>1278</v>
      </c>
      <c r="B12" s="3659">
        <v>15</v>
      </c>
      <c r="C12" s="3662"/>
      <c r="D12" s="3650"/>
      <c r="E12" s="128" t="s">
        <v>1279</v>
      </c>
      <c r="F12" s="1751"/>
      <c r="G12" s="1751"/>
      <c r="H12" s="1751"/>
      <c r="I12" s="1367"/>
    </row>
    <row r="13" spans="1:12" ht="12.75">
      <c r="A13" s="3604"/>
      <c r="B13" s="3659"/>
      <c r="C13" s="3663"/>
      <c r="D13" s="3650"/>
      <c r="E13" s="128" t="s">
        <v>1280</v>
      </c>
      <c r="F13" s="1751"/>
      <c r="G13" s="1751"/>
      <c r="H13" s="1751"/>
      <c r="I13" s="1367"/>
    </row>
    <row r="14" spans="1:12" ht="12.75">
      <c r="A14" s="3604" t="s">
        <v>1281</v>
      </c>
      <c r="B14" s="3659">
        <v>30</v>
      </c>
      <c r="C14" s="3662">
        <v>5</v>
      </c>
      <c r="D14" s="3650">
        <v>5</v>
      </c>
      <c r="E14" s="128" t="s">
        <v>1282</v>
      </c>
      <c r="F14" s="1751"/>
      <c r="G14" s="1751"/>
      <c r="H14" s="1751"/>
      <c r="I14" s="1367"/>
    </row>
    <row r="15" spans="1:12" ht="12.75">
      <c r="A15" s="3604"/>
      <c r="B15" s="3659"/>
      <c r="C15" s="3664"/>
      <c r="D15" s="3650"/>
      <c r="E15" s="128" t="s">
        <v>1283</v>
      </c>
      <c r="F15" s="1751"/>
      <c r="G15" s="1751"/>
      <c r="H15" s="1751"/>
      <c r="I15" s="1367"/>
    </row>
    <row r="16" spans="1:12" ht="12.75">
      <c r="A16" s="3604"/>
      <c r="B16" s="3659"/>
      <c r="C16" s="3663"/>
      <c r="D16" s="3650"/>
      <c r="E16" s="128" t="s">
        <v>1284</v>
      </c>
      <c r="F16" s="1751"/>
      <c r="G16" s="1751"/>
      <c r="H16" s="1751"/>
      <c r="I16" s="1367"/>
    </row>
    <row r="17" spans="1:36" ht="15">
      <c r="A17" s="1752" t="s">
        <v>1285</v>
      </c>
      <c r="B17" s="56"/>
      <c r="C17" s="129">
        <f>SUM(C5:C16)</f>
        <v>5</v>
      </c>
      <c r="D17" s="129">
        <f>SUM(D5:D16)</f>
        <v>5</v>
      </c>
      <c r="E17" s="126"/>
      <c r="F17" s="126"/>
      <c r="G17" s="126"/>
      <c r="H17" s="126"/>
      <c r="I17" s="126"/>
      <c r="K17" s="299"/>
      <c r="L17" s="299" t="s">
        <v>1286</v>
      </c>
      <c r="M17" s="299" t="s">
        <v>1287</v>
      </c>
    </row>
    <row r="18" spans="1:36" ht="31.9" customHeight="1" thickBot="1">
      <c r="A18" s="1753" t="s">
        <v>1288</v>
      </c>
      <c r="B18" s="1754"/>
      <c r="C18" s="130">
        <f>ROUND(C17/SUM(C17:D17),2)</f>
        <v>0.5</v>
      </c>
      <c r="D18" s="130">
        <f>1-C18</f>
        <v>0.5</v>
      </c>
      <c r="E18" s="3681" t="s">
        <v>2131</v>
      </c>
      <c r="F18" s="3682"/>
      <c r="G18" s="3682"/>
      <c r="H18" s="3682"/>
      <c r="I18" s="3682"/>
      <c r="K18" s="299" t="s">
        <v>1289</v>
      </c>
      <c r="L18" s="299">
        <f>IF(C1="",'数据-汇总表'!E3,SUMIF(项目类型,C1,'数据-汇总表'!E17:E26)+SUMIF(项目类型,C1,'数据-汇总表'!I17:I26))</f>
        <v>17747.629999999997</v>
      </c>
      <c r="M18" s="299">
        <f>IF(C1="",'数据-汇总表'!E3,SUMIF(项目类型,C1,'数据-汇总表'!E17:E26))</f>
        <v>17747.629999999997</v>
      </c>
    </row>
    <row r="19" spans="1:36" ht="15">
      <c r="A19" s="1755" t="s">
        <v>1290</v>
      </c>
      <c r="B19" s="1756" t="s">
        <v>1291</v>
      </c>
      <c r="C19" s="131">
        <f ca="1">SUMIF(INDIRECT("'"&amp;C4&amp;"'"&amp;"!A:A"),结果表!B19,INDIRECT("'"&amp;C4&amp;"'"&amp;"!B:B"))</f>
        <v>10317</v>
      </c>
      <c r="D19" s="132">
        <f ca="1">SUMIF(INDIRECT("'"&amp;D4&amp;"'"&amp;"!A:A"),结果表!B19,INDIRECT("'"&amp;D4&amp;"'"&amp;"!B:B"))</f>
        <v>11969</v>
      </c>
      <c r="E19" s="1755" t="s">
        <v>1292</v>
      </c>
      <c r="F19" s="1756" t="s">
        <v>1291</v>
      </c>
      <c r="G19" s="133">
        <f ca="1">ROUND(C19*$C$18+D19*$D$18,0)</f>
        <v>11143</v>
      </c>
      <c r="H19" s="1757" t="s">
        <v>1293</v>
      </c>
      <c r="I19" s="126"/>
      <c r="K19" s="299" t="s">
        <v>1294</v>
      </c>
      <c r="L19" s="299">
        <f>IF(C1="",'数据-汇总表'!D3,SUMIF(项目类型,C1,'数据-汇总表'!D17:D26)+SUMIF(项目类型,C1,'数据-汇总表'!H17:H27))</f>
        <v>15255.5</v>
      </c>
      <c r="M19" s="299">
        <f>IF(C1="",'数据-汇总表'!D3,SUMIF(项目类型,C1,'数据-汇总表'!D17:D26))</f>
        <v>15255.5</v>
      </c>
    </row>
    <row r="20" spans="1:36" ht="15">
      <c r="A20" s="1758"/>
      <c r="B20" s="1020" t="s">
        <v>1295</v>
      </c>
      <c r="C20" s="134">
        <f ca="1">SUMIF(INDIRECT("'"&amp;C4&amp;"'"&amp;"!A:A"),结果表!B20,INDIRECT("'"&amp;C4&amp;"'"&amp;"!B:B"))</f>
        <v>5813</v>
      </c>
      <c r="D20" s="135">
        <f ca="1">SUMIF(INDIRECT("'"&amp;D4&amp;"'"&amp;"!A:A"),结果表!B20,INDIRECT("'"&amp;D4&amp;"'"&amp;"!B:B"))</f>
        <v>6744</v>
      </c>
      <c r="E20" s="1758"/>
      <c r="F20" s="1020" t="s">
        <v>1295</v>
      </c>
      <c r="G20" s="136">
        <f ca="1">ROUND(C20*$C$18+D20*$D$18,0)</f>
        <v>6279</v>
      </c>
      <c r="H20" s="802" t="s">
        <v>1296</v>
      </c>
      <c r="I20" s="126"/>
    </row>
    <row r="21" spans="1:36" ht="15" customHeight="1" thickBot="1">
      <c r="A21" s="822"/>
      <c r="B21" s="1759" t="s">
        <v>1297</v>
      </c>
      <c r="C21" s="716">
        <f ca="1">ROUND(C19*10000/L19,0)</f>
        <v>6763</v>
      </c>
      <c r="D21" s="717">
        <f ca="1">ROUND(D19*10000/L19,0)</f>
        <v>7846</v>
      </c>
      <c r="E21" s="822"/>
      <c r="F21" s="1759" t="s">
        <v>1297</v>
      </c>
      <c r="G21" s="137">
        <f ca="1">ROUND(G19*10000/L19,0)</f>
        <v>7304</v>
      </c>
      <c r="H21" s="1760" t="s">
        <v>1296</v>
      </c>
      <c r="I21" s="126"/>
    </row>
    <row r="22" spans="1:36" ht="15" thickBot="1">
      <c r="A22" s="1682" t="s">
        <v>1298</v>
      </c>
      <c r="B22" s="1761"/>
      <c r="C22" s="1762"/>
      <c r="D22" s="718">
        <f ca="1">IF(C19&lt;D19,D19/C19-1,C19/D19-1)</f>
        <v>0.16012406707376181</v>
      </c>
      <c r="E22" s="126"/>
      <c r="F22" s="126"/>
      <c r="G22" s="126"/>
      <c r="H22" s="126"/>
      <c r="I22" s="126"/>
    </row>
    <row r="23" spans="1:36" ht="13.5" thickBot="1">
      <c r="A23" s="1741"/>
      <c r="B23" s="1741"/>
      <c r="C23" s="1741"/>
      <c r="D23" s="1741"/>
      <c r="E23" s="126"/>
      <c r="F23" s="126"/>
      <c r="G23" s="126"/>
      <c r="H23" s="126"/>
      <c r="I23" s="126"/>
    </row>
    <row r="24" spans="1:36" ht="14.25">
      <c r="A24" s="3674" t="s">
        <v>1299</v>
      </c>
      <c r="B24" s="1756" t="s">
        <v>1291</v>
      </c>
      <c r="C24" s="133">
        <f>IF(B30=0,0,D30)</f>
        <v>0</v>
      </c>
      <c r="D24" s="1763"/>
      <c r="E24" s="126"/>
      <c r="F24" s="126"/>
      <c r="G24" s="126"/>
      <c r="H24" s="126"/>
      <c r="I24" s="126"/>
    </row>
    <row r="25" spans="1:36" ht="14.25">
      <c r="A25" s="3675"/>
      <c r="B25" s="1020" t="s">
        <v>1295</v>
      </c>
      <c r="C25" s="138">
        <f>IF(B30=0,0,C30)</f>
        <v>0</v>
      </c>
      <c r="D25" s="1764"/>
      <c r="E25" s="126"/>
      <c r="F25" s="126"/>
      <c r="G25" s="126"/>
      <c r="H25" s="126"/>
      <c r="I25" s="126"/>
    </row>
    <row r="26" spans="1:36" ht="13.5" customHeight="1">
      <c r="A26" s="1765" t="s">
        <v>1300</v>
      </c>
      <c r="B26" s="139" t="s">
        <v>1301</v>
      </c>
      <c r="C26" s="139" t="s">
        <v>1302</v>
      </c>
      <c r="D26" s="140" t="s">
        <v>1303</v>
      </c>
      <c r="E26" s="126"/>
      <c r="F26" s="126"/>
      <c r="G26" s="126"/>
      <c r="H26" s="126"/>
      <c r="I26" s="126"/>
    </row>
    <row r="27" spans="1:36" ht="14.25">
      <c r="A27" s="1765"/>
      <c r="B27" s="139">
        <v>0</v>
      </c>
      <c r="C27" s="139">
        <v>0</v>
      </c>
      <c r="D27" s="140">
        <f>ROUND(C27*B27/10000,0)</f>
        <v>0</v>
      </c>
      <c r="E27" s="126"/>
      <c r="F27" s="126"/>
      <c r="G27" s="126"/>
      <c r="H27" s="126"/>
      <c r="I27" s="126"/>
    </row>
    <row r="28" spans="1:36" ht="14.25">
      <c r="A28" s="1765"/>
      <c r="B28" s="139"/>
      <c r="C28" s="139"/>
      <c r="D28" s="140"/>
      <c r="E28" s="126"/>
      <c r="F28" s="126"/>
      <c r="G28" s="126"/>
      <c r="H28" s="126"/>
      <c r="I28" s="126"/>
    </row>
    <row r="29" spans="1:36" ht="14.25">
      <c r="A29" s="1765"/>
      <c r="B29" s="139"/>
      <c r="C29" s="139"/>
      <c r="D29" s="140"/>
      <c r="E29" s="126"/>
      <c r="F29" s="126"/>
      <c r="G29" s="126"/>
      <c r="H29" s="126"/>
      <c r="I29" s="126"/>
    </row>
    <row r="30" spans="1:36" ht="15" thickBot="1">
      <c r="A30" s="139" t="s">
        <v>1304</v>
      </c>
      <c r="B30" s="139"/>
      <c r="C30" s="139"/>
      <c r="D30" s="139"/>
      <c r="E30" s="2297" t="s">
        <v>2132</v>
      </c>
      <c r="F30" s="126"/>
      <c r="G30" s="126"/>
      <c r="H30" s="126"/>
      <c r="I30" s="126"/>
    </row>
    <row r="31" spans="1:36" s="2303" customFormat="1" ht="26.45" customHeight="1" thickTop="1" thickBot="1">
      <c r="A31" s="2298"/>
      <c r="B31" s="2299"/>
      <c r="C31" s="2299"/>
      <c r="D31" s="2299"/>
      <c r="E31" s="2299"/>
      <c r="F31" s="2299"/>
      <c r="G31" s="2299"/>
      <c r="H31" s="2299"/>
      <c r="I31" s="2300" t="s">
        <v>2133</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1">
        <f ca="1">IF(D32="总价",G19-C24,G20-C25)</f>
        <v>11143</v>
      </c>
      <c r="D32" s="1769" t="s">
        <v>3488</v>
      </c>
      <c r="E32" s="126"/>
      <c r="F32" s="126"/>
      <c r="G32" s="126"/>
      <c r="H32" s="126"/>
      <c r="I32" s="126"/>
    </row>
    <row r="33" spans="1:15" ht="15">
      <c r="A33" s="780" t="s">
        <v>1306</v>
      </c>
      <c r="B33" s="1770"/>
      <c r="C33" s="1771" t="s">
        <v>3489</v>
      </c>
      <c r="D33" s="1772" t="s">
        <v>3408</v>
      </c>
      <c r="E33" s="1773" t="s">
        <v>1307</v>
      </c>
      <c r="F33" s="1774" t="str">
        <f>IF(D32="楼面单价","取值（单价）","取值（总价）")</f>
        <v>取值（总价）</v>
      </c>
      <c r="G33" s="126"/>
      <c r="H33" s="126"/>
      <c r="I33" s="126"/>
    </row>
    <row r="34" spans="1:15" ht="15">
      <c r="A34" s="1775"/>
      <c r="B34" s="1776" t="s">
        <v>1308</v>
      </c>
      <c r="C34" s="145">
        <f ca="1">IF(C33="自定义",F34,C32-C35)</f>
        <v>5583</v>
      </c>
      <c r="D34" s="855">
        <f ca="1">IF(C33="自定义",ROUND(C34/C32,3),IF(C33="收益比率",SUMIF(INDIRECT("'"&amp;D33&amp;"'"&amp;"!b:b"),"土地收益比率",INDIRECT("'"&amp;D33&amp;"'"&amp;"!c:c")),SUMIF(INDIRECT("'"&amp;D33&amp;"'"&amp;"!b:b"),"土地成本比率",INDIRECT("'"&amp;D33&amp;"'"&amp;"!c:c"))))</f>
        <v>0.501</v>
      </c>
      <c r="E34" s="1777" t="s">
        <v>1309</v>
      </c>
      <c r="F34" s="1324"/>
      <c r="G34" s="126"/>
      <c r="H34" s="126"/>
      <c r="I34" s="126"/>
    </row>
    <row r="35" spans="1:15" ht="15.75" thickBot="1">
      <c r="A35" s="1778"/>
      <c r="B35" s="1779" t="s">
        <v>1310</v>
      </c>
      <c r="C35" s="1164">
        <f ca="1">IF(C33="自定义",F35,ROUND(C32*D35,0))</f>
        <v>5560</v>
      </c>
      <c r="D35" s="1165">
        <f ca="1">IF(C33="自定义",ROUND(C35/C32,3),IF(C33="收益比率",SUMIF(INDIRECT("'"&amp;D33&amp;"'"&amp;"!b:b"),"建筑物收益比率",INDIRECT("'"&amp;D33&amp;"'"&amp;"!c:c")),SUMIF(INDIRECT("'"&amp;D33&amp;"'"&amp;"!b:b"),"建筑物成本比率",INDIRECT("'"&amp;D33&amp;"'"&amp;"!c:c"))))</f>
        <v>0.499</v>
      </c>
      <c r="E35" s="1780" t="s">
        <v>1311</v>
      </c>
      <c r="F35" s="151"/>
      <c r="G35" s="126"/>
      <c r="H35" s="126"/>
      <c r="I35" s="126"/>
    </row>
    <row r="36" spans="1:15" ht="15.75" thickBot="1">
      <c r="A36" s="3651" t="s">
        <v>1312</v>
      </c>
      <c r="B36" s="1781" t="s">
        <v>1313</v>
      </c>
      <c r="C36" s="142"/>
      <c r="D36" s="1782"/>
      <c r="E36" s="1783"/>
      <c r="F36" s="1784"/>
      <c r="G36" s="126"/>
      <c r="H36" s="126"/>
      <c r="I36" s="126"/>
    </row>
    <row r="37" spans="1:15" ht="15.75" thickBot="1">
      <c r="A37" s="3652"/>
      <c r="B37" s="1668" t="s">
        <v>1314</v>
      </c>
      <c r="C37" s="144"/>
      <c r="D37" s="1133"/>
      <c r="E37" s="1133"/>
      <c r="F37" s="1784"/>
      <c r="G37" s="126"/>
      <c r="H37" s="126"/>
      <c r="I37" s="126"/>
    </row>
    <row r="38" spans="1:15" ht="15.75" thickBot="1">
      <c r="A38" s="3653"/>
      <c r="B38" s="1785" t="s">
        <v>1315</v>
      </c>
      <c r="C38" s="671"/>
      <c r="D38" s="1786" t="s">
        <v>1316</v>
      </c>
      <c r="E38" s="1133"/>
      <c r="F38" s="1784"/>
      <c r="G38" s="126"/>
      <c r="H38" s="126"/>
      <c r="I38" s="126"/>
    </row>
    <row r="39" spans="1:15" ht="15">
      <c r="A39" s="1758" t="s">
        <v>1317</v>
      </c>
      <c r="B39" s="1787" t="s">
        <v>1318</v>
      </c>
      <c r="C39" s="1788" t="s">
        <v>1319</v>
      </c>
      <c r="D39" s="1788" t="s">
        <v>1320</v>
      </c>
      <c r="E39" s="1789" t="s">
        <v>1321</v>
      </c>
      <c r="F39" s="1784"/>
      <c r="G39" s="126"/>
      <c r="H39" s="126"/>
      <c r="I39" s="126"/>
    </row>
    <row r="40" spans="1:15" ht="14.25">
      <c r="A40" s="1790" t="s">
        <v>1322</v>
      </c>
      <c r="B40" s="146"/>
      <c r="C40" s="147"/>
      <c r="D40" s="147"/>
      <c r="E40" s="148"/>
      <c r="F40" s="1784"/>
      <c r="G40" s="126"/>
      <c r="H40" s="126"/>
      <c r="I40" s="126"/>
    </row>
    <row r="41" spans="1:15" ht="14.25">
      <c r="A41" s="1790" t="s">
        <v>1323</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71" t="s">
        <v>1326</v>
      </c>
      <c r="B45" s="3672"/>
      <c r="C45" s="3673"/>
      <c r="D45" s="152">
        <f ca="1">ROUND(H101*F45,0)</f>
        <v>11143</v>
      </c>
      <c r="E45" s="153" t="s">
        <v>1327</v>
      </c>
      <c r="F45" s="154">
        <v>1</v>
      </c>
      <c r="G45" s="155" t="s">
        <v>1328</v>
      </c>
      <c r="H45" s="126"/>
      <c r="I45" s="126"/>
      <c r="J45" s="3591" t="s">
        <v>1329</v>
      </c>
      <c r="K45" s="3591"/>
      <c r="L45" s="3591"/>
      <c r="M45" s="3591"/>
      <c r="N45" s="3591"/>
      <c r="O45" s="3591"/>
    </row>
    <row r="46" spans="1:15" ht="14.25" customHeight="1">
      <c r="A46" s="3668" t="s">
        <v>1330</v>
      </c>
      <c r="B46" s="3669"/>
      <c r="C46" s="3669"/>
      <c r="D46" s="3669"/>
      <c r="E46" s="3669"/>
      <c r="F46" s="3669"/>
      <c r="G46" s="3670"/>
      <c r="H46" s="1800"/>
      <c r="I46" s="156"/>
      <c r="J46" s="2517">
        <v>1</v>
      </c>
      <c r="K46" s="3592" t="s">
        <v>1331</v>
      </c>
      <c r="L46" s="3592"/>
      <c r="M46" s="3593"/>
      <c r="N46" s="3593"/>
      <c r="O46" s="3593"/>
    </row>
    <row r="47" spans="1:15" ht="12" customHeight="1">
      <c r="A47" s="157" t="s">
        <v>1332</v>
      </c>
      <c r="B47" s="158"/>
      <c r="C47" s="159"/>
      <c r="D47" s="1081" t="s">
        <v>1333</v>
      </c>
      <c r="E47" s="299" t="s">
        <v>1334</v>
      </c>
      <c r="F47" s="160" t="s">
        <v>1335</v>
      </c>
      <c r="G47" s="2540" t="s">
        <v>1336</v>
      </c>
      <c r="H47" s="2541"/>
      <c r="I47" s="156"/>
      <c r="J47" s="2517">
        <v>2</v>
      </c>
      <c r="K47" s="3592" t="s">
        <v>1337</v>
      </c>
      <c r="L47" s="3592"/>
      <c r="M47" s="3594">
        <f>'数据-取费表'!B2</f>
        <v>45539</v>
      </c>
      <c r="N47" s="3594"/>
      <c r="O47" s="3594"/>
    </row>
    <row r="48" spans="1:15" ht="25.5">
      <c r="A48" s="3654" t="s">
        <v>1338</v>
      </c>
      <c r="B48" s="3655"/>
      <c r="C48" s="3655"/>
      <c r="D48" s="2318" t="b">
        <f>IF(H48="情况1",0,IF(H48="情况2",D52,IF(H48="情况3",D53,IF(H48="情况4",D54))))</f>
        <v>0</v>
      </c>
      <c r="E48" s="2328" t="str">
        <f>IF(H48="情况4","(销售额-原购置价)×税（费）率","销售额×税（费）率")</f>
        <v>销售额×税（费）率</v>
      </c>
      <c r="F48" s="2542">
        <f>IF(H48="情况1","免征",'数据-取费表'!B41)</f>
        <v>5.6000000000000001E-2</v>
      </c>
      <c r="G48" s="2543" t="s">
        <v>1339</v>
      </c>
      <c r="H48" s="2544"/>
      <c r="I48" s="1800"/>
      <c r="J48" s="2517">
        <v>3</v>
      </c>
      <c r="K48" s="3592" t="s">
        <v>1340</v>
      </c>
      <c r="L48" s="3592"/>
      <c r="M48" s="3595">
        <f ca="1">H101</f>
        <v>11143</v>
      </c>
      <c r="N48" s="3595"/>
      <c r="O48" s="3595"/>
    </row>
    <row r="49" spans="1:35" ht="25.5" customHeight="1">
      <c r="A49" s="2327" t="s">
        <v>1341</v>
      </c>
      <c r="B49" s="3640" t="s">
        <v>1342</v>
      </c>
      <c r="C49" s="3640"/>
      <c r="D49" s="1584">
        <v>0</v>
      </c>
      <c r="E49" s="321" t="s">
        <v>1343</v>
      </c>
      <c r="F49" s="2418" t="s">
        <v>28</v>
      </c>
      <c r="G49" s="3623"/>
      <c r="H49" s="2304" t="s">
        <v>2134</v>
      </c>
      <c r="I49" s="2305"/>
      <c r="J49" s="2517">
        <v>4</v>
      </c>
      <c r="K49" s="3592" t="str">
        <f>IF(项目基本情况!E8="房地产抵押价值","房地产抵押价值","抵押担保权已注销时的房地产抵押价值")</f>
        <v>房地产抵押价值</v>
      </c>
      <c r="L49" s="3592"/>
      <c r="M49" s="3595">
        <f ca="1">IF(项目基本情况!E8="房地产抵押价值",H107,H109)</f>
        <v>11143</v>
      </c>
      <c r="N49" s="3595"/>
      <c r="O49" s="3595"/>
    </row>
    <row r="50" spans="1:35" ht="25.5" customHeight="1">
      <c r="A50" s="2545"/>
      <c r="B50" s="3640" t="s">
        <v>1344</v>
      </c>
      <c r="C50" s="3640"/>
      <c r="D50" s="2546"/>
      <c r="E50" s="329"/>
      <c r="F50" s="2418"/>
      <c r="G50" s="3624"/>
      <c r="H50" s="2306" t="s">
        <v>2135</v>
      </c>
      <c r="I50" s="2305"/>
      <c r="J50" s="3591" t="s">
        <v>1345</v>
      </c>
      <c r="K50" s="3591"/>
      <c r="L50" s="3591"/>
      <c r="M50" s="3591"/>
      <c r="N50" s="3591"/>
      <c r="O50" s="3591"/>
    </row>
    <row r="51" spans="1:35" ht="20.45" customHeight="1">
      <c r="A51" s="2547"/>
      <c r="B51" s="3640" t="s">
        <v>1346</v>
      </c>
      <c r="C51" s="3640"/>
      <c r="D51" s="1081"/>
      <c r="E51" s="324"/>
      <c r="F51" s="2418"/>
      <c r="G51" s="3625"/>
      <c r="H51" s="2306" t="s">
        <v>2136</v>
      </c>
      <c r="I51" s="2305"/>
      <c r="J51" s="2518" t="s">
        <v>1347</v>
      </c>
      <c r="K51" s="3592" t="s">
        <v>1348</v>
      </c>
      <c r="L51" s="3592"/>
      <c r="M51" s="2518" t="s">
        <v>1349</v>
      </c>
      <c r="N51" s="2518" t="s">
        <v>1350</v>
      </c>
      <c r="O51" s="2518" t="s">
        <v>1351</v>
      </c>
    </row>
    <row r="52" spans="1:35" ht="24" customHeight="1">
      <c r="A52" s="2329" t="s">
        <v>1352</v>
      </c>
      <c r="B52" s="3640" t="s">
        <v>1353</v>
      </c>
      <c r="C52" s="3640"/>
      <c r="D52" s="1081">
        <f ca="1">ROUND(D45*'数据-取费表'!B41/(1+'数据-取费表'!C42),0)</f>
        <v>594</v>
      </c>
      <c r="E52" s="2328" t="s">
        <v>1354</v>
      </c>
      <c r="F52" s="2548">
        <f>'数据-取费表'!B41</f>
        <v>5.6000000000000001E-2</v>
      </c>
      <c r="G52" s="2549"/>
      <c r="H52" s="2538"/>
      <c r="I52" s="1801"/>
      <c r="J52" s="2517">
        <v>1</v>
      </c>
      <c r="K52" s="3617" t="s">
        <v>1355</v>
      </c>
      <c r="L52" s="3617"/>
      <c r="M52" s="2519" t="b">
        <f>D48</f>
        <v>0</v>
      </c>
      <c r="N52" s="2517" t="str">
        <f>E48</f>
        <v>销售额×税（费）率</v>
      </c>
      <c r="O52" s="2520">
        <f>F48</f>
        <v>5.6000000000000001E-2</v>
      </c>
    </row>
    <row r="53" spans="1:35" ht="12" customHeight="1">
      <c r="A53" s="2329" t="s">
        <v>1356</v>
      </c>
      <c r="B53" s="3641" t="s">
        <v>2282</v>
      </c>
      <c r="C53" s="3642"/>
      <c r="D53" s="1081">
        <f ca="1">ROUND(D45*'数据-取费表'!B41/(1+'数据-取费表'!C42),0)</f>
        <v>594</v>
      </c>
      <c r="E53" s="2328" t="s">
        <v>1354</v>
      </c>
      <c r="F53" s="2548">
        <f>'数据-取费表'!B41</f>
        <v>5.6000000000000001E-2</v>
      </c>
      <c r="G53" s="2549"/>
      <c r="H53" s="2538"/>
      <c r="I53" s="1801"/>
      <c r="J53" s="2517">
        <v>2</v>
      </c>
      <c r="K53" s="3617" t="s">
        <v>1357</v>
      </c>
      <c r="L53" s="3617"/>
      <c r="M53" s="2519">
        <f t="shared" ref="M53:O54" ca="1" si="0">D55</f>
        <v>6</v>
      </c>
      <c r="N53" s="2517" t="str">
        <f t="shared" si="0"/>
        <v>销售额×税（费）率</v>
      </c>
      <c r="O53" s="2520" t="str">
        <f t="shared" si="0"/>
        <v>免征</v>
      </c>
    </row>
    <row r="54" spans="1:35" ht="12" customHeight="1">
      <c r="A54" s="2329" t="s">
        <v>1358</v>
      </c>
      <c r="B54" s="3641" t="s">
        <v>2283</v>
      </c>
      <c r="C54" s="3642"/>
      <c r="D54" s="1081">
        <f ca="1">C68</f>
        <v>594</v>
      </c>
      <c r="E54" s="324" t="s">
        <v>1359</v>
      </c>
      <c r="F54" s="2548">
        <f>'数据-取费表'!B41</f>
        <v>5.6000000000000001E-2</v>
      </c>
      <c r="G54" s="2549"/>
      <c r="H54" s="2550"/>
      <c r="I54" s="1801"/>
      <c r="J54" s="2517">
        <v>3</v>
      </c>
      <c r="K54" s="3617" t="s">
        <v>1360</v>
      </c>
      <c r="L54" s="3617"/>
      <c r="M54" s="2519">
        <f t="shared" ca="1" si="0"/>
        <v>6306</v>
      </c>
      <c r="N54" s="2517" t="str">
        <f t="shared" si="0"/>
        <v>增值额×税（费）率</v>
      </c>
      <c r="O54" s="2521" t="str">
        <f t="shared" si="0"/>
        <v>免征</v>
      </c>
    </row>
    <row r="55" spans="1:35" ht="24" customHeight="1">
      <c r="A55" s="3677" t="s">
        <v>1361</v>
      </c>
      <c r="B55" s="3655"/>
      <c r="C55" s="3655"/>
      <c r="D55" s="2318">
        <f ca="1">IF(H55="个人住宅",0,ROUND(D45*I55,0))</f>
        <v>6</v>
      </c>
      <c r="E55" s="2328" t="s">
        <v>1362</v>
      </c>
      <c r="F55" s="2548" t="str">
        <f>IF(H55="正常",I55,"免征")</f>
        <v>免征</v>
      </c>
      <c r="G55" s="2549"/>
      <c r="H55" s="2544"/>
      <c r="I55" s="162">
        <f>'数据-取费表'!B49</f>
        <v>5.0000000000000001E-4</v>
      </c>
      <c r="J55" s="2517">
        <f>IF(H59="非个人房产","",4)</f>
        <v>4</v>
      </c>
      <c r="K55" s="3617" t="str">
        <f>IF(H59="非个人房产","——","个人所得税")</f>
        <v>个人所得税</v>
      </c>
      <c r="L55" s="3617"/>
      <c r="M55" s="2522">
        <f ca="1">D59</f>
        <v>106</v>
      </c>
      <c r="N55" s="2034" t="str">
        <f>E59</f>
        <v>差额计税</v>
      </c>
      <c r="O55" s="2523">
        <f>F59</f>
        <v>0.01</v>
      </c>
    </row>
    <row r="56" spans="1:35" ht="24.75">
      <c r="A56" s="3677" t="s">
        <v>1363</v>
      </c>
      <c r="B56" s="3655"/>
      <c r="C56" s="3655"/>
      <c r="D56" s="2318">
        <f ca="1">IF(H56="个人住宅",D57,D58)</f>
        <v>6306</v>
      </c>
      <c r="E56" s="2328" t="s">
        <v>1364</v>
      </c>
      <c r="F56" s="2548" t="str">
        <f>IF(H56="正常",F58,"免征")</f>
        <v>免征</v>
      </c>
      <c r="G56" s="2551" t="s">
        <v>1365</v>
      </c>
      <c r="H56" s="2552"/>
      <c r="I56" s="1802"/>
      <c r="J56" s="2517" t="str">
        <f>IF(项目基本情况!K6="上海银行",IF(J55="",4,J55+1),"")</f>
        <v/>
      </c>
      <c r="K56" s="3598" t="str">
        <f>IF(项目基本情况!K6="上海银行","其他处置费用","")</f>
        <v/>
      </c>
      <c r="L56" s="3599"/>
      <c r="M56" s="2519" t="str">
        <f>IF(项目基本情况!K6="上海银行",M69,"")</f>
        <v/>
      </c>
      <c r="N56" s="3598" t="str">
        <f>IF(项目基本情况!K6="上海银行","包含处置中涉及的律师、诉讼、拍卖、评估等费用","")</f>
        <v/>
      </c>
      <c r="O56" s="3601"/>
    </row>
    <row r="57" spans="1:35" ht="12.75">
      <c r="A57" s="2329" t="s">
        <v>1341</v>
      </c>
      <c r="B57" s="3641" t="s">
        <v>1366</v>
      </c>
      <c r="C57" s="3642"/>
      <c r="D57" s="1584">
        <v>0</v>
      </c>
      <c r="E57" s="321" t="s">
        <v>1343</v>
      </c>
      <c r="F57" s="299"/>
      <c r="G57" s="2549"/>
      <c r="H57" s="2553"/>
      <c r="I57" s="1802"/>
      <c r="J57" s="3617">
        <f>IF(AND(J55="",J56=""),4,IF(项目基本情况!K6="上海银行",结果表!J56+1,结果表!J55+1))</f>
        <v>5</v>
      </c>
      <c r="K57" s="3617" t="s">
        <v>1367</v>
      </c>
      <c r="L57" s="2524" t="s">
        <v>1368</v>
      </c>
      <c r="M57" s="2525"/>
      <c r="N57" s="2526">
        <f ca="1">SUMIF(M52:M56,"&lt;9e307")</f>
        <v>6418</v>
      </c>
      <c r="O57" s="2527"/>
      <c r="P57" s="2684">
        <f ca="1">N57/M49</f>
        <v>0.57596697478237457</v>
      </c>
    </row>
    <row r="58" spans="1:35" ht="24.75">
      <c r="A58" s="2329" t="s">
        <v>1352</v>
      </c>
      <c r="B58" s="3641" t="s">
        <v>1369</v>
      </c>
      <c r="C58" s="3640"/>
      <c r="D58" s="2318">
        <f ca="1">IF(H58="转让取得",C81,C97)</f>
        <v>6306</v>
      </c>
      <c r="E58" s="2328" t="s">
        <v>1364</v>
      </c>
      <c r="F58" s="299" t="s">
        <v>28</v>
      </c>
      <c r="G58" s="2549"/>
      <c r="H58" s="2552"/>
      <c r="I58" s="1802"/>
      <c r="J58" s="3617"/>
      <c r="K58" s="3617"/>
      <c r="L58" s="2524" t="s">
        <v>1370</v>
      </c>
      <c r="M58" s="2528"/>
      <c r="N58" s="2529" t="str">
        <f ca="1">NUMBERSTRING(INT(N57*10000),2)&amp;"元整"</f>
        <v>陆仟肆佰壹拾捌万元整</v>
      </c>
      <c r="O58" s="2530"/>
    </row>
    <row r="59" spans="1:35" ht="24.75" thickBot="1">
      <c r="A59" s="3621" t="s">
        <v>1371</v>
      </c>
      <c r="B59" s="3622"/>
      <c r="C59" s="3622"/>
      <c r="D59" s="2554">
        <f ca="1">IF(H59="非个人房产","——",IF(H59="个人住宅（满五唯一有凭证）",0,IF(H59="个人其他（无凭证）",ROUND(D45*F59,0),ROUND(C67*F59,0))))</f>
        <v>106</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2137</v>
      </c>
      <c r="J59" s="3619">
        <f>J57+1</f>
        <v>6</v>
      </c>
      <c r="K59" s="3617" t="s">
        <v>1372</v>
      </c>
      <c r="L59" s="2517" t="s">
        <v>1368</v>
      </c>
      <c r="M59" s="2531"/>
      <c r="N59" s="2532">
        <f ca="1">M49-N57</f>
        <v>4725</v>
      </c>
      <c r="O59" s="2533"/>
    </row>
    <row r="60" spans="1:35" ht="12" customHeight="1">
      <c r="A60" s="1803"/>
      <c r="B60" s="1741"/>
      <c r="C60" s="1741"/>
      <c r="D60" s="1741"/>
      <c r="E60" s="1572"/>
      <c r="F60" s="1802"/>
      <c r="G60" s="1802"/>
      <c r="H60" s="1804"/>
      <c r="I60" s="126"/>
      <c r="J60" s="3620"/>
      <c r="K60" s="3617"/>
      <c r="L60" s="2524" t="s">
        <v>1370</v>
      </c>
      <c r="M60" s="2528"/>
      <c r="N60" s="2529" t="str">
        <f ca="1">NUMBERSTRING(INT(N59*10000),2)&amp;"元整"</f>
        <v>肆仟柒佰贰拾伍万元整</v>
      </c>
      <c r="O60" s="2530"/>
    </row>
    <row r="61" spans="1:35" ht="13.5" thickBot="1">
      <c r="A61" s="3676" t="s">
        <v>1373</v>
      </c>
      <c r="B61" s="3676"/>
      <c r="C61" s="3676"/>
      <c r="D61" s="3676"/>
      <c r="E61" s="3676"/>
      <c r="F61" s="1802"/>
      <c r="G61" s="1802"/>
      <c r="H61" s="1804"/>
      <c r="I61" s="126"/>
      <c r="J61" s="2517">
        <f>J59+1</f>
        <v>7</v>
      </c>
      <c r="K61" s="3617" t="s">
        <v>1374</v>
      </c>
      <c r="L61" s="3617"/>
      <c r="M61" s="2534"/>
      <c r="N61" s="2535">
        <f ca="1">ROUND(N59*10000/'数据-汇总表'!E3,0)</f>
        <v>2662</v>
      </c>
      <c r="O61" s="2536"/>
    </row>
    <row r="62" spans="1:35" ht="12.75">
      <c r="A62" s="3636" t="s">
        <v>1375</v>
      </c>
      <c r="B62" s="3637"/>
      <c r="C62" s="2015"/>
      <c r="D62" s="2015" t="s">
        <v>1376</v>
      </c>
      <c r="E62" s="163" t="s">
        <v>1377</v>
      </c>
      <c r="F62" s="1802"/>
      <c r="G62" s="1802"/>
      <c r="H62" s="1804"/>
      <c r="I62" s="126"/>
    </row>
    <row r="63" spans="1:35" ht="12.75">
      <c r="A63" s="170" t="s">
        <v>330</v>
      </c>
      <c r="B63" s="164" t="s">
        <v>1378</v>
      </c>
      <c r="C63" s="2558">
        <f ca="1">ROUND((C64+C65)/(1+'数据-取费表'!C42),0)</f>
        <v>10612</v>
      </c>
      <c r="D63" s="164"/>
      <c r="E63" s="165"/>
      <c r="F63" s="1802"/>
      <c r="G63" s="1802"/>
      <c r="H63" s="1804"/>
      <c r="I63" s="126"/>
      <c r="J63" s="3600" t="s">
        <v>1379</v>
      </c>
      <c r="K63" s="1326" t="s">
        <v>1380</v>
      </c>
      <c r="L63" s="1326">
        <f ca="1">IF(M49&gt;10000,M49*0.5%,IF(AND(M49&gt;1000,M49&lt;=10000),M49*1%,IF(AND(M49&gt;100,M49&lt;=1000),M49*3%,IF(AND(M49&gt;10,M49&lt;=100),M49*5%,M49*8%))))</f>
        <v>55.715000000000003</v>
      </c>
      <c r="M63" s="299">
        <f ca="1">ROUND(L63,1)</f>
        <v>55.7</v>
      </c>
      <c r="N63" s="2537"/>
      <c r="Z63" s="1746"/>
      <c r="AI63" s="1747"/>
    </row>
    <row r="64" spans="1:35" ht="14.25" customHeight="1">
      <c r="A64" s="166" t="s">
        <v>325</v>
      </c>
      <c r="B64" s="167" t="s">
        <v>1381</v>
      </c>
      <c r="C64" s="2559">
        <f ca="1">D45</f>
        <v>11143</v>
      </c>
      <c r="D64" s="167" t="s">
        <v>26</v>
      </c>
      <c r="E64" s="169"/>
      <c r="F64" s="1802"/>
      <c r="G64" s="1802"/>
      <c r="H64" s="1804"/>
      <c r="I64" s="126"/>
      <c r="J64" s="3600"/>
      <c r="K64" s="1326" t="s">
        <v>1382</v>
      </c>
      <c r="L64" s="1326">
        <f ca="1">IF(M49&gt;2000,M49*0.5%,IF(AND(M49&gt;1000,M49&lt;=2000),M49*0.6%,IF(AND(M49&gt;500,M49&lt;=1000),M49*0.7%,IF(AND(M49&gt;200,M49&lt;=500),M49*0.8%,IF(AND(M49&gt;100,M49&lt;=200),M49*0.9%,IF(AND(M49&gt;50,M49&lt;=100),M49*1%,IF(AND(M49&gt;20,M49&lt;=50),M49*1.5%,IF(AND(M49&gt;10,M49&lt;=20),M49*2%,IF(AND(M49&gt;1,M49&lt;=10),M49*2.5%)))))))))</f>
        <v>55.715000000000003</v>
      </c>
      <c r="M64" s="299">
        <f t="shared" ref="M64:M65" ca="1" si="1">ROUND(L64,1)</f>
        <v>55.7</v>
      </c>
      <c r="N64" s="2538" t="s">
        <v>1383</v>
      </c>
      <c r="Z64" s="1746"/>
      <c r="AI64" s="1747"/>
    </row>
    <row r="65" spans="1:35" ht="14.25" customHeight="1">
      <c r="A65" s="166" t="s">
        <v>326</v>
      </c>
      <c r="B65" s="167" t="s">
        <v>1384</v>
      </c>
      <c r="C65" s="2560"/>
      <c r="D65" s="167"/>
      <c r="E65" s="169"/>
      <c r="F65" s="1802"/>
      <c r="G65" s="1802"/>
      <c r="H65" s="1804"/>
      <c r="I65" s="126"/>
      <c r="J65" s="3600"/>
      <c r="K65" s="1326" t="s">
        <v>1385</v>
      </c>
      <c r="L65" s="1326">
        <f ca="1">IF(M49&gt;1000,M49*0.1%,IF(AND(M49&gt;500,M49&lt;=1000),M49*0.5%,IF(AND(M49&gt;50,M49&lt;=500),M49*1%,IF(AND(M49&gt;1,M49&lt;=50),M49*1.5%))))</f>
        <v>11.143000000000001</v>
      </c>
      <c r="M65" s="299">
        <f t="shared" ca="1" si="1"/>
        <v>11.1</v>
      </c>
      <c r="N65" s="2538" t="s">
        <v>1383</v>
      </c>
      <c r="Z65" s="1746"/>
      <c r="AI65" s="1747"/>
    </row>
    <row r="66" spans="1:35" ht="14.25" customHeight="1">
      <c r="A66" s="170" t="s">
        <v>327</v>
      </c>
      <c r="B66" s="171" t="s">
        <v>1386</v>
      </c>
      <c r="C66" s="2561"/>
      <c r="D66" s="171" t="s">
        <v>26</v>
      </c>
      <c r="E66" s="1332" t="s">
        <v>671</v>
      </c>
      <c r="F66" s="1802"/>
      <c r="G66" s="1802"/>
      <c r="H66" s="1804"/>
      <c r="I66" s="126"/>
      <c r="J66" s="3600"/>
      <c r="K66" s="1326" t="s">
        <v>1387</v>
      </c>
      <c r="L66" s="1326">
        <f ca="1">M49*0.5%</f>
        <v>55.715000000000003</v>
      </c>
      <c r="M66" s="299">
        <f ca="1">IF(L66&gt;0.5,0.5,ROUND(L66,0))</f>
        <v>0.5</v>
      </c>
      <c r="N66" s="2538" t="s">
        <v>1388</v>
      </c>
      <c r="Z66" s="1746"/>
      <c r="AI66" s="1747"/>
    </row>
    <row r="67" spans="1:35" ht="14.25" customHeight="1">
      <c r="A67" s="170" t="s">
        <v>328</v>
      </c>
      <c r="B67" s="171" t="s">
        <v>1389</v>
      </c>
      <c r="C67" s="2562">
        <f ca="1">C63-C66</f>
        <v>10612</v>
      </c>
      <c r="D67" s="167" t="s">
        <v>26</v>
      </c>
      <c r="E67" s="169"/>
      <c r="F67" s="1802"/>
      <c r="G67" s="1802"/>
      <c r="H67" s="1804"/>
      <c r="I67" s="126"/>
      <c r="J67" s="3600"/>
      <c r="K67" s="1326" t="s">
        <v>1390</v>
      </c>
      <c r="L67" s="1326">
        <f ca="1">IF(M49&gt;=10000,(8.25+(M49-10000)*0.01%),IF(AND(M49&gt;=8000,M49&lt;10000),(7.85+(M49-8000)*0.02%),IF(AND(M49&gt;=5000,M49&lt;8000),(6.65+(M49-5000)*0.04%),IF(AND(M49&gt;=2000,M49&lt;5000),(4.25+(PM49-2000)*0.08%),IF(AND(M49&gt;=1000,M49&lt;2000),(2.75+(M49-1000)*0.15%),IF(AND(M49&gt;=100,M49&lt;1000),(0.5+(M49-100)*0.25%),IF(AND(M49&gt;0,M49&lt;100),M49*0.5%)))))))</f>
        <v>8.3643000000000001</v>
      </c>
      <c r="M67" s="299">
        <f ca="1">ROUND(L67*0.9,1)</f>
        <v>7.5</v>
      </c>
      <c r="N67" s="2537"/>
      <c r="Z67" s="1746"/>
      <c r="AI67" s="1747"/>
    </row>
    <row r="68" spans="1:35" ht="14.25" customHeight="1" thickBot="1">
      <c r="A68" s="173" t="s">
        <v>329</v>
      </c>
      <c r="B68" s="174" t="s">
        <v>1391</v>
      </c>
      <c r="C68" s="2563">
        <f ca="1">IF(C67&lt;=0,0,ROUND(C67*D68,0))</f>
        <v>594</v>
      </c>
      <c r="D68" s="2564">
        <f>'数据-取费表'!B41</f>
        <v>5.6000000000000001E-2</v>
      </c>
      <c r="E68" s="175"/>
      <c r="F68" s="1802"/>
      <c r="G68" s="1802"/>
      <c r="H68" s="1804"/>
      <c r="I68" s="126"/>
      <c r="J68" s="3600"/>
      <c r="K68" s="1326" t="s">
        <v>1392</v>
      </c>
      <c r="L68" s="1326">
        <f ca="1">IF(M49&gt;10000,M49*0.5%,IF(AND(M49&gt;5000,M49&lt;=10000),M49*1%,IF(AND(M49&gt;1000,M49&lt;=5000),M49*2%,IF(AND(M49&gt;200,M49&lt;=1000),M49*3%,M49*5%))))</f>
        <v>55.715000000000003</v>
      </c>
      <c r="M68" s="299">
        <f ca="1">ROUND(L68,1)</f>
        <v>55.7</v>
      </c>
      <c r="N68" s="2537"/>
      <c r="Z68" s="1746"/>
      <c r="AI68" s="1747"/>
    </row>
    <row r="69" spans="1:35" s="1766" customFormat="1" ht="16.5" customHeight="1">
      <c r="A69" s="1805"/>
      <c r="B69" s="1806"/>
      <c r="C69" s="1807"/>
      <c r="D69" s="1808"/>
      <c r="E69" s="1809"/>
      <c r="F69" s="1572"/>
      <c r="G69" s="1572"/>
      <c r="H69" s="1571"/>
      <c r="I69" s="1741"/>
      <c r="J69" s="3600"/>
      <c r="K69" s="1326" t="s">
        <v>1393</v>
      </c>
      <c r="L69" s="1326"/>
      <c r="M69" s="299">
        <f ca="1">ROUND(SUM(M63:M68),0)</f>
        <v>186</v>
      </c>
      <c r="N69" s="2539">
        <f ca="1">M69/M49</f>
        <v>1.6692093691106524E-2</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thickBot="1">
      <c r="A70" s="3644" t="s">
        <v>1394</v>
      </c>
      <c r="B70" s="3645"/>
      <c r="C70" s="3645"/>
      <c r="D70" s="3645"/>
      <c r="E70" s="3645"/>
      <c r="F70" s="3645"/>
      <c r="G70" s="3645"/>
      <c r="H70" s="3645"/>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36" t="s">
        <v>1375</v>
      </c>
      <c r="B71" s="3637"/>
      <c r="C71" s="2015"/>
      <c r="D71" s="2015" t="s">
        <v>1376</v>
      </c>
      <c r="E71" s="176" t="s">
        <v>1377</v>
      </c>
      <c r="F71" s="177"/>
      <c r="G71" s="177"/>
      <c r="H71" s="178"/>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0" t="s">
        <v>330</v>
      </c>
      <c r="B72" s="171" t="s">
        <v>1395</v>
      </c>
      <c r="C72" s="2562">
        <f ca="1">ROUND(D45/(1+'数据-取费表'!C42),0)</f>
        <v>10612</v>
      </c>
      <c r="D72" s="167" t="s">
        <v>26</v>
      </c>
      <c r="E72" s="2325"/>
      <c r="F72" s="2324"/>
      <c r="G72" s="2324"/>
      <c r="H72" s="179"/>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0" t="s">
        <v>327</v>
      </c>
      <c r="B73" s="160" t="s">
        <v>1396</v>
      </c>
      <c r="C73" s="2562">
        <f ca="1">C74+C78</f>
        <v>64</v>
      </c>
      <c r="D73" s="167" t="s">
        <v>26</v>
      </c>
      <c r="E73" s="2325"/>
      <c r="F73" s="2324"/>
      <c r="G73" s="2324"/>
      <c r="H73" s="179"/>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6" t="s">
        <v>325</v>
      </c>
      <c r="B74" s="167" t="s">
        <v>1397</v>
      </c>
      <c r="C74" s="167">
        <f>ROUND(IF(G77="2016年5月1日后购买",C75/(1+'数据-取费表'!C42)+C76+C77,C75+C76+C77),0)</f>
        <v>0</v>
      </c>
      <c r="D74" s="167" t="s">
        <v>26</v>
      </c>
      <c r="E74" s="2325"/>
      <c r="F74" s="2324"/>
      <c r="G74" s="2324"/>
      <c r="H74" s="179"/>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6" t="s">
        <v>331</v>
      </c>
      <c r="B75" s="167" t="s">
        <v>1398</v>
      </c>
      <c r="C75" s="2565"/>
      <c r="D75" s="167" t="s">
        <v>26</v>
      </c>
      <c r="E75" s="181" t="s">
        <v>1399</v>
      </c>
      <c r="F75" s="2566"/>
      <c r="G75" s="181"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6" t="s">
        <v>332</v>
      </c>
      <c r="B76" s="182" t="s">
        <v>1401</v>
      </c>
      <c r="C76" s="167">
        <f>IF(F75="购房发票",ROUND(C75*H75*D76,0),0)</f>
        <v>0</v>
      </c>
      <c r="D76" s="2568">
        <v>0.05</v>
      </c>
      <c r="E76" s="3641" t="s">
        <v>1402</v>
      </c>
      <c r="F76" s="3640"/>
      <c r="G76" s="3640"/>
      <c r="H76" s="3643"/>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6" t="s">
        <v>333</v>
      </c>
      <c r="B77" s="167" t="s">
        <v>1403</v>
      </c>
      <c r="C77" s="167">
        <f>ROUND(IF(G77="个人住宅",0,IF(G77="2016年5月1日前购买",C75*D77,C75*D77/(1+'数据-取费表'!C42))),0)</f>
        <v>0</v>
      </c>
      <c r="D77" s="2569">
        <f>'数据-取费表'!B48+'数据-取费表'!B49</f>
        <v>3.0499999999999999E-2</v>
      </c>
      <c r="E77" s="2318" t="s">
        <v>1404</v>
      </c>
      <c r="F77" s="183"/>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6" t="s">
        <v>326</v>
      </c>
      <c r="B78" s="167" t="s">
        <v>1405</v>
      </c>
      <c r="C78" s="2570">
        <f ca="1">ROUND(D45*D78/(1+'数据-取费表'!C42),0)</f>
        <v>64</v>
      </c>
      <c r="D78" s="2571">
        <f>'数据-取费表'!B43</f>
        <v>6.000000000000001E-3</v>
      </c>
      <c r="E78" s="3633" t="s">
        <v>1406</v>
      </c>
      <c r="F78" s="3634"/>
      <c r="G78" s="3634"/>
      <c r="H78" s="3635"/>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0" t="s">
        <v>334</v>
      </c>
      <c r="B79" s="171" t="s">
        <v>1407</v>
      </c>
      <c r="C79" s="2562">
        <f ca="1">C72-C73</f>
        <v>10548</v>
      </c>
      <c r="D79" s="167" t="s">
        <v>26</v>
      </c>
      <c r="E79" s="2325"/>
      <c r="F79" s="2324"/>
      <c r="G79" s="2324"/>
      <c r="H79" s="179"/>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0" t="s">
        <v>335</v>
      </c>
      <c r="B80" s="171" t="s">
        <v>1408</v>
      </c>
      <c r="C80" s="2572">
        <f ca="1">IF(C79&lt;=0,0,C79/C73)</f>
        <v>164.8125</v>
      </c>
      <c r="D80" s="167"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9"/>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3" t="s">
        <v>336</v>
      </c>
      <c r="B81" s="174" t="s">
        <v>1409</v>
      </c>
      <c r="C81" s="2573">
        <f ca="1">ROUND(IF(C79&lt;=0,0,IF(C80&gt;=200%,C79*60%-C73*35%,IF(C80&gt;=100%,C79*50%-C73*15%,IF(C80&gt;=50%,C79*40%-C73*5%,IF(C80&lt;50%,C79*30%,0))))),0)</f>
        <v>6306</v>
      </c>
      <c r="D81" s="2574"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44" t="s">
        <v>1410</v>
      </c>
      <c r="B83" s="3645"/>
      <c r="C83" s="3645"/>
      <c r="D83" s="3645"/>
      <c r="E83" s="3645"/>
      <c r="F83" s="3645"/>
      <c r="G83" s="3645"/>
      <c r="H83" s="3645"/>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36" t="s">
        <v>1375</v>
      </c>
      <c r="B84" s="3637"/>
      <c r="C84" s="2015"/>
      <c r="D84" s="2015" t="s">
        <v>1376</v>
      </c>
      <c r="E84" s="176" t="s">
        <v>1377</v>
      </c>
      <c r="F84" s="177"/>
      <c r="G84" s="177"/>
      <c r="H84" s="188"/>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0" t="s">
        <v>330</v>
      </c>
      <c r="B85" s="171" t="s">
        <v>1395</v>
      </c>
      <c r="C85" s="2562">
        <f ca="1">ROUND(D45/(1+'数据-取费表'!C42),0)</f>
        <v>10612</v>
      </c>
      <c r="D85" s="167" t="s">
        <v>26</v>
      </c>
      <c r="E85" s="2325"/>
      <c r="F85" s="2324"/>
      <c r="G85" s="2324"/>
      <c r="H85" s="189"/>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0" t="s">
        <v>327</v>
      </c>
      <c r="B86" s="160" t="s">
        <v>1396</v>
      </c>
      <c r="C86" s="2562">
        <f ca="1">IF(H88="仅含出让金",C87+C90+C91+C92+C93+C94,C87+C91+C92+C93+C94)</f>
        <v>64</v>
      </c>
      <c r="D86" s="2575"/>
      <c r="E86" s="2325"/>
      <c r="F86" s="2324"/>
      <c r="G86" s="2324"/>
      <c r="H86" s="189"/>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6" t="s">
        <v>325</v>
      </c>
      <c r="B87" s="167"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6" t="s">
        <v>331</v>
      </c>
      <c r="B88" s="167" t="s">
        <v>1412</v>
      </c>
      <c r="C88" s="2576"/>
      <c r="D88" s="2571"/>
      <c r="E88" s="190" t="s">
        <v>1413</v>
      </c>
      <c r="F88" s="2321"/>
      <c r="G88" s="191" t="s">
        <v>1414</v>
      </c>
      <c r="H88" s="1818"/>
      <c r="I88" s="1815"/>
      <c r="J88" s="2515" t="s">
        <v>2279</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6" t="s">
        <v>332</v>
      </c>
      <c r="B89" s="167" t="s">
        <v>1403</v>
      </c>
      <c r="C89" s="2570">
        <f>ROUND(C88*D89,0)</f>
        <v>0</v>
      </c>
      <c r="D89" s="2571">
        <f>'数据-取费表'!B48+'数据-取费表'!B49</f>
        <v>3.0499999999999999E-2</v>
      </c>
      <c r="E89" s="190"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6" t="s">
        <v>326</v>
      </c>
      <c r="B90" s="167" t="s">
        <v>1416</v>
      </c>
      <c r="C90" s="2576"/>
      <c r="D90" s="2571"/>
      <c r="E90" s="190" t="str">
        <f>IF(H88="-","土地取得成本中已包含该笔费用"," ")</f>
        <v xml:space="preserve"> </v>
      </c>
      <c r="F90" s="2321"/>
      <c r="G90" s="3602" t="s">
        <v>2129</v>
      </c>
      <c r="H90" s="3603"/>
      <c r="I90" s="1815"/>
      <c r="J90" s="2515" t="s">
        <v>2280</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6" t="s">
        <v>1417</v>
      </c>
      <c r="B91" s="167" t="s">
        <v>1418</v>
      </c>
      <c r="C91" s="2570">
        <f>IF(H91="——",成本法!C33,I91)</f>
        <v>0</v>
      </c>
      <c r="D91" s="2571"/>
      <c r="E91" s="3633" t="s">
        <v>1419</v>
      </c>
      <c r="F91" s="3634"/>
      <c r="G91" s="3634"/>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6" t="s">
        <v>1420</v>
      </c>
      <c r="B92" s="167" t="s">
        <v>1421</v>
      </c>
      <c r="C92" s="2570">
        <f>ROUND((C87+C90+C91)*D92,0)</f>
        <v>0</v>
      </c>
      <c r="D92" s="2577"/>
      <c r="E92" s="3633" t="s">
        <v>1422</v>
      </c>
      <c r="F92" s="3634"/>
      <c r="G92" s="3634"/>
      <c r="H92" s="3635"/>
      <c r="I92" s="1815"/>
      <c r="J92" s="2516" t="s">
        <v>2281</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6" t="s">
        <v>1423</v>
      </c>
      <c r="B93" s="167" t="s">
        <v>1405</v>
      </c>
      <c r="C93" s="2570">
        <f ca="1">ROUND(D45*D93/(1+'数据-取费表'!C42),0)</f>
        <v>64</v>
      </c>
      <c r="D93" s="2571">
        <f>'数据-取费表'!B43</f>
        <v>6.000000000000001E-3</v>
      </c>
      <c r="E93" s="3633" t="s">
        <v>1406</v>
      </c>
      <c r="F93" s="3634"/>
      <c r="G93" s="3634"/>
      <c r="H93" s="3635"/>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6" t="s">
        <v>1424</v>
      </c>
      <c r="B94" s="167" t="s">
        <v>1425</v>
      </c>
      <c r="C94" s="2576">
        <f>ROUND((C87+C90+C91)*D94,0)</f>
        <v>0</v>
      </c>
      <c r="D94" s="2571">
        <v>0.2</v>
      </c>
      <c r="E94" s="3678" t="s">
        <v>1426</v>
      </c>
      <c r="F94" s="3679"/>
      <c r="G94" s="3679"/>
      <c r="H94" s="3680"/>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0" t="s">
        <v>334</v>
      </c>
      <c r="B95" s="171" t="s">
        <v>1407</v>
      </c>
      <c r="C95" s="2562">
        <f ca="1">ROUND(C85-C86,0)</f>
        <v>10548</v>
      </c>
      <c r="D95" s="167" t="s">
        <v>26</v>
      </c>
      <c r="E95" s="2325"/>
      <c r="F95" s="2324"/>
      <c r="G95" s="2324"/>
      <c r="H95" s="189"/>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0" t="s">
        <v>335</v>
      </c>
      <c r="B96" s="171" t="s">
        <v>1408</v>
      </c>
      <c r="C96" s="2572">
        <f ca="1">IF(C95&lt;=0,0,C95/C86)</f>
        <v>164.8125</v>
      </c>
      <c r="D96" s="167"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89"/>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3" t="s">
        <v>336</v>
      </c>
      <c r="B97" s="174" t="s">
        <v>1409</v>
      </c>
      <c r="C97" s="2573">
        <f ca="1">ROUND(IF(C95&lt;=0,0,IF(C96&gt;=200%,C95*60%-C86*35%,IF(C96&gt;=100%,C95*50%-C86*15%,IF(C96&gt;=50%,C95*40%-C86*5%,IF(C96&lt;50%,C95*30%,0))))),0)</f>
        <v>6306</v>
      </c>
      <c r="D97" s="2574"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6"/>
    </row>
    <row r="99" spans="1:35" ht="21.75" customHeight="1" thickBot="1">
      <c r="A99" s="1794" t="s">
        <v>1427</v>
      </c>
      <c r="B99" s="1741"/>
      <c r="C99" s="1741"/>
      <c r="D99" s="1741"/>
      <c r="E99" s="1572"/>
      <c r="F99" s="1572"/>
      <c r="G99" s="1572"/>
      <c r="H99" s="1571"/>
      <c r="I99" s="126"/>
    </row>
    <row r="100" spans="1:35" ht="18.75" customHeight="1">
      <c r="A100" s="3583" t="s">
        <v>1428</v>
      </c>
      <c r="B100" s="3584"/>
      <c r="C100" s="3584"/>
      <c r="D100" s="3618"/>
      <c r="E100" s="3584" t="s">
        <v>1429</v>
      </c>
      <c r="F100" s="3584"/>
      <c r="G100" s="3584"/>
      <c r="H100" s="3618"/>
      <c r="I100" s="126"/>
    </row>
    <row r="101" spans="1:35" ht="18.75" customHeight="1">
      <c r="A101" s="3626" t="s">
        <v>1430</v>
      </c>
      <c r="B101" s="3627"/>
      <c r="C101" s="2579" t="str">
        <f>C4</f>
        <v>成本法</v>
      </c>
      <c r="D101" s="2580" t="str">
        <f>D4</f>
        <v>收益法</v>
      </c>
      <c r="E101" s="3596" t="s">
        <v>1431</v>
      </c>
      <c r="F101" s="3597"/>
      <c r="G101" s="1821" t="s">
        <v>1432</v>
      </c>
      <c r="H101" s="2589">
        <f ca="1">H118</f>
        <v>11143</v>
      </c>
      <c r="I101" s="126"/>
    </row>
    <row r="102" spans="1:35" ht="18.75" customHeight="1">
      <c r="A102" s="3628" t="s">
        <v>1433</v>
      </c>
      <c r="B102" s="2578" t="s">
        <v>1432</v>
      </c>
      <c r="C102" s="2579">
        <f ca="1">IF(D32="楼面单价",ROUND(C19,0),C19)</f>
        <v>10317</v>
      </c>
      <c r="D102" s="2580">
        <f ca="1">IF(D32="楼面单价",ROUND(D19,0),D19)</f>
        <v>11969</v>
      </c>
      <c r="E102" s="3596"/>
      <c r="F102" s="3597"/>
      <c r="G102" s="1821" t="s">
        <v>1434</v>
      </c>
      <c r="H102" s="2549">
        <f ca="1">I118</f>
        <v>6279</v>
      </c>
      <c r="I102" s="126"/>
    </row>
    <row r="103" spans="1:35" ht="42.75" customHeight="1">
      <c r="A103" s="3628"/>
      <c r="B103" s="2578" t="s">
        <v>1434</v>
      </c>
      <c r="C103" s="2581">
        <f ca="1">C20</f>
        <v>5813</v>
      </c>
      <c r="D103" s="2582">
        <f ca="1">D20</f>
        <v>6744</v>
      </c>
      <c r="E103" s="3589" t="s">
        <v>1435</v>
      </c>
      <c r="F103" s="3590"/>
      <c r="G103" s="1822" t="s">
        <v>1436</v>
      </c>
      <c r="H103" s="2589">
        <f>IF(D36="正常操作",H104+H105+H106,H105+H106)</f>
        <v>0</v>
      </c>
      <c r="I103" s="126"/>
    </row>
    <row r="104" spans="1:35" ht="18.75" customHeight="1">
      <c r="A104" s="3628" t="s">
        <v>1437</v>
      </c>
      <c r="B104" s="2583" t="s">
        <v>1432</v>
      </c>
      <c r="C104" s="2584">
        <f ca="1">H118</f>
        <v>11143</v>
      </c>
      <c r="D104" s="2585"/>
      <c r="E104" s="1668" t="s">
        <v>1438</v>
      </c>
      <c r="F104" s="1660"/>
      <c r="G104" s="1822" t="s">
        <v>1436</v>
      </c>
      <c r="H104" s="2590">
        <f>IF(D36="同一抵押权人同一抵押物续贷",C36&amp;"（续贷，未扣减，详见特别提示）",C36)</f>
        <v>0</v>
      </c>
      <c r="I104" s="126"/>
    </row>
    <row r="105" spans="1:35" ht="18.75" customHeight="1" thickBot="1">
      <c r="A105" s="3638"/>
      <c r="B105" s="2586" t="s">
        <v>1434</v>
      </c>
      <c r="C105" s="2587">
        <f ca="1">I118</f>
        <v>6279</v>
      </c>
      <c r="D105" s="2588"/>
      <c r="E105" s="1668" t="s">
        <v>1439</v>
      </c>
      <c r="F105" s="1660"/>
      <c r="G105" s="1822" t="s">
        <v>1436</v>
      </c>
      <c r="H105" s="2591">
        <f>C37</f>
        <v>0</v>
      </c>
      <c r="I105" s="126"/>
    </row>
    <row r="106" spans="1:35" ht="18.75" customHeight="1">
      <c r="A106" s="1741" t="s">
        <v>1440</v>
      </c>
      <c r="B106" s="1741"/>
      <c r="C106" s="1741"/>
      <c r="D106" s="1741"/>
      <c r="E106" s="1823" t="s">
        <v>1441</v>
      </c>
      <c r="F106" s="1660"/>
      <c r="G106" s="1822" t="s">
        <v>1436</v>
      </c>
      <c r="H106" s="2591">
        <f>C38</f>
        <v>0</v>
      </c>
      <c r="I106" s="126"/>
    </row>
    <row r="107" spans="1:35" ht="18.75" customHeight="1">
      <c r="A107" s="126"/>
      <c r="B107" s="126"/>
      <c r="C107" s="126"/>
      <c r="D107" s="126"/>
      <c r="E107" s="3629" t="str">
        <f>IF(项目基本情况!E8="已注销","——","3.房地产抵押价值")</f>
        <v>3.房地产抵押价值</v>
      </c>
      <c r="F107" s="3597"/>
      <c r="G107" s="1821" t="s">
        <v>1432</v>
      </c>
      <c r="H107" s="2589">
        <f ca="1">IF(E107="——","——",H101-H103)</f>
        <v>11143</v>
      </c>
      <c r="I107" s="126"/>
    </row>
    <row r="108" spans="1:35" ht="18.75" customHeight="1">
      <c r="A108" s="126"/>
      <c r="B108" s="126"/>
      <c r="C108" s="126"/>
      <c r="D108" s="126"/>
      <c r="E108" s="3629"/>
      <c r="F108" s="3597"/>
      <c r="G108" s="1821" t="s">
        <v>1434</v>
      </c>
      <c r="H108" s="2549">
        <f ca="1">IF(H107=H101,H102,ROUND(H107*10000/'数据-汇总表'!E3,0))</f>
        <v>6279</v>
      </c>
      <c r="I108" s="126"/>
    </row>
    <row r="109" spans="1:35" ht="18.75" customHeight="1">
      <c r="A109" s="126"/>
      <c r="B109" s="126"/>
      <c r="C109" s="126"/>
      <c r="D109" s="126"/>
      <c r="E109" s="3629" t="str">
        <f>IF(项目基本情况!E8="已注销及未注销","4.抵押担保权已注销时的房地产抵押价值",IF(项目基本情况!E8="已注销","3.抵押担保权已注销时的房地产抵押价值","——"))</f>
        <v>——</v>
      </c>
      <c r="F109" s="3597"/>
      <c r="G109" s="1821" t="s">
        <v>1432</v>
      </c>
      <c r="H109" s="2592" t="str">
        <f>IF(E109="——","——",H101-H105-H106)</f>
        <v>——</v>
      </c>
      <c r="I109" s="126"/>
    </row>
    <row r="110" spans="1:35" ht="18.75" customHeight="1">
      <c r="A110" s="126"/>
      <c r="B110" s="126"/>
      <c r="C110" s="126"/>
      <c r="D110" s="126"/>
      <c r="E110" s="3629"/>
      <c r="F110" s="3597"/>
      <c r="G110" s="1821" t="s">
        <v>1434</v>
      </c>
      <c r="H110" s="2549" t="str">
        <f>IF(H109="——","——",ROUND(H109*10000/'数据-汇总表'!E3,0))</f>
        <v>——</v>
      </c>
      <c r="I110" s="126"/>
    </row>
    <row r="111" spans="1:35" ht="18.75" customHeight="1">
      <c r="A111" s="126"/>
      <c r="B111" s="126"/>
      <c r="C111" s="126"/>
      <c r="D111" s="126"/>
      <c r="E111" s="3630" t="str">
        <f>IF(项目基本情况!E9="抵押净值",IF(OR(项目基本情况!E8="已注销",项目基本情况!E8="房地产抵押价值"),"4.抵押净值","5.抵押净值"),"——")</f>
        <v>——</v>
      </c>
      <c r="F111" s="3616"/>
      <c r="G111" s="1821" t="s">
        <v>1432</v>
      </c>
      <c r="H111" s="2589" t="str">
        <f>IF(E111="——","——",N59)</f>
        <v>——</v>
      </c>
      <c r="I111" s="126"/>
    </row>
    <row r="112" spans="1:35" ht="18.75" customHeight="1" thickBot="1">
      <c r="A112" s="126"/>
      <c r="B112" s="126"/>
      <c r="C112" s="126"/>
      <c r="D112" s="126"/>
      <c r="E112" s="3631"/>
      <c r="F112" s="3632"/>
      <c r="G112" s="1824" t="s">
        <v>1434</v>
      </c>
      <c r="H112" s="2593" t="str">
        <f>IF(E111="——","——",N61)</f>
        <v>——</v>
      </c>
      <c r="I112" s="126"/>
    </row>
    <row r="113" spans="1:27" ht="18.75" customHeight="1">
      <c r="A113" s="126"/>
      <c r="B113" s="126"/>
      <c r="C113" s="126"/>
      <c r="D113" s="126"/>
      <c r="E113" s="3639" t="s">
        <v>1440</v>
      </c>
      <c r="F113" s="3639"/>
      <c r="G113" s="3639"/>
      <c r="H113" s="3639"/>
      <c r="I113" s="126"/>
    </row>
    <row r="114" spans="1:27" ht="3.75" customHeight="1">
      <c r="A114" s="1741"/>
      <c r="B114" s="1741"/>
      <c r="C114" s="1741"/>
      <c r="D114" s="1741"/>
      <c r="E114" s="1803"/>
      <c r="F114" s="1803"/>
      <c r="G114" s="1803"/>
      <c r="H114" s="1803"/>
      <c r="I114" s="1741"/>
    </row>
    <row r="115" spans="1:27" ht="18.75" customHeight="1">
      <c r="A115" s="3647" t="s">
        <v>1442</v>
      </c>
      <c r="B115" s="3648"/>
      <c r="C115" s="3648"/>
      <c r="D115" s="3648"/>
      <c r="E115" s="3648"/>
      <c r="F115" s="3648"/>
      <c r="G115" s="3648"/>
      <c r="H115" s="3648"/>
      <c r="I115" s="3649"/>
    </row>
    <row r="116" spans="1:27" ht="27" customHeight="1">
      <c r="A116" s="3604" t="s">
        <v>1443</v>
      </c>
      <c r="B116" s="3608" t="s">
        <v>1444</v>
      </c>
      <c r="C116" s="3608" t="s">
        <v>1445</v>
      </c>
      <c r="D116" s="3614" t="s">
        <v>1446</v>
      </c>
      <c r="E116" s="3615"/>
      <c r="F116" s="3646" t="s">
        <v>1447</v>
      </c>
      <c r="G116" s="3646"/>
      <c r="H116" s="3604" t="s">
        <v>1448</v>
      </c>
      <c r="I116" s="3604"/>
    </row>
    <row r="117" spans="1:27" ht="18.75" customHeight="1">
      <c r="A117" s="3604"/>
      <c r="B117" s="3609"/>
      <c r="C117" s="3609"/>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17747.629999999997</v>
      </c>
      <c r="C118" s="2323">
        <f>M19</f>
        <v>15255.5</v>
      </c>
      <c r="D118" s="2323">
        <f ca="1">ROUND(IF(D32="总价",C34,E118*B118/10000),0)</f>
        <v>5583</v>
      </c>
      <c r="E118" s="2323">
        <f ca="1">ROUND(IF(C33="自定义",IF(D32="楼面单价",C34,D118*10000/B118),I118-G118),0)</f>
        <v>3146</v>
      </c>
      <c r="F118" s="2323">
        <f ca="1">ROUND(IF(D32="总价",C35,G118*B118/10000),0)</f>
        <v>5560</v>
      </c>
      <c r="G118" s="2323">
        <f ca="1">ROUND(IF(D32="楼面单价",C35,F118*10000/B118),0)</f>
        <v>3133</v>
      </c>
      <c r="H118" s="2323">
        <f ca="1">ROUND(IF(D32="总价",C32,I118*B118/10000),0)</f>
        <v>11143</v>
      </c>
      <c r="I118" s="2323">
        <f ca="1">ROUND(IF(D32="楼面单价",C32,H118*10000/B118),0)</f>
        <v>6279</v>
      </c>
    </row>
    <row r="119" spans="1:27" ht="18.75" customHeight="1">
      <c r="A119" s="3604" t="s">
        <v>1452</v>
      </c>
      <c r="B119" s="3604"/>
      <c r="C119" s="3604"/>
      <c r="D119" s="3610" t="str">
        <f ca="1">NUMBERSTRING(INT(D118*10000),2)&amp;"元整"</f>
        <v>伍仟伍佰捌拾叁万元整</v>
      </c>
      <c r="E119" s="3611"/>
      <c r="F119" s="3610" t="str">
        <f ca="1">NUMBERSTRING(INT(F118*10000),2)&amp;"元整"</f>
        <v>伍仟伍佰陆拾万元整</v>
      </c>
      <c r="G119" s="3611"/>
      <c r="H119" s="3610" t="str">
        <f ca="1">NUMBERSTRING(INT(H118*10000),2)&amp;"元整"</f>
        <v>壹亿壹仟壹佰肆拾叁万元整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10" t="s">
        <v>1452</v>
      </c>
      <c r="B121" s="3612"/>
      <c r="C121" s="3611"/>
      <c r="D121" s="3610" t="str">
        <f>IF(D120=0,"零元整",NUMBERSTRING(INT(D120*10000),2)&amp;"元整")</f>
        <v>零元整</v>
      </c>
      <c r="E121" s="3612"/>
      <c r="F121" s="3612"/>
      <c r="G121" s="3612"/>
      <c r="H121" s="3612"/>
      <c r="I121" s="3611"/>
      <c r="AA121" s="722"/>
    </row>
    <row r="122" spans="1:27" ht="18.75" customHeight="1">
      <c r="A122" s="3616" t="str">
        <f>IF(项目基本情况!B9="房地产市场价值","",MID(E107,3,LEN(E107)-2))</f>
        <v>房地产抵押价值</v>
      </c>
      <c r="B122" s="3616"/>
      <c r="C122" s="3616"/>
      <c r="D122" s="3605">
        <f ca="1">H107</f>
        <v>11143</v>
      </c>
      <c r="E122" s="3606"/>
      <c r="F122" s="3606"/>
      <c r="G122" s="3606"/>
      <c r="H122" s="3606"/>
      <c r="I122" s="3607"/>
      <c r="AA122" s="722"/>
    </row>
    <row r="123" spans="1:27" ht="18.75" customHeight="1">
      <c r="A123" s="3604" t="s">
        <v>1452</v>
      </c>
      <c r="B123" s="3604"/>
      <c r="C123" s="3604"/>
      <c r="D123" s="3610" t="str">
        <f ca="1">NUMBERSTRING(INT(D122*10000),2)&amp;"元整"</f>
        <v>壹亿壹仟壹佰肆拾叁万元整</v>
      </c>
      <c r="E123" s="3612"/>
      <c r="F123" s="3612"/>
      <c r="G123" s="3612"/>
      <c r="H123" s="3612"/>
      <c r="I123" s="3611"/>
      <c r="AA123" s="722"/>
    </row>
    <row r="124" spans="1:27" ht="18.75" customHeight="1">
      <c r="A124" s="3616" t="str">
        <f>IF(项目基本情况!B9="房地产市场价值","",MID(E109,3,LEN(E109)-2))</f>
        <v/>
      </c>
      <c r="B124" s="3616"/>
      <c r="C124" s="3616"/>
      <c r="D124" s="3605" t="str">
        <f>H109</f>
        <v>——</v>
      </c>
      <c r="E124" s="3606"/>
      <c r="F124" s="3606"/>
      <c r="G124" s="3606"/>
      <c r="H124" s="3606"/>
      <c r="I124" s="3607"/>
      <c r="AA124" s="722"/>
    </row>
    <row r="125" spans="1:27" ht="18.75" customHeight="1">
      <c r="A125" s="3604" t="s">
        <v>1452</v>
      </c>
      <c r="B125" s="3604"/>
      <c r="C125" s="3604"/>
      <c r="D125" s="3610" t="e">
        <f>NUMBERSTRING(INT(D124*10000),2)&amp;"元整"</f>
        <v>#VALUE!</v>
      </c>
      <c r="E125" s="3612"/>
      <c r="F125" s="3612"/>
      <c r="G125" s="3612"/>
      <c r="H125" s="3612"/>
      <c r="I125" s="3611"/>
      <c r="AA125" s="722"/>
    </row>
    <row r="126" spans="1:27" ht="18.75" customHeight="1">
      <c r="A126" s="3616" t="str">
        <f>IF(项目基本情况!B9="房地产市场价值","",MID(E111,3,LEN(E111)-2))</f>
        <v/>
      </c>
      <c r="B126" s="3616"/>
      <c r="C126" s="3616"/>
      <c r="D126" s="3605" t="str">
        <f>H111</f>
        <v>——</v>
      </c>
      <c r="E126" s="3606"/>
      <c r="F126" s="3606"/>
      <c r="G126" s="3606"/>
      <c r="H126" s="3606"/>
      <c r="I126" s="3607"/>
      <c r="AA126" s="722"/>
    </row>
    <row r="127" spans="1:27" ht="18.75" customHeight="1">
      <c r="A127" s="3604" t="s">
        <v>1452</v>
      </c>
      <c r="B127" s="3604"/>
      <c r="C127" s="3604"/>
      <c r="D127" s="3610" t="e">
        <f>NUMBERSTRING(INT(D126*10000),2)&amp;"元整"</f>
        <v>#VALUE!</v>
      </c>
      <c r="E127" s="3612"/>
      <c r="F127" s="3612"/>
      <c r="G127" s="3612"/>
      <c r="H127" s="3612"/>
      <c r="I127" s="3611"/>
      <c r="AA127" s="722"/>
    </row>
    <row r="128" spans="1:27" ht="21.75" customHeight="1">
      <c r="A128" s="3613" t="s">
        <v>1453</v>
      </c>
      <c r="B128" s="3613"/>
      <c r="C128" s="3613"/>
      <c r="D128" s="3613"/>
      <c r="E128" s="3613"/>
      <c r="F128" s="3613"/>
      <c r="G128" s="3613"/>
      <c r="H128" s="3613"/>
      <c r="I128" s="3613"/>
      <c r="AA128" s="722"/>
    </row>
    <row r="129" spans="1:35" ht="21.75" customHeight="1">
      <c r="A129" s="1825" t="s">
        <v>1454</v>
      </c>
      <c r="B129" s="1826"/>
      <c r="C129" s="1827" t="s">
        <v>1455</v>
      </c>
      <c r="D129" s="1828"/>
      <c r="E129" s="1828"/>
      <c r="F129" s="1828"/>
      <c r="G129" s="1828"/>
      <c r="H129" s="1829"/>
      <c r="I129" s="1830"/>
      <c r="AA129" s="722"/>
    </row>
    <row r="130" spans="1:35" ht="21.75" customHeight="1">
      <c r="A130" s="1831">
        <v>1</v>
      </c>
      <c r="B130" s="1832"/>
      <c r="C130" s="1832"/>
      <c r="D130" s="1833"/>
      <c r="E130" s="1833"/>
      <c r="F130" s="1833"/>
      <c r="G130" s="1833"/>
      <c r="H130" s="1834"/>
      <c r="I130" s="1835"/>
      <c r="AA130" s="722"/>
    </row>
    <row r="131" spans="1:35" ht="21.75" customHeight="1">
      <c r="A131" s="1831">
        <v>2</v>
      </c>
      <c r="B131" s="1832"/>
      <c r="C131" s="1832"/>
      <c r="D131" s="1833"/>
      <c r="E131" s="1833"/>
      <c r="F131" s="1833"/>
      <c r="G131" s="1833"/>
      <c r="H131" s="1834"/>
      <c r="I131" s="1835"/>
      <c r="AA131" s="722"/>
    </row>
    <row r="132" spans="1:35" ht="21.75" customHeight="1">
      <c r="A132" s="1831">
        <v>3</v>
      </c>
      <c r="B132" s="1832"/>
      <c r="C132" s="1832"/>
      <c r="D132" s="1833"/>
      <c r="E132" s="1833"/>
      <c r="F132" s="1833"/>
      <c r="G132" s="1833"/>
      <c r="H132" s="1834"/>
      <c r="I132" s="1835"/>
      <c r="AA132" s="722"/>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2"/>
    </row>
    <row r="135" spans="1:35" ht="21.75" customHeight="1">
      <c r="A135" s="722"/>
      <c r="B135" s="722"/>
      <c r="C135" s="722"/>
      <c r="D135" s="722"/>
      <c r="E135" s="722"/>
      <c r="F135" s="1841" t="s">
        <v>1456</v>
      </c>
      <c r="G135" s="1842"/>
      <c r="H135" s="1842"/>
      <c r="I135" s="1843" t="s">
        <v>1457</v>
      </c>
    </row>
    <row r="136" spans="1:35" ht="21.75" customHeight="1">
      <c r="A136" s="722"/>
      <c r="B136" s="1844"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2"/>
      <c r="C138" s="1842"/>
      <c r="D138" s="1842"/>
      <c r="E138" s="1842"/>
      <c r="F138" s="1842"/>
      <c r="G138" s="1842"/>
      <c r="H138" s="1842"/>
      <c r="I138" s="1843" t="s">
        <v>1459</v>
      </c>
    </row>
    <row r="139" spans="1:35" ht="21.75" customHeight="1">
      <c r="A139" s="722"/>
      <c r="B139" s="1844" t="s">
        <v>1460</v>
      </c>
      <c r="C139" s="722"/>
      <c r="D139" s="722"/>
      <c r="E139" s="722"/>
      <c r="F139" s="722"/>
      <c r="G139" s="722"/>
      <c r="H139" s="722"/>
      <c r="I139" s="722"/>
    </row>
    <row r="140" spans="1:35" ht="21.75" customHeight="1">
      <c r="A140" s="722"/>
      <c r="B140" s="1844"/>
      <c r="C140" s="722"/>
      <c r="D140" s="722"/>
      <c r="E140" s="722"/>
      <c r="F140" s="722"/>
      <c r="G140" s="722"/>
      <c r="H140" s="722"/>
      <c r="I140" s="722"/>
    </row>
    <row r="141" spans="1:35" ht="21.75" customHeight="1">
      <c r="A141" s="722"/>
      <c r="B141" s="1842"/>
      <c r="C141" s="1842"/>
      <c r="D141" s="1842"/>
      <c r="E141" s="1842"/>
      <c r="F141" s="1842"/>
      <c r="G141" s="1842"/>
      <c r="H141" s="1842"/>
      <c r="I141" s="1843" t="s">
        <v>1459</v>
      </c>
    </row>
    <row r="142" spans="1:35" ht="21.75" customHeight="1">
      <c r="A142" s="722"/>
      <c r="B142" s="1844"/>
      <c r="C142" s="1845"/>
      <c r="D142" s="1846"/>
      <c r="E142" s="1846"/>
      <c r="F142" s="1735"/>
      <c r="G142" s="722"/>
      <c r="H142" s="722"/>
      <c r="I142" s="722"/>
    </row>
    <row r="143" spans="1:35" s="127" customFormat="1" ht="21.75" customHeight="1">
      <c r="A143" s="722"/>
      <c r="B143" s="1844"/>
      <c r="C143" s="1845"/>
      <c r="D143" s="1846"/>
      <c r="E143" s="1846"/>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7"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7"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C5:D7">
    <cfRule type="cellIs" dxfId="175" priority="10" stopIfTrue="1" operator="equal">
      <formula>25</formula>
    </cfRule>
  </conditionalFormatting>
  <conditionalFormatting sqref="C8:D13">
    <cfRule type="cellIs" dxfId="174" priority="8" stopIfTrue="1" operator="equal">
      <formula>15</formula>
    </cfRule>
  </conditionalFormatting>
  <conditionalFormatting sqref="C14:D16">
    <cfRule type="cellIs" dxfId="173" priority="6" stopIfTrue="1" operator="equal">
      <formula>30</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91" t="str">
        <f>项目基本情况!B1</f>
        <v>北京市房地产抵押价值预评估</v>
      </c>
      <c r="C37" s="3491"/>
      <c r="D37" s="3491"/>
      <c r="E37" s="3491"/>
      <c r="F37" s="3491"/>
      <c r="G37" s="3491"/>
      <c r="H37" s="3491"/>
      <c r="I37" s="3491"/>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4"/>
      <c r="C1" s="1853" t="s">
        <v>1563</v>
      </c>
      <c r="D1" s="195"/>
      <c r="E1" s="195"/>
      <c r="F1" s="195"/>
      <c r="G1" s="1120">
        <f>MATCH(B1,'数据-取费表'!A6:A16,0)+5</f>
        <v>7</v>
      </c>
      <c r="H1" s="1055" t="str">
        <f>IF(ISERROR(FIND("住宅",B1)),"非住宅","住宅")</f>
        <v>非住宅</v>
      </c>
    </row>
    <row r="2" spans="1:8" s="197" customFormat="1" ht="18" customHeight="1">
      <c r="A2" s="198" t="s">
        <v>1462</v>
      </c>
      <c r="B2" s="3418">
        <f ca="1">ROUND(IF(D2="——",C52/10000,C52/10000-E2),4)</f>
        <v>6045.4795999999997</v>
      </c>
      <c r="C2" s="196" t="s">
        <v>1463</v>
      </c>
      <c r="D2" s="1847" t="s">
        <v>43</v>
      </c>
      <c r="E2" s="1163" t="e">
        <f ca="1">SUMIF(INDIRECT("'"&amp;G2&amp;"'"&amp;"!A:A"),"承租人权益价值",INDIRECT("'"&amp;G2&amp;"'"&amp;"!c:c"))</f>
        <v>#REF!</v>
      </c>
      <c r="F2" s="1848" t="s">
        <v>1463</v>
      </c>
      <c r="G2" s="1849"/>
    </row>
    <row r="3" spans="1:8" s="197" customFormat="1" ht="18" customHeight="1" thickBot="1">
      <c r="A3" s="200" t="s">
        <v>1464</v>
      </c>
      <c r="B3" s="201">
        <f ca="1">ROUND(B2*10000/(IF(B1="",'数据-汇总表'!E3,INDIRECT("'数据-取费表'!k"&amp;$G$1))),0)</f>
        <v>3406</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3549526</v>
      </c>
      <c r="D5" s="208" t="s">
        <v>1469</v>
      </c>
      <c r="E5" s="209" t="s">
        <v>1470</v>
      </c>
      <c r="F5" s="209" t="s">
        <v>1471</v>
      </c>
      <c r="G5" s="210"/>
    </row>
    <row r="6" spans="1:8" s="211" customFormat="1" ht="13.5" customHeight="1">
      <c r="A6" s="772" t="s">
        <v>1472</v>
      </c>
      <c r="B6" s="212" t="s">
        <v>1473</v>
      </c>
      <c r="C6" s="213"/>
      <c r="D6" s="214"/>
      <c r="E6" s="215"/>
      <c r="F6" s="215"/>
      <c r="G6" s="216"/>
    </row>
    <row r="7" spans="1:8" s="211" customFormat="1" ht="13.5" customHeight="1">
      <c r="A7" s="772" t="s">
        <v>1474</v>
      </c>
      <c r="B7" s="212" t="s">
        <v>1475</v>
      </c>
      <c r="C7" s="217">
        <f>ROUND(C6*F7,0)</f>
        <v>0</v>
      </c>
      <c r="D7" s="217"/>
      <c r="E7" s="215"/>
      <c r="F7" s="218">
        <f>IF(项目基本情况!B8="出让",0,'数据-取费表'!B48+'数据-取费表'!B49)</f>
        <v>3.0499999999999999E-2</v>
      </c>
      <c r="G7" s="216"/>
    </row>
    <row r="8" spans="1:8" s="220" customFormat="1">
      <c r="A8" s="772" t="s">
        <v>1476</v>
      </c>
      <c r="B8" s="212" t="s">
        <v>1477</v>
      </c>
      <c r="C8" s="217">
        <f ca="1">IF(G8="已包含在土地购买价格中",0,C9+C10)</f>
        <v>3549526</v>
      </c>
      <c r="D8" s="219"/>
      <c r="E8" s="217"/>
      <c r="F8" s="218"/>
      <c r="G8" s="1850"/>
    </row>
    <row r="9" spans="1:8" s="211" customFormat="1" ht="13.5" customHeight="1">
      <c r="A9" s="773" t="s">
        <v>355</v>
      </c>
      <c r="B9" s="221" t="s">
        <v>1478</v>
      </c>
      <c r="C9" s="222">
        <f ca="1">ROUND(D9*E9,0)</f>
        <v>0</v>
      </c>
      <c r="D9" s="839">
        <f ca="1">IF(B1="",'数据-汇总表'!E5,IF(INDIRECT("'数据-取费表'!c"&amp;$G$1)="住宅",INDIRECT("'数据-取费表'!k"&amp;$G$1),0))</f>
        <v>0</v>
      </c>
      <c r="E9" s="222">
        <f>'数据-取费表'!B27</f>
        <v>160</v>
      </c>
      <c r="F9" s="218"/>
      <c r="G9" s="223"/>
    </row>
    <row r="10" spans="1:8" s="211" customFormat="1" ht="13.5" customHeight="1">
      <c r="A10" s="773" t="s">
        <v>356</v>
      </c>
      <c r="B10" s="221" t="s">
        <v>1480</v>
      </c>
      <c r="C10" s="222">
        <f ca="1">ROUND(D10*E10,0)</f>
        <v>3549526</v>
      </c>
      <c r="D10" s="839">
        <f ca="1">IF(B1="",'数据-汇总表'!E6,IF(INDIRECT("'数据-取费表'!c"&amp;$G$1)="住宅",INDIRECT("'数据-取费表'!s"&amp;$G$1),INDIRECT("'数据-取费表'!k"&amp;$G$1)+INDIRECT("'数据-取费表'!s"&amp;$G$1)))</f>
        <v>17747.629999999997</v>
      </c>
      <c r="E10" s="222">
        <f>'数据-取费表'!B28</f>
        <v>200</v>
      </c>
      <c r="F10" s="218"/>
      <c r="G10" s="223"/>
    </row>
    <row r="11" spans="1:8" s="211" customFormat="1" ht="13.5" hidden="1" customHeight="1">
      <c r="A11" s="224" t="s">
        <v>4</v>
      </c>
      <c r="B11" s="212" t="s">
        <v>1481</v>
      </c>
      <c r="C11" s="208"/>
      <c r="D11" s="841"/>
      <c r="E11" s="215"/>
      <c r="F11" s="215"/>
      <c r="G11" s="216"/>
    </row>
    <row r="12" spans="1:8" s="211" customFormat="1" ht="13.5" hidden="1" customHeight="1">
      <c r="A12" s="224" t="s">
        <v>5</v>
      </c>
      <c r="B12" s="212" t="s">
        <v>1564</v>
      </c>
      <c r="C12" s="208">
        <v>0</v>
      </c>
      <c r="D12" s="841"/>
      <c r="E12" s="225"/>
      <c r="F12" s="218">
        <v>3.0499999999999999E-2</v>
      </c>
      <c r="G12" s="216"/>
    </row>
    <row r="13" spans="1:8" s="211" customFormat="1" ht="13.5" hidden="1" customHeight="1">
      <c r="A13" s="224" t="s">
        <v>6</v>
      </c>
      <c r="B13" s="212" t="s">
        <v>1565</v>
      </c>
      <c r="C13" s="208"/>
      <c r="D13" s="841"/>
      <c r="E13" s="215"/>
      <c r="F13" s="215"/>
      <c r="G13" s="216"/>
    </row>
    <row r="14" spans="1:8" s="211" customFormat="1" ht="13.5" hidden="1" customHeight="1">
      <c r="A14" s="224" t="s">
        <v>7</v>
      </c>
      <c r="B14" s="212" t="s">
        <v>1477</v>
      </c>
      <c r="C14" s="208"/>
      <c r="D14" s="841"/>
      <c r="E14" s="215"/>
      <c r="F14" s="215"/>
      <c r="G14" s="216" t="s">
        <v>1566</v>
      </c>
    </row>
    <row r="15" spans="1:8" s="211" customFormat="1" ht="13.5" hidden="1" customHeight="1">
      <c r="A15" s="224" t="s">
        <v>8</v>
      </c>
      <c r="B15" s="212" t="s">
        <v>1567</v>
      </c>
      <c r="C15" s="217"/>
      <c r="D15" s="841"/>
      <c r="E15" s="215"/>
      <c r="F15" s="215"/>
      <c r="G15" s="216" t="s">
        <v>1568</v>
      </c>
    </row>
    <row r="16" spans="1:8" s="211" customFormat="1" ht="13.5" hidden="1" customHeight="1">
      <c r="A16" s="224" t="s">
        <v>9</v>
      </c>
      <c r="B16" s="212" t="s">
        <v>1477</v>
      </c>
      <c r="C16" s="217"/>
      <c r="D16" s="841"/>
      <c r="E16" s="215"/>
      <c r="F16" s="215"/>
      <c r="G16" s="216"/>
    </row>
    <row r="17" spans="1:7" s="211" customFormat="1" ht="13.5" hidden="1" customHeight="1">
      <c r="A17" s="224" t="s">
        <v>10</v>
      </c>
      <c r="B17" s="212" t="s">
        <v>1569</v>
      </c>
      <c r="C17" s="226"/>
      <c r="D17" s="842"/>
      <c r="E17" s="226"/>
      <c r="F17" s="226"/>
      <c r="G17" s="216" t="s">
        <v>1568</v>
      </c>
    </row>
    <row r="18" spans="1:7" s="211" customFormat="1" ht="13.5" hidden="1" customHeight="1">
      <c r="A18" s="224" t="s">
        <v>11</v>
      </c>
      <c r="B18" s="212" t="s">
        <v>1570</v>
      </c>
      <c r="C18" s="217">
        <v>0</v>
      </c>
      <c r="D18" s="841"/>
      <c r="E18" s="215"/>
      <c r="F18" s="218">
        <v>3.0499999999999999E-2</v>
      </c>
      <c r="G18" s="216" t="s">
        <v>1571</v>
      </c>
    </row>
    <row r="19" spans="1:7" s="220" customFormat="1" ht="13.5" customHeight="1">
      <c r="A19" s="252" t="s">
        <v>1572</v>
      </c>
      <c r="B19" s="207" t="s">
        <v>1573</v>
      </c>
      <c r="C19" s="208">
        <f ca="1">IF(G19="已包含在土地取得成本中","0",ROUND(D19*E19,0))</f>
        <v>3549526</v>
      </c>
      <c r="D19" s="843">
        <f ca="1">D9+D10</f>
        <v>17747.629999999997</v>
      </c>
      <c r="E19" s="208">
        <f>'数据-取费表'!B31</f>
        <v>200</v>
      </c>
      <c r="F19" s="228"/>
      <c r="G19" s="1850"/>
    </row>
    <row r="20" spans="1:7" s="211" customFormat="1" ht="13.5" customHeight="1">
      <c r="A20" s="252" t="s">
        <v>1574</v>
      </c>
      <c r="B20" s="207" t="s">
        <v>1575</v>
      </c>
      <c r="C20" s="229">
        <f ca="1">ROUND((C5+C19)*F20,0)</f>
        <v>141981</v>
      </c>
      <c r="D20" s="229"/>
      <c r="E20" s="229"/>
      <c r="F20" s="230">
        <f>'数据-取费表'!B37</f>
        <v>0.02</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1">
        <f ca="1">ROUND(SUM(C23:C25),0)</f>
        <v>363251</v>
      </c>
      <c r="D22" s="232">
        <f ca="1">C26</f>
        <v>5.0000000000000001E-4</v>
      </c>
      <c r="E22" s="233" t="s">
        <v>1579</v>
      </c>
      <c r="F22" s="234">
        <f ca="1">'数据-取费表'!B40</f>
        <v>3.3500000000000002E-2</v>
      </c>
      <c r="G22" s="231" t="str">
        <f>IF('数据-取费表'!B22&lt;=1,"单利计息","复利计息")</f>
        <v>复利计息</v>
      </c>
    </row>
    <row r="23" spans="1:7" s="211" customFormat="1" ht="13.5" customHeight="1">
      <c r="A23" s="774" t="s">
        <v>1472</v>
      </c>
      <c r="B23" s="212" t="s">
        <v>1583</v>
      </c>
      <c r="C23" s="1122">
        <f ca="1">ROUND(IF('数据-取费表'!B22&lt;=1,C5*F22*'数据-取费表'!B22,C5*(POWER((1+F22),'数据-取费表'!B22)-1)),0)</f>
        <v>179849</v>
      </c>
      <c r="D23" s="235"/>
      <c r="E23" s="235"/>
      <c r="F23" s="236"/>
      <c r="G23" s="237" t="s">
        <v>1584</v>
      </c>
    </row>
    <row r="24" spans="1:7" s="211" customFormat="1" ht="13.5" customHeight="1">
      <c r="A24" s="774" t="s">
        <v>1474</v>
      </c>
      <c r="B24" s="212" t="s">
        <v>1585</v>
      </c>
      <c r="C24" s="1122">
        <f ca="1">ROUND(IF('数据-取费表'!B22&lt;=1,C19*F22*('数据-取费表'!B19/2+'数据-取费表'!B20),C19*(POWER((1+F22),('数据-取费表'!B19/2+'数据-取费表'!B20))-1)),0)</f>
        <v>179849</v>
      </c>
      <c r="D24" s="235"/>
      <c r="E24" s="235"/>
      <c r="F24" s="236"/>
      <c r="G24" s="237" t="s">
        <v>1586</v>
      </c>
    </row>
    <row r="25" spans="1:7" s="211" customFormat="1" ht="24">
      <c r="A25" s="774" t="s">
        <v>1476</v>
      </c>
      <c r="B25" s="212" t="s">
        <v>1587</v>
      </c>
      <c r="C25" s="1122">
        <f ca="1">ROUND(IF('数据-取费表'!B22&lt;=1,C20*F22*'数据-取费表'!B22/2,C20*(POWER((1+F22),'数据-取费表'!B22/2)-1)),0)</f>
        <v>3553</v>
      </c>
      <c r="D25" s="235"/>
      <c r="E25" s="238"/>
      <c r="F25" s="236"/>
      <c r="G25" s="239" t="s">
        <v>1588</v>
      </c>
    </row>
    <row r="26" spans="1:7" s="211" customFormat="1">
      <c r="A26" s="774" t="s">
        <v>350</v>
      </c>
      <c r="B26" s="212" t="s">
        <v>1511</v>
      </c>
      <c r="C26" s="235">
        <f ca="1">ROUND(IF('数据-取费表'!B22&lt;=1,F21*F22*'数据-取费表'!B22/2,F21*(POWER((1+F22),'数据-取费表'!B22/2)-1)),4)</f>
        <v>5.0000000000000001E-4</v>
      </c>
      <c r="D26" s="235"/>
      <c r="E26" s="238"/>
      <c r="F26" s="236"/>
      <c r="G26" s="240"/>
    </row>
    <row r="27" spans="1:7" s="211" customFormat="1" ht="24.75">
      <c r="A27" s="252" t="s">
        <v>1512</v>
      </c>
      <c r="B27" s="241" t="s">
        <v>1513</v>
      </c>
      <c r="C27" s="242">
        <f ca="1">C28</f>
        <v>724103</v>
      </c>
      <c r="D27" s="232">
        <f ca="1">C29</f>
        <v>2E-3</v>
      </c>
      <c r="E27" s="233" t="s">
        <v>1514</v>
      </c>
      <c r="F27" s="243">
        <f ca="1">IF(B1="",'数据-取费表'!Q16,INDIRECT("'数据-取费表'!q"&amp;$G$1))</f>
        <v>0.1</v>
      </c>
      <c r="G27" s="244" t="s">
        <v>1515</v>
      </c>
    </row>
    <row r="28" spans="1:7" s="211" customFormat="1" ht="13.5" customHeight="1">
      <c r="A28" s="774" t="s">
        <v>346</v>
      </c>
      <c r="B28" s="245" t="s">
        <v>1516</v>
      </c>
      <c r="C28" s="246">
        <f ca="1">ROUND((C5+C19+C20)*F27,0)</f>
        <v>724103</v>
      </c>
      <c r="D28" s="232"/>
      <c r="E28" s="233"/>
      <c r="F28" s="243"/>
      <c r="G28" s="244"/>
    </row>
    <row r="29" spans="1:7" s="211" customFormat="1" ht="13.5" customHeight="1">
      <c r="A29" s="774" t="s">
        <v>347</v>
      </c>
      <c r="B29" s="245" t="s">
        <v>1517</v>
      </c>
      <c r="C29" s="235">
        <f ca="1">ROUND(C21*F27,4)</f>
        <v>2E-3</v>
      </c>
      <c r="D29" s="232"/>
      <c r="E29" s="233"/>
      <c r="F29" s="243"/>
      <c r="G29" s="244"/>
    </row>
    <row r="30" spans="1:7" s="211" customFormat="1" ht="13.5" customHeight="1">
      <c r="A30" s="252" t="s">
        <v>1518</v>
      </c>
      <c r="B30" s="207" t="s">
        <v>1519</v>
      </c>
      <c r="C30" s="232">
        <f>ROUND(F30/(1+'数据-取费表'!C42),4)</f>
        <v>5.33E-2</v>
      </c>
      <c r="D30" s="233" t="s">
        <v>1514</v>
      </c>
      <c r="E30" s="238"/>
      <c r="F30" s="234">
        <f>'数据-取费表'!B41</f>
        <v>5.6000000000000001E-2</v>
      </c>
      <c r="G30" s="231" t="s">
        <v>1520</v>
      </c>
    </row>
    <row r="31" spans="1:7" ht="16.5" customHeight="1">
      <c r="A31" s="206">
        <v>1</v>
      </c>
      <c r="B31" s="207" t="s">
        <v>1521</v>
      </c>
      <c r="C31" s="208">
        <f ca="1">ROUND((C5+C19+C20+C22+C27)/(1-C21-D22-D27-C30),0)</f>
        <v>9011455</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59188346</v>
      </c>
      <c r="D33" s="229"/>
      <c r="E33" s="209"/>
      <c r="F33" s="238"/>
      <c r="G33" s="231"/>
    </row>
    <row r="34" spans="1:7" s="255" customFormat="1" ht="13.5" customHeight="1">
      <c r="A34" s="774" t="s">
        <v>346</v>
      </c>
      <c r="B34" s="212" t="s">
        <v>1525</v>
      </c>
      <c r="C34" s="217">
        <f ca="1">ROUND(IF(B1="",SUMPRODUCT('数据-取费表'!K6:K14,'数据-取费表'!L6:L14),INDIRECT("'数据-取费表'!l"&amp;$G$1)*INDIRECT("'数据-取费表'!k"&amp;$G$1)+'数据-取费表'!L14*INDIRECT("'数据-取费表'!S"&amp;$G$1)),0)</f>
        <v>53242890</v>
      </c>
      <c r="D34" s="214"/>
      <c r="E34" s="217"/>
      <c r="F34" s="254"/>
      <c r="G34" s="216"/>
    </row>
    <row r="35" spans="1:7" ht="13.5" customHeight="1">
      <c r="A35" s="774" t="s">
        <v>351</v>
      </c>
      <c r="B35" s="212" t="s">
        <v>1527</v>
      </c>
      <c r="C35" s="217">
        <f ca="1">ROUND(C34*F35,0)</f>
        <v>1597287</v>
      </c>
      <c r="D35" s="217"/>
      <c r="E35" s="217"/>
      <c r="F35" s="256">
        <f>'数据-取费表'!B33</f>
        <v>0.03</v>
      </c>
      <c r="G35" s="216" t="s">
        <v>1528</v>
      </c>
    </row>
    <row r="36" spans="1:7" ht="24">
      <c r="A36" s="774"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4" t="s">
        <v>353</v>
      </c>
      <c r="B37" s="212" t="s">
        <v>1531</v>
      </c>
      <c r="C37" s="246">
        <f ca="1">ROUND(E37*D37,0)</f>
        <v>3549526</v>
      </c>
      <c r="D37" s="214">
        <f ca="1">D19</f>
        <v>17747.629999999997</v>
      </c>
      <c r="E37" s="246">
        <f>'数据-取费表'!B35</f>
        <v>200</v>
      </c>
      <c r="F37" s="256"/>
      <c r="G37" s="258"/>
    </row>
    <row r="38" spans="1:7" ht="13.5" customHeight="1">
      <c r="A38" s="774" t="s">
        <v>354</v>
      </c>
      <c r="B38" s="212" t="s">
        <v>1533</v>
      </c>
      <c r="C38" s="217">
        <f ca="1">ROUND(C34*F38,0)</f>
        <v>798643</v>
      </c>
      <c r="D38" s="217"/>
      <c r="E38" s="217"/>
      <c r="F38" s="256">
        <f>'数据-取费表'!B36</f>
        <v>1.4999999999999999E-2</v>
      </c>
      <c r="G38" s="216" t="s">
        <v>1528</v>
      </c>
    </row>
    <row r="39" spans="1:7" s="211" customFormat="1" ht="13.5" customHeight="1">
      <c r="A39" s="252" t="s">
        <v>1534</v>
      </c>
      <c r="B39" s="207" t="s">
        <v>1535</v>
      </c>
      <c r="C39" s="229">
        <f ca="1">ROUND(C33*F20,0)</f>
        <v>1183767</v>
      </c>
      <c r="D39" s="229"/>
      <c r="E39" s="229"/>
      <c r="F39" s="230">
        <f>F20</f>
        <v>0.02</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1510584</v>
      </c>
      <c r="D41" s="232">
        <f ca="1">C44</f>
        <v>5.0000000000000001E-4</v>
      </c>
      <c r="E41" s="233" t="s">
        <v>1539</v>
      </c>
      <c r="F41" s="234">
        <f ca="1">F22</f>
        <v>3.3500000000000002E-2</v>
      </c>
      <c r="G41" s="231" t="str">
        <f>IF('数据-取费表'!B22&lt;=1,"单利计息","复利计息")</f>
        <v>复利计息</v>
      </c>
    </row>
    <row r="42" spans="1:7" ht="13.5" customHeight="1">
      <c r="A42" s="774" t="s">
        <v>346</v>
      </c>
      <c r="B42" s="212" t="s">
        <v>1543</v>
      </c>
      <c r="C42" s="235">
        <f ca="1">ROUND(IF('数据-取费表'!B22&lt;=1,C33*F22*'数据-取费表'!B20/2,C33*(POWER((1+F22),'数据-取费表'!B20/2)-1)),0)</f>
        <v>1480965</v>
      </c>
      <c r="D42" s="235"/>
      <c r="E42" s="235"/>
      <c r="F42" s="236"/>
      <c r="G42" s="3683" t="s">
        <v>1591</v>
      </c>
    </row>
    <row r="43" spans="1:7" ht="13.5" customHeight="1">
      <c r="A43" s="774" t="s">
        <v>347</v>
      </c>
      <c r="B43" s="212" t="s">
        <v>1545</v>
      </c>
      <c r="C43" s="235">
        <f ca="1">ROUND(IF('数据-取费表'!B22&lt;=1,C39*F22*'数据-取费表'!B20/2,C39*(POWER((1+F22),'数据-取费表'!B20/2)-1)),0)</f>
        <v>29619</v>
      </c>
      <c r="D43" s="235"/>
      <c r="E43" s="235"/>
      <c r="F43" s="236"/>
      <c r="G43" s="3684"/>
    </row>
    <row r="44" spans="1:7" ht="13.5" customHeight="1">
      <c r="A44" s="774" t="s">
        <v>348</v>
      </c>
      <c r="B44" s="212" t="s">
        <v>1546</v>
      </c>
      <c r="C44" s="235">
        <f ca="1">ROUND(IF('数据-取费表'!B22&lt;=1,C40*F22*'数据-取费表'!B20/2,C40*(POWER((1+F22),'数据-取费表'!B20/2)-1)),4)</f>
        <v>5.0000000000000001E-4</v>
      </c>
      <c r="D44" s="235"/>
      <c r="E44" s="235"/>
      <c r="F44" s="236"/>
      <c r="G44" s="3685"/>
    </row>
    <row r="45" spans="1:7" s="211" customFormat="1" ht="13.5" customHeight="1">
      <c r="A45" s="252" t="s">
        <v>1547</v>
      </c>
      <c r="B45" s="241" t="s">
        <v>1513</v>
      </c>
      <c r="C45" s="242">
        <f ca="1">C46</f>
        <v>6037211</v>
      </c>
      <c r="D45" s="232">
        <f ca="1">C47</f>
        <v>2E-3</v>
      </c>
      <c r="E45" s="233" t="s">
        <v>1539</v>
      </c>
      <c r="F45" s="243">
        <f ca="1">F27</f>
        <v>0.1</v>
      </c>
      <c r="G45" s="244" t="s">
        <v>1548</v>
      </c>
    </row>
    <row r="46" spans="1:7" s="211" customFormat="1" ht="13.5" customHeight="1">
      <c r="A46" s="774" t="s">
        <v>346</v>
      </c>
      <c r="B46" s="245" t="s">
        <v>1549</v>
      </c>
      <c r="C46" s="246">
        <f ca="1">ROUND((C33+C39)*F27,0)</f>
        <v>6037211</v>
      </c>
      <c r="D46" s="260"/>
      <c r="E46" s="233"/>
      <c r="F46" s="243"/>
      <c r="G46" s="244"/>
    </row>
    <row r="47" spans="1:7" s="211" customFormat="1" ht="13.5" customHeight="1">
      <c r="A47" s="774" t="s">
        <v>347</v>
      </c>
      <c r="B47" s="245" t="s">
        <v>1550</v>
      </c>
      <c r="C47" s="235">
        <f ca="1">ROUND(C40*F27,4)</f>
        <v>2E-3</v>
      </c>
      <c r="D47" s="260"/>
      <c r="E47" s="233"/>
      <c r="F47" s="243"/>
      <c r="G47" s="244"/>
    </row>
    <row r="48" spans="1:7" s="211" customFormat="1" ht="13.5" customHeight="1">
      <c r="A48" s="252" t="s">
        <v>1512</v>
      </c>
      <c r="B48" s="207" t="s">
        <v>1551</v>
      </c>
      <c r="C48" s="259">
        <f>ROUND(F30/(1+'数据-取费表'!C42),4)</f>
        <v>5.33E-2</v>
      </c>
      <c r="D48" s="233" t="s">
        <v>1539</v>
      </c>
      <c r="E48" s="229"/>
      <c r="F48" s="234">
        <f>F30</f>
        <v>5.6000000000000001E-2</v>
      </c>
      <c r="G48" s="231" t="s">
        <v>1552</v>
      </c>
    </row>
    <row r="49" spans="1:7" ht="16.5" customHeight="1">
      <c r="A49" s="252" t="s">
        <v>1518</v>
      </c>
      <c r="B49" s="207" t="s">
        <v>1592</v>
      </c>
      <c r="C49" s="229">
        <f ca="1">ROUND((C33+C39+C41+C45)/(1-C40-D41-D45-C48),0)</f>
        <v>73490487</v>
      </c>
      <c r="D49" s="229"/>
      <c r="E49" s="229"/>
      <c r="F49" s="261"/>
      <c r="G49" s="231" t="s">
        <v>1554</v>
      </c>
    </row>
    <row r="50" spans="1:7" s="255" customFormat="1">
      <c r="A50" s="252" t="s">
        <v>1555</v>
      </c>
      <c r="B50" s="207" t="s">
        <v>1556</v>
      </c>
      <c r="C50" s="229"/>
      <c r="D50" s="229"/>
      <c r="E50" s="229"/>
      <c r="F50" s="261">
        <f>IF('数据-取费表'!B24=0,'数据-取费表'!N16,1)</f>
        <v>0.7</v>
      </c>
      <c r="G50" s="244"/>
    </row>
    <row r="51" spans="1:7" ht="16.5" customHeight="1">
      <c r="A51" s="252" t="s">
        <v>1558</v>
      </c>
      <c r="B51" s="207" t="s">
        <v>1593</v>
      </c>
      <c r="C51" s="229">
        <f ca="1">ROUND(C49*F50,0)</f>
        <v>51443341</v>
      </c>
      <c r="D51" s="229"/>
      <c r="E51" s="229"/>
      <c r="F51" s="261"/>
      <c r="G51" s="231" t="s">
        <v>1560</v>
      </c>
    </row>
    <row r="52" spans="1:7" s="205" customFormat="1" ht="16.5" thickBot="1">
      <c r="A52" s="262" t="s">
        <v>1561</v>
      </c>
      <c r="B52" s="263"/>
      <c r="C52" s="264">
        <f ca="1">C31+C51</f>
        <v>60454796</v>
      </c>
      <c r="D52" s="263"/>
      <c r="E52" s="263"/>
      <c r="F52" s="263"/>
      <c r="G52" s="265"/>
    </row>
    <row r="55" spans="1:7" ht="15">
      <c r="B55" s="267" t="s">
        <v>1562</v>
      </c>
      <c r="C55" s="268"/>
    </row>
    <row r="56" spans="1:7">
      <c r="B56" s="270" t="s">
        <v>802</v>
      </c>
      <c r="C56" s="272">
        <f ca="1">1-C57</f>
        <v>0.14900000000000002</v>
      </c>
    </row>
    <row r="57" spans="1:7">
      <c r="B57" s="270" t="s">
        <v>803</v>
      </c>
      <c r="C57" s="271">
        <f ca="1">ROUND(C51/C52,3)</f>
        <v>0.85099999999999998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5" customWidth="1"/>
    <col min="3" max="3" width="10.375" style="817" customWidth="1"/>
    <col min="4" max="4" width="9.875" style="775" customWidth="1"/>
    <col min="5" max="5" width="9.5" style="725"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3" t="s">
        <v>1594</v>
      </c>
      <c r="B1" s="1185"/>
      <c r="C1" s="1186"/>
      <c r="D1" s="1184"/>
      <c r="E1" s="2800"/>
      <c r="F1" s="2800"/>
      <c r="G1" s="2665"/>
      <c r="H1" s="2800"/>
      <c r="I1" s="2800"/>
      <c r="J1" s="2800"/>
      <c r="K1" s="2801">
        <f>MATCH(C1,'数据-取费表'!A6:A16,0)+5</f>
        <v>7</v>
      </c>
    </row>
    <row r="2" spans="1:33" ht="18" customHeight="1">
      <c r="A2" s="198" t="s">
        <v>1462</v>
      </c>
      <c r="B2" s="201">
        <f ca="1">C32</f>
        <v>0</v>
      </c>
      <c r="C2" s="273" t="s">
        <v>1595</v>
      </c>
      <c r="D2" s="273"/>
      <c r="E2" s="2800"/>
      <c r="F2" s="2800"/>
      <c r="G2" s="2800"/>
      <c r="H2" s="2800"/>
      <c r="I2" s="2800"/>
      <c r="J2" s="2800"/>
      <c r="K2" s="2800"/>
    </row>
    <row r="3" spans="1:33" ht="18" customHeight="1" thickBot="1">
      <c r="A3" s="200" t="s">
        <v>1464</v>
      </c>
      <c r="B3" s="201">
        <f ca="1">ROUND(B2*10000/IF(C1="",'数据-汇总表'!E3,INDIRECT("'数据-取费表'!K"&amp;$K$1)),0)</f>
        <v>0</v>
      </c>
      <c r="C3" s="273" t="s">
        <v>1596</v>
      </c>
      <c r="D3" s="273"/>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8"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61"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6">
        <f ca="1">IF(C1="",'数据-取费表'!P16,INDIRECT("'数据-取费表'!p"&amp;$K$1)+INDIRECT("'数据-取费表'!ar"&amp;$K$1))</f>
        <v>0</v>
      </c>
      <c r="D11" s="796"/>
      <c r="E11" s="326"/>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6"/>
      <c r="F12" s="806">
        <f>'数据-取费表'!B33</f>
        <v>0.03</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6"/>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17747.629999999997</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1.4999999999999999E-2</v>
      </c>
      <c r="G15" s="128"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8"/>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17747.629999999997</v>
      </c>
      <c r="E17" s="21">
        <f>'数据-取费表'!B32</f>
        <v>0</v>
      </c>
      <c r="F17" s="800"/>
      <c r="G17" s="128"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0</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160</v>
      </c>
      <c r="F19" s="798"/>
      <c r="G19" s="12"/>
      <c r="H19" s="1183"/>
      <c r="I19" s="803"/>
      <c r="J19" s="803"/>
      <c r="K19" s="804"/>
    </row>
    <row r="20" spans="1:33" s="797" customFormat="1" ht="13.5" customHeight="1">
      <c r="A20" s="794" t="s">
        <v>361</v>
      </c>
      <c r="B20" s="795" t="s">
        <v>1627</v>
      </c>
      <c r="C20" s="21">
        <f ca="1">ROUND(D20*E20/10000,0)</f>
        <v>355</v>
      </c>
      <c r="D20" s="840">
        <f ca="1">IF(C1="",'数据-汇总表'!E6,IF(INDIRECT("'数据-取费表'!c"&amp;$K$1)="住宅",INDIRECT("'数据-取费表'!s"&amp;$K$1),INDIRECT("'数据-取费表'!k"&amp;$K$1)+INDIRECT("'数据-取费表'!s"&amp;$K$1)))</f>
        <v>17747.629999999997</v>
      </c>
      <c r="E20" s="21">
        <f>'数据-取费表'!B28</f>
        <v>200</v>
      </c>
      <c r="F20" s="798"/>
      <c r="G20" s="12"/>
      <c r="H20" s="803"/>
      <c r="I20" s="803"/>
      <c r="J20" s="803"/>
      <c r="K20" s="804"/>
    </row>
    <row r="21" spans="1:33" s="797" customFormat="1" ht="13.5" customHeight="1">
      <c r="A21" s="784" t="s">
        <v>357</v>
      </c>
      <c r="B21" s="807" t="s">
        <v>1628</v>
      </c>
      <c r="C21" s="808">
        <f ca="1">C16+C17+C18</f>
        <v>0</v>
      </c>
      <c r="D21" s="809"/>
      <c r="E21" s="278"/>
      <c r="F21" s="278"/>
      <c r="G21" s="128" t="s">
        <v>1629</v>
      </c>
      <c r="H21" s="801"/>
      <c r="I21" s="801"/>
      <c r="J21" s="801"/>
      <c r="K21" s="802"/>
    </row>
    <row r="22" spans="1:33" s="797" customFormat="1" ht="13.5" customHeight="1">
      <c r="A22" s="784" t="s">
        <v>1601</v>
      </c>
      <c r="B22" s="807" t="s">
        <v>1630</v>
      </c>
      <c r="C22" s="808">
        <f ca="1">ROUND(C21*F22,0)</f>
        <v>0</v>
      </c>
      <c r="D22" s="278"/>
      <c r="E22" s="278"/>
      <c r="F22" s="810">
        <f>'数据-取费表'!B37</f>
        <v>0.02</v>
      </c>
      <c r="G22" s="5" t="s">
        <v>1631</v>
      </c>
      <c r="H22" s="791"/>
      <c r="I22" s="791"/>
      <c r="J22" s="791"/>
      <c r="K22" s="792"/>
    </row>
    <row r="23" spans="1:33" s="797" customFormat="1" ht="13.5" customHeight="1">
      <c r="A23" s="784" t="s">
        <v>1603</v>
      </c>
      <c r="B23" s="807" t="s">
        <v>1632</v>
      </c>
      <c r="C23" s="808">
        <f ca="1">ROUND(C4*F23*F11,0)</f>
        <v>0</v>
      </c>
      <c r="D23" s="278"/>
      <c r="E23" s="278"/>
      <c r="F23" s="810">
        <f>'数据-取费表'!B38</f>
        <v>0.02</v>
      </c>
      <c r="G23" s="5" t="s">
        <v>1633</v>
      </c>
      <c r="H23" s="791"/>
      <c r="I23" s="791"/>
      <c r="J23" s="791"/>
      <c r="K23" s="792"/>
    </row>
    <row r="24" spans="1:33" s="797" customFormat="1" ht="13.5" customHeight="1">
      <c r="A24" s="784" t="s">
        <v>1634</v>
      </c>
      <c r="B24" s="807" t="s">
        <v>1635</v>
      </c>
      <c r="C24" s="277">
        <f>ROUND(F24/(1+'数据-取费表'!C42),4)</f>
        <v>2.9000000000000001E-2</v>
      </c>
      <c r="D24" s="278" t="s">
        <v>12</v>
      </c>
      <c r="E24" s="278"/>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7">
        <f ca="1">C26</f>
        <v>0</v>
      </c>
      <c r="E25" s="279" t="s">
        <v>12</v>
      </c>
      <c r="F25" s="280">
        <f ca="1">'数据-取费表'!B40</f>
        <v>3.3500000000000002E-2</v>
      </c>
      <c r="G25" s="128"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81"/>
      <c r="E26" s="282"/>
      <c r="F26" s="283"/>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81"/>
      <c r="E27" s="282"/>
      <c r="F27" s="283"/>
      <c r="G27" s="1858" t="str">
        <f>IF('数据-取费表'!B22&lt;=1,"（1）-（3）项×年利率×建设期÷2","（1）-（3）项×((1+年利率)^(建设期÷2)-1)")</f>
        <v>（1）-（3）项×((1+年利率)^(建设期÷2)-1)</v>
      </c>
      <c r="H27" s="801"/>
      <c r="I27" s="801"/>
      <c r="J27" s="801"/>
      <c r="K27" s="802"/>
    </row>
    <row r="28" spans="1:33" s="286" customFormat="1" ht="13.5" customHeight="1">
      <c r="A28" s="784" t="s">
        <v>1641</v>
      </c>
      <c r="B28" s="1859" t="s">
        <v>1642</v>
      </c>
      <c r="C28" s="284">
        <f ca="1">C30</f>
        <v>0</v>
      </c>
      <c r="D28" s="277">
        <f ca="1">C29</f>
        <v>0</v>
      </c>
      <c r="E28" s="279" t="s">
        <v>12</v>
      </c>
      <c r="F28" s="285">
        <f ca="1">IF(C1="",'数据-取费表'!Q16,INDIRECT("'数据-取费表'!q"&amp;$K$1))</f>
        <v>0.1</v>
      </c>
      <c r="G28" s="811"/>
      <c r="H28" s="812"/>
      <c r="I28" s="812"/>
      <c r="J28" s="812"/>
      <c r="K28" s="813"/>
    </row>
    <row r="29" spans="1:33" s="288" customFormat="1" ht="13.5" customHeight="1">
      <c r="A29" s="794" t="s">
        <v>358</v>
      </c>
      <c r="B29" s="816" t="s">
        <v>1643</v>
      </c>
      <c r="C29" s="281">
        <f ca="1">ROUND((1+C24)*F28*'数据-取费表'!B24/'数据-取费表'!B20,4)</f>
        <v>0</v>
      </c>
      <c r="D29" s="281"/>
      <c r="E29" s="282"/>
      <c r="F29" s="287"/>
      <c r="G29" s="128" t="s">
        <v>1644</v>
      </c>
      <c r="H29" s="801"/>
      <c r="I29" s="801"/>
      <c r="J29" s="801"/>
      <c r="K29" s="802"/>
    </row>
    <row r="30" spans="1:33" s="288" customFormat="1" ht="13.5" customHeight="1">
      <c r="A30" s="794" t="s">
        <v>359</v>
      </c>
      <c r="B30" s="816" t="s">
        <v>1645</v>
      </c>
      <c r="C30" s="289">
        <f ca="1">ROUND((C21+C22+C23)*F28,0)</f>
        <v>0</v>
      </c>
      <c r="D30" s="281"/>
      <c r="E30" s="282"/>
      <c r="F30" s="287"/>
      <c r="G30" s="128"/>
      <c r="H30" s="801"/>
      <c r="I30" s="801"/>
      <c r="J30" s="801"/>
      <c r="K30" s="802"/>
    </row>
    <row r="31" spans="1:33" s="797" customFormat="1" ht="13.5" customHeight="1" thickBot="1">
      <c r="A31" s="1860" t="s">
        <v>1646</v>
      </c>
      <c r="B31" s="827" t="s">
        <v>1647</v>
      </c>
      <c r="C31" s="828">
        <f>ROUND(C4*F31/(1+'数据-取费表'!C42),0)</f>
        <v>0</v>
      </c>
      <c r="D31" s="829"/>
      <c r="E31" s="830"/>
      <c r="F31" s="831">
        <f>'数据-取费表'!B41</f>
        <v>5.6000000000000001E-2</v>
      </c>
      <c r="G31" s="832" t="s">
        <v>1648</v>
      </c>
      <c r="H31" s="833"/>
      <c r="I31" s="833"/>
      <c r="J31" s="833"/>
      <c r="K31" s="834"/>
    </row>
    <row r="32" spans="1:33" s="793" customFormat="1" ht="13.5" customHeight="1" thickBot="1">
      <c r="A32" s="822" t="s">
        <v>1649</v>
      </c>
      <c r="B32" s="823"/>
      <c r="C32" s="824">
        <f ca="1">ROUND((C4-C21-C22-C23-C25-C28-C31)/(1+C24+D25+D28),0)</f>
        <v>0</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E40" sqref="E40"/>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4"/>
      <c r="C1" s="195"/>
      <c r="D1" s="195"/>
      <c r="E1" s="195"/>
      <c r="F1" s="195"/>
      <c r="G1" s="1120">
        <f>MATCH(B1,'数据-取费表'!A6:A16,0)+5</f>
        <v>7</v>
      </c>
    </row>
    <row r="2" spans="1:9" s="197" customFormat="1" ht="18" customHeight="1">
      <c r="A2" s="198" t="s">
        <v>1462</v>
      </c>
      <c r="B2" s="199">
        <f ca="1">IF(D2="——",C52,C52-E2)</f>
        <v>10317</v>
      </c>
      <c r="C2" s="196" t="s">
        <v>1463</v>
      </c>
      <c r="D2" s="1847" t="s">
        <v>43</v>
      </c>
      <c r="E2" s="1163" t="e">
        <f ca="1">SUMIF(INDIRECT("'"&amp;G2&amp;"'"&amp;"!A:A"),"承租人权益价值",INDIRECT("'"&amp;G2&amp;"'"&amp;"!c:c"))</f>
        <v>#REF!</v>
      </c>
      <c r="F2" s="1848" t="s">
        <v>1463</v>
      </c>
      <c r="G2" s="1849"/>
    </row>
    <row r="3" spans="1:9" s="197" customFormat="1" ht="18" customHeight="1" thickBot="1">
      <c r="A3" s="200" t="s">
        <v>1464</v>
      </c>
      <c r="B3" s="201">
        <f ca="1">ROUND(B2*10000/(IF(B1="",'数据-汇总表'!E3,INDIRECT("'数据-取费表'!k"&amp;$G$1))),0)</f>
        <v>5813</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 ca="1">C6+C7+C8</f>
        <v>4075</v>
      </c>
      <c r="D5" s="208" t="s">
        <v>1469</v>
      </c>
      <c r="E5" s="209" t="s">
        <v>1470</v>
      </c>
      <c r="F5" s="209" t="s">
        <v>1471</v>
      </c>
      <c r="G5" s="210"/>
    </row>
    <row r="6" spans="1:9" s="211" customFormat="1" ht="13.5" customHeight="1">
      <c r="A6" s="772" t="s">
        <v>1472</v>
      </c>
      <c r="B6" s="212" t="s">
        <v>1473</v>
      </c>
      <c r="C6" s="213">
        <f>基准地价修正!B2</f>
        <v>3610</v>
      </c>
      <c r="D6" s="214"/>
      <c r="E6" s="215"/>
      <c r="F6" s="215"/>
      <c r="G6" s="216"/>
    </row>
    <row r="7" spans="1:9" s="211" customFormat="1" ht="13.5" customHeight="1">
      <c r="A7" s="772" t="s">
        <v>1474</v>
      </c>
      <c r="B7" s="212" t="s">
        <v>1475</v>
      </c>
      <c r="C7" s="217">
        <f>ROUND(C6*F7,0)</f>
        <v>110</v>
      </c>
      <c r="D7" s="217"/>
      <c r="E7" s="215"/>
      <c r="F7" s="218">
        <f>IF(项目基本情况!B8="出让",0,'数据-取费表'!B48+'数据-取费表'!B49)</f>
        <v>3.0499999999999999E-2</v>
      </c>
      <c r="G7" s="216"/>
    </row>
    <row r="8" spans="1:9" s="220" customFormat="1">
      <c r="A8" s="772" t="s">
        <v>1476</v>
      </c>
      <c r="B8" s="212" t="s">
        <v>1477</v>
      </c>
      <c r="C8" s="217">
        <f ca="1">IF(G8="已包含在土地购买价格中","0",IF(B1="",'数据-取费表'!B29,IF(G9="全部缴纳",C9+C10,H9)))</f>
        <v>355</v>
      </c>
      <c r="D8" s="219"/>
      <c r="E8" s="217"/>
      <c r="F8" s="218"/>
      <c r="G8" s="1850" t="s">
        <v>3402</v>
      </c>
    </row>
    <row r="9" spans="1:9" s="211" customFormat="1" ht="13.5" customHeight="1">
      <c r="A9" s="773" t="s">
        <v>355</v>
      </c>
      <c r="B9" s="221" t="s">
        <v>1478</v>
      </c>
      <c r="C9" s="222">
        <f ca="1">ROUND(D9*E9/10000,0)</f>
        <v>0</v>
      </c>
      <c r="D9" s="839">
        <f ca="1">IF(B1="",'数据-汇总表'!E5,IF(INDIRECT("'数据-取费表'!c"&amp;$G$1)="住宅",INDIRECT("'数据-取费表'!k"&amp;$G$1),0))</f>
        <v>0</v>
      </c>
      <c r="E9" s="222">
        <f>'数据-取费表'!B27</f>
        <v>160</v>
      </c>
      <c r="F9" s="218"/>
      <c r="G9" s="1851" t="s">
        <v>3403</v>
      </c>
      <c r="H9" s="1131"/>
      <c r="I9" s="1852" t="s">
        <v>1479</v>
      </c>
    </row>
    <row r="10" spans="1:9" s="211" customFormat="1" ht="13.5" customHeight="1">
      <c r="A10" s="773" t="s">
        <v>356</v>
      </c>
      <c r="B10" s="221" t="s">
        <v>1480</v>
      </c>
      <c r="C10" s="222">
        <f ca="1">ROUND(D10*E10/10000,0)</f>
        <v>355</v>
      </c>
      <c r="D10" s="839">
        <f ca="1">IF(B1="",'数据-汇总表'!E6,IF(INDIRECT("'数据-取费表'!c"&amp;$G$1)="住宅",INDIRECT("'数据-取费表'!s"&amp;$G$1),INDIRECT("'数据-取费表'!k"&amp;$G$1)+INDIRECT("'数据-取费表'!s"&amp;$G$1)))</f>
        <v>17747.629999999997</v>
      </c>
      <c r="E10" s="222">
        <f>'数据-取费表'!B28</f>
        <v>200</v>
      </c>
      <c r="F10" s="218"/>
      <c r="G10" s="223"/>
    </row>
    <row r="11" spans="1:9" s="211" customFormat="1" ht="13.5" hidden="1" customHeight="1">
      <c r="A11" s="224" t="s">
        <v>4</v>
      </c>
      <c r="B11" s="212" t="s">
        <v>1481</v>
      </c>
      <c r="C11" s="208"/>
      <c r="D11" s="841"/>
      <c r="E11" s="215"/>
      <c r="F11" s="215"/>
      <c r="G11" s="216"/>
    </row>
    <row r="12" spans="1:9" s="211" customFormat="1" ht="13.5" hidden="1" customHeight="1">
      <c r="A12" s="224" t="s">
        <v>5</v>
      </c>
      <c r="B12" s="212" t="s">
        <v>1482</v>
      </c>
      <c r="C12" s="208">
        <v>0</v>
      </c>
      <c r="D12" s="841"/>
      <c r="E12" s="225"/>
      <c r="F12" s="218">
        <v>3.0499999999999999E-2</v>
      </c>
      <c r="G12" s="216"/>
    </row>
    <row r="13" spans="1:9" s="211" customFormat="1" ht="13.5" hidden="1" customHeight="1">
      <c r="A13" s="224" t="s">
        <v>6</v>
      </c>
      <c r="B13" s="212" t="s">
        <v>1483</v>
      </c>
      <c r="C13" s="208"/>
      <c r="D13" s="841"/>
      <c r="E13" s="215"/>
      <c r="F13" s="215"/>
      <c r="G13" s="216"/>
    </row>
    <row r="14" spans="1:9" s="211" customFormat="1" ht="13.5" hidden="1" customHeight="1">
      <c r="A14" s="224" t="s">
        <v>7</v>
      </c>
      <c r="B14" s="212" t="s">
        <v>1484</v>
      </c>
      <c r="C14" s="208"/>
      <c r="D14" s="841"/>
      <c r="E14" s="215"/>
      <c r="F14" s="215"/>
      <c r="G14" s="216" t="s">
        <v>1485</v>
      </c>
    </row>
    <row r="15" spans="1:9" s="211" customFormat="1" ht="13.5" hidden="1" customHeight="1">
      <c r="A15" s="224" t="s">
        <v>8</v>
      </c>
      <c r="B15" s="212" t="s">
        <v>1486</v>
      </c>
      <c r="C15" s="217"/>
      <c r="D15" s="841"/>
      <c r="E15" s="215"/>
      <c r="F15" s="215"/>
      <c r="G15" s="216" t="s">
        <v>1487</v>
      </c>
    </row>
    <row r="16" spans="1:9" s="211" customFormat="1" ht="13.5" hidden="1" customHeight="1">
      <c r="A16" s="224" t="s">
        <v>9</v>
      </c>
      <c r="B16" s="212" t="s">
        <v>1484</v>
      </c>
      <c r="C16" s="217"/>
      <c r="D16" s="841"/>
      <c r="E16" s="215"/>
      <c r="F16" s="215"/>
      <c r="G16" s="216"/>
    </row>
    <row r="17" spans="1:7" s="211" customFormat="1" ht="13.5" hidden="1" customHeight="1">
      <c r="A17" s="224" t="s">
        <v>10</v>
      </c>
      <c r="B17" s="212" t="s">
        <v>1488</v>
      </c>
      <c r="C17" s="226"/>
      <c r="D17" s="842"/>
      <c r="E17" s="226"/>
      <c r="F17" s="226"/>
      <c r="G17" s="216" t="s">
        <v>1487</v>
      </c>
    </row>
    <row r="18" spans="1:7" s="211" customFormat="1" ht="13.5" hidden="1" customHeight="1">
      <c r="A18" s="224" t="s">
        <v>11</v>
      </c>
      <c r="B18" s="212" t="s">
        <v>1489</v>
      </c>
      <c r="C18" s="217">
        <v>0</v>
      </c>
      <c r="D18" s="841"/>
      <c r="E18" s="215"/>
      <c r="F18" s="218">
        <v>3.0499999999999999E-2</v>
      </c>
      <c r="G18" s="216" t="s">
        <v>1490</v>
      </c>
    </row>
    <row r="19" spans="1:7" s="220" customFormat="1" ht="13.5" customHeight="1">
      <c r="A19" s="252" t="s">
        <v>1491</v>
      </c>
      <c r="B19" s="207" t="s">
        <v>1492</v>
      </c>
      <c r="C19" s="208" t="str">
        <f>IF(G19="已包含在土地取得成本中","0",ROUND(D19*E19/10000,0))</f>
        <v>0</v>
      </c>
      <c r="D19" s="843">
        <f ca="1">D9+D10</f>
        <v>17747.629999999997</v>
      </c>
      <c r="E19" s="208">
        <f>'数据-取费表'!B31</f>
        <v>200</v>
      </c>
      <c r="F19" s="228"/>
      <c r="G19" s="1850" t="s">
        <v>3404</v>
      </c>
    </row>
    <row r="20" spans="1:7" s="211" customFormat="1" ht="13.5" customHeight="1">
      <c r="A20" s="252" t="s">
        <v>1493</v>
      </c>
      <c r="B20" s="207" t="s">
        <v>1494</v>
      </c>
      <c r="C20" s="229">
        <f ca="1">ROUND((C5+C19)*F20,0)</f>
        <v>82</v>
      </c>
      <c r="D20" s="229"/>
      <c r="E20" s="229"/>
      <c r="F20" s="230">
        <f>'数据-取费表'!B37</f>
        <v>0.02</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098">
        <f ca="1">ROUND(SUM(C23:C25),0)</f>
        <v>208</v>
      </c>
      <c r="D22" s="232">
        <f ca="1">C26</f>
        <v>5.0000000000000001E-4</v>
      </c>
      <c r="E22" s="233" t="s">
        <v>1498</v>
      </c>
      <c r="F22" s="234">
        <f ca="1">'数据-取费表'!B40</f>
        <v>3.3500000000000002E-2</v>
      </c>
      <c r="G22" s="231" t="str">
        <f>IF('数据-取费表'!B22&lt;=1,"单利计息","复利计息")</f>
        <v>复利计息</v>
      </c>
    </row>
    <row r="23" spans="1:7" s="211" customFormat="1" ht="13.5" customHeight="1">
      <c r="A23" s="774" t="s">
        <v>1502</v>
      </c>
      <c r="B23" s="212" t="s">
        <v>1503</v>
      </c>
      <c r="C23" s="1099">
        <f ca="1">ROUND(IF('数据-取费表'!B22&lt;=1,C5*F22*'数据-取费表'!B23,C5*(POWER((1+F22),'数据-取费表'!B23)-1)),0)</f>
        <v>206</v>
      </c>
      <c r="D23" s="235"/>
      <c r="E23" s="235"/>
      <c r="F23" s="236"/>
      <c r="G23" s="237" t="s">
        <v>1504</v>
      </c>
    </row>
    <row r="24" spans="1:7" s="211" customFormat="1" ht="13.5" customHeight="1">
      <c r="A24" s="774" t="s">
        <v>1505</v>
      </c>
      <c r="B24" s="212" t="s">
        <v>1506</v>
      </c>
      <c r="C24" s="1099">
        <f ca="1">ROUND(IF('数据-取费表'!B22&lt;=1,C19*F22*('数据-取费表'!B19/2+'数据-取费表'!B21),C19*(POWER((1+F22),('数据-取费表'!B19/2+'数据-取费表'!B21))-1)),0)</f>
        <v>0</v>
      </c>
      <c r="D24" s="235"/>
      <c r="E24" s="235"/>
      <c r="F24" s="236"/>
      <c r="G24" s="237" t="s">
        <v>1507</v>
      </c>
    </row>
    <row r="25" spans="1:7" s="211" customFormat="1" ht="24">
      <c r="A25" s="774" t="s">
        <v>1508</v>
      </c>
      <c r="B25" s="212" t="s">
        <v>1509</v>
      </c>
      <c r="C25" s="1099">
        <f ca="1">ROUND(IF('数据-取费表'!B22&lt;=1,C20*F22*'数据-取费表'!B23/2,C20*(POWER((1+F22),'数据-取费表'!B23/2)-1)),0)</f>
        <v>2</v>
      </c>
      <c r="D25" s="235"/>
      <c r="E25" s="238"/>
      <c r="F25" s="236"/>
      <c r="G25" s="239" t="s">
        <v>1510</v>
      </c>
    </row>
    <row r="26" spans="1:7" s="211" customFormat="1">
      <c r="A26" s="774" t="s">
        <v>350</v>
      </c>
      <c r="B26" s="212" t="s">
        <v>1511</v>
      </c>
      <c r="C26" s="235">
        <f ca="1">ROUND(IF('数据-取费表'!B22&lt;=1,F21*F22*'数据-取费表'!B23/2,F21*(POWER((1+F22),'数据-取费表'!B23/2)-1)),4)</f>
        <v>5.0000000000000001E-4</v>
      </c>
      <c r="D26" s="235"/>
      <c r="E26" s="238"/>
      <c r="F26" s="236"/>
      <c r="G26" s="240"/>
    </row>
    <row r="27" spans="1:7" s="211" customFormat="1" ht="24.75">
      <c r="A27" s="252" t="s">
        <v>1512</v>
      </c>
      <c r="B27" s="241" t="s">
        <v>1513</v>
      </c>
      <c r="C27" s="242">
        <f ca="1">C28</f>
        <v>416</v>
      </c>
      <c r="D27" s="232">
        <f ca="1">C29</f>
        <v>2E-3</v>
      </c>
      <c r="E27" s="233" t="s">
        <v>1514</v>
      </c>
      <c r="F27" s="243">
        <f ca="1">IF(B1="",'数据-取费表'!Q16,INDIRECT("'数据-取费表'!q"&amp;$G$1))</f>
        <v>0.1</v>
      </c>
      <c r="G27" s="244" t="s">
        <v>1515</v>
      </c>
    </row>
    <row r="28" spans="1:7" s="211" customFormat="1" ht="13.5" customHeight="1">
      <c r="A28" s="774" t="s">
        <v>346</v>
      </c>
      <c r="B28" s="245" t="s">
        <v>1516</v>
      </c>
      <c r="C28" s="246">
        <f ca="1">ROUND((C5+C19+C20)*F27*'数据-取费表'!B21/'数据-取费表'!B20,0)</f>
        <v>416</v>
      </c>
      <c r="D28" s="232"/>
      <c r="E28" s="233"/>
      <c r="F28" s="243"/>
      <c r="G28" s="244"/>
    </row>
    <row r="29" spans="1:7" s="211" customFormat="1" ht="13.5" customHeight="1">
      <c r="A29" s="774" t="s">
        <v>347</v>
      </c>
      <c r="B29" s="245" t="s">
        <v>1517</v>
      </c>
      <c r="C29" s="235">
        <f ca="1">ROUND(C21*F27*'数据-取费表'!B21/'数据-取费表'!B20,4)</f>
        <v>2E-3</v>
      </c>
      <c r="D29" s="232"/>
      <c r="E29" s="233"/>
      <c r="F29" s="243"/>
      <c r="G29" s="244"/>
    </row>
    <row r="30" spans="1:7" s="211" customFormat="1" ht="13.5" customHeight="1">
      <c r="A30" s="252" t="s">
        <v>1518</v>
      </c>
      <c r="B30" s="207" t="s">
        <v>1519</v>
      </c>
      <c r="C30" s="232">
        <f>ROUND(F30/(1+'数据-取费表'!C42),4)</f>
        <v>5.33E-2</v>
      </c>
      <c r="D30" s="233" t="s">
        <v>1514</v>
      </c>
      <c r="E30" s="238"/>
      <c r="F30" s="234">
        <f>'数据-取费表'!B41</f>
        <v>5.6000000000000001E-2</v>
      </c>
      <c r="G30" s="231" t="s">
        <v>1520</v>
      </c>
    </row>
    <row r="31" spans="1:7" ht="16.5" customHeight="1">
      <c r="A31" s="206">
        <v>1</v>
      </c>
      <c r="B31" s="207" t="s">
        <v>1521</v>
      </c>
      <c r="C31" s="208">
        <f ca="1">ROUND((C5+C19+C20+C22+C27)/(1-C21-D22-D27-C30),0)</f>
        <v>5173</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5919</v>
      </c>
      <c r="D33" s="229"/>
      <c r="E33" s="209"/>
      <c r="F33" s="238"/>
      <c r="G33" s="231"/>
    </row>
    <row r="34" spans="1:7" s="255" customFormat="1" ht="13.5" customHeight="1">
      <c r="A34" s="774" t="s">
        <v>346</v>
      </c>
      <c r="B34" s="212" t="s">
        <v>1525</v>
      </c>
      <c r="C34" s="217">
        <f ca="1">IF(B1="",IF(F34=100%,'数据-取费表'!M16,'数据-取费表'!O16),IF(F34=100%,INDIRECT("'数据-取费表'!m"&amp;$G$1)+INDIRECT("'数据-取费表'!t"&amp;$G$1),INDIRECT("'数据-取费表'!o"&amp;$G$1)+INDIRECT("'数据-取费表'!aq"&amp;$G$1)))</f>
        <v>5324</v>
      </c>
      <c r="D34" s="214"/>
      <c r="E34" s="217"/>
      <c r="F34" s="254">
        <f ca="1">IF('数据-取费表'!B24=0,1,IF(B1="",'数据-取费表'!N16,INDIRECT("'数据-取费表'!n"&amp;$G$1)))</f>
        <v>1</v>
      </c>
      <c r="G34" s="216" t="s">
        <v>1526</v>
      </c>
    </row>
    <row r="35" spans="1:7" ht="13.5" customHeight="1">
      <c r="A35" s="774" t="s">
        <v>351</v>
      </c>
      <c r="B35" s="212" t="s">
        <v>1527</v>
      </c>
      <c r="C35" s="217">
        <f ca="1">ROUND(C34*F35,0)</f>
        <v>160</v>
      </c>
      <c r="D35" s="217"/>
      <c r="E35" s="217"/>
      <c r="F35" s="256">
        <f>'数据-取费表'!B33</f>
        <v>0.03</v>
      </c>
      <c r="G35" s="216" t="s">
        <v>1528</v>
      </c>
    </row>
    <row r="36" spans="1:7" ht="24">
      <c r="A36" s="774"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4" t="s">
        <v>353</v>
      </c>
      <c r="B37" s="212" t="s">
        <v>1531</v>
      </c>
      <c r="C37" s="246">
        <f ca="1">ROUND(E37*D37*F34/10000,0)</f>
        <v>355</v>
      </c>
      <c r="D37" s="214">
        <f ca="1">D19</f>
        <v>17747.629999999997</v>
      </c>
      <c r="E37" s="246">
        <f>'数据-取费表'!B35</f>
        <v>200</v>
      </c>
      <c r="F37" s="256"/>
      <c r="G37" s="258" t="s">
        <v>1532</v>
      </c>
    </row>
    <row r="38" spans="1:7" ht="13.5" customHeight="1">
      <c r="A38" s="774" t="s">
        <v>354</v>
      </c>
      <c r="B38" s="212" t="s">
        <v>1533</v>
      </c>
      <c r="C38" s="217">
        <f ca="1">ROUND(C34*F38,0)</f>
        <v>80</v>
      </c>
      <c r="D38" s="217"/>
      <c r="E38" s="217"/>
      <c r="F38" s="256">
        <f>'数据-取费表'!B36</f>
        <v>1.4999999999999999E-2</v>
      </c>
      <c r="G38" s="216" t="s">
        <v>1528</v>
      </c>
    </row>
    <row r="39" spans="1:7" s="211" customFormat="1" ht="13.5" customHeight="1">
      <c r="A39" s="252" t="s">
        <v>1534</v>
      </c>
      <c r="B39" s="207" t="s">
        <v>1535</v>
      </c>
      <c r="C39" s="229">
        <f ca="1">ROUND(C33*F20,0)</f>
        <v>118</v>
      </c>
      <c r="D39" s="229"/>
      <c r="E39" s="229"/>
      <c r="F39" s="230">
        <f>F20</f>
        <v>0.02</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151</v>
      </c>
      <c r="D41" s="232">
        <f ca="1">C44</f>
        <v>5.0000000000000001E-4</v>
      </c>
      <c r="E41" s="233" t="s">
        <v>1539</v>
      </c>
      <c r="F41" s="234">
        <f ca="1">F22</f>
        <v>3.3500000000000002E-2</v>
      </c>
      <c r="G41" s="231" t="str">
        <f>IF('数据-取费表'!B22&lt;=1,"单利计息","复利计息")</f>
        <v>复利计息</v>
      </c>
    </row>
    <row r="42" spans="1:7" ht="13.5" customHeight="1">
      <c r="A42" s="774" t="s">
        <v>346</v>
      </c>
      <c r="B42" s="212" t="s">
        <v>1543</v>
      </c>
      <c r="C42" s="235">
        <f ca="1">ROUND(IF('数据-取费表'!B22&lt;=1,C33*F22*'数据-取费表'!B21/2,C33*(POWER((1+F22),'数据-取费表'!B21/2)-1)),0)</f>
        <v>148</v>
      </c>
      <c r="D42" s="235"/>
      <c r="E42" s="235"/>
      <c r="F42" s="236"/>
      <c r="G42" s="3683" t="s">
        <v>1544</v>
      </c>
    </row>
    <row r="43" spans="1:7" ht="13.5" customHeight="1">
      <c r="A43" s="774" t="s">
        <v>347</v>
      </c>
      <c r="B43" s="212" t="s">
        <v>1545</v>
      </c>
      <c r="C43" s="235">
        <f ca="1">ROUND(IF('数据-取费表'!B22&lt;=1,C39*F22*'数据-取费表'!B21/2,C39*(POWER((1+F22),'数据-取费表'!B21/2)-1)),0)</f>
        <v>3</v>
      </c>
      <c r="D43" s="235"/>
      <c r="E43" s="235"/>
      <c r="F43" s="236"/>
      <c r="G43" s="3684"/>
    </row>
    <row r="44" spans="1:7" ht="13.5" customHeight="1">
      <c r="A44" s="774" t="s">
        <v>348</v>
      </c>
      <c r="B44" s="212" t="s">
        <v>1546</v>
      </c>
      <c r="C44" s="235">
        <f ca="1">ROUND(IF('数据-取费表'!B22&lt;=1,C40*F22*'数据-取费表'!B21/2,C40*(POWER((1+F22),'数据-取费表'!B21/2)-1)),4)</f>
        <v>5.0000000000000001E-4</v>
      </c>
      <c r="D44" s="235"/>
      <c r="E44" s="235"/>
      <c r="F44" s="236"/>
      <c r="G44" s="3685"/>
    </row>
    <row r="45" spans="1:7" s="211" customFormat="1" ht="13.5" customHeight="1">
      <c r="A45" s="252" t="s">
        <v>1547</v>
      </c>
      <c r="B45" s="241" t="s">
        <v>1513</v>
      </c>
      <c r="C45" s="242">
        <f ca="1">C46</f>
        <v>604</v>
      </c>
      <c r="D45" s="232">
        <f ca="1">C47</f>
        <v>2E-3</v>
      </c>
      <c r="E45" s="233" t="s">
        <v>1539</v>
      </c>
      <c r="F45" s="243">
        <f ca="1">F27</f>
        <v>0.1</v>
      </c>
      <c r="G45" s="244" t="s">
        <v>1548</v>
      </c>
    </row>
    <row r="46" spans="1:7" s="211" customFormat="1" ht="13.5" customHeight="1">
      <c r="A46" s="774" t="s">
        <v>346</v>
      </c>
      <c r="B46" s="245" t="s">
        <v>1549</v>
      </c>
      <c r="C46" s="246">
        <f ca="1">ROUND((C33+C39)*F27,0)</f>
        <v>604</v>
      </c>
      <c r="D46" s="260"/>
      <c r="E46" s="233"/>
      <c r="F46" s="243"/>
      <c r="G46" s="244"/>
    </row>
    <row r="47" spans="1:7" s="211" customFormat="1" ht="13.5" customHeight="1">
      <c r="A47" s="774" t="s">
        <v>347</v>
      </c>
      <c r="B47" s="245" t="s">
        <v>1550</v>
      </c>
      <c r="C47" s="235">
        <f ca="1">ROUND(C40*F27,4)</f>
        <v>2E-3</v>
      </c>
      <c r="D47" s="260"/>
      <c r="E47" s="233"/>
      <c r="F47" s="243"/>
      <c r="G47" s="244"/>
    </row>
    <row r="48" spans="1:7" s="211" customFormat="1" ht="13.5" customHeight="1">
      <c r="A48" s="252" t="s">
        <v>1512</v>
      </c>
      <c r="B48" s="207" t="s">
        <v>1551</v>
      </c>
      <c r="C48" s="1321">
        <f>ROUND(F30/(1+'数据-取费表'!C42),4)</f>
        <v>5.33E-2</v>
      </c>
      <c r="D48" s="233" t="s">
        <v>1539</v>
      </c>
      <c r="E48" s="229"/>
      <c r="F48" s="234">
        <f>F30</f>
        <v>5.6000000000000001E-2</v>
      </c>
      <c r="G48" s="231" t="s">
        <v>1552</v>
      </c>
    </row>
    <row r="49" spans="1:7" ht="16.5" customHeight="1">
      <c r="A49" s="252" t="s">
        <v>1518</v>
      </c>
      <c r="B49" s="207" t="s">
        <v>1553</v>
      </c>
      <c r="C49" s="229">
        <f ca="1">ROUND((C33+C39+C41+C45)/(1-C40-D41-D45-C48),0)</f>
        <v>7349</v>
      </c>
      <c r="D49" s="229"/>
      <c r="E49" s="229"/>
      <c r="F49" s="261"/>
      <c r="G49" s="231" t="s">
        <v>1554</v>
      </c>
    </row>
    <row r="50" spans="1:7" s="255" customFormat="1" ht="24">
      <c r="A50" s="252" t="s">
        <v>1555</v>
      </c>
      <c r="B50" s="207" t="s">
        <v>1556</v>
      </c>
      <c r="C50" s="229"/>
      <c r="D50" s="229"/>
      <c r="E50" s="229"/>
      <c r="F50" s="261">
        <f>IF('数据-取费表'!B24=0,'数据-取费表'!N16,1)</f>
        <v>0.7</v>
      </c>
      <c r="G50" s="244" t="s">
        <v>1557</v>
      </c>
    </row>
    <row r="51" spans="1:7" ht="16.5" customHeight="1">
      <c r="A51" s="252" t="s">
        <v>1558</v>
      </c>
      <c r="B51" s="207" t="s">
        <v>1559</v>
      </c>
      <c r="C51" s="229">
        <f ca="1">ROUND(C49*F50,0)</f>
        <v>5144</v>
      </c>
      <c r="D51" s="229"/>
      <c r="E51" s="229"/>
      <c r="F51" s="261"/>
      <c r="G51" s="231" t="s">
        <v>1560</v>
      </c>
    </row>
    <row r="52" spans="1:7" s="205" customFormat="1" ht="16.5" thickBot="1">
      <c r="A52" s="262" t="s">
        <v>1561</v>
      </c>
      <c r="B52" s="263"/>
      <c r="C52" s="264">
        <f ca="1">C31+C51</f>
        <v>10317</v>
      </c>
      <c r="D52" s="263"/>
      <c r="E52" s="263"/>
      <c r="F52" s="263"/>
      <c r="G52" s="265"/>
    </row>
    <row r="55" spans="1:7" ht="15">
      <c r="B55" s="267" t="s">
        <v>1562</v>
      </c>
      <c r="C55" s="268"/>
    </row>
    <row r="56" spans="1:7">
      <c r="B56" s="270" t="s">
        <v>802</v>
      </c>
      <c r="C56" s="272">
        <f ca="1">1-C57</f>
        <v>0.501</v>
      </c>
    </row>
    <row r="57" spans="1:7">
      <c r="B57" s="270" t="s">
        <v>803</v>
      </c>
      <c r="C57" s="271">
        <f ca="1">ROUND(C51/C52,3)</f>
        <v>0.499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10"/>
      <c r="C1" s="1373"/>
      <c r="D1" s="1356" t="s">
        <v>43</v>
      </c>
      <c r="E1" s="1357" t="s">
        <v>678</v>
      </c>
      <c r="F1" s="1056">
        <f ca="1">J53</f>
        <v>0</v>
      </c>
      <c r="G1" s="1372">
        <f>MATCH(C1,'数据-取费表'!A6:A16,0)+5</f>
        <v>7</v>
      </c>
      <c r="H1" s="2686"/>
      <c r="I1" s="2687"/>
      <c r="J1" s="2687"/>
      <c r="K1" s="2688"/>
      <c r="L1" s="2687"/>
      <c r="M1" s="2687"/>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9" t="e">
        <f ca="1">ROUND(D2/10000,4)</f>
        <v>#N/A</v>
      </c>
      <c r="C2" s="1381" t="s">
        <v>879</v>
      </c>
      <c r="D2" s="1465" t="e">
        <f ca="1">C40+J29+L46</f>
        <v>#N/A</v>
      </c>
      <c r="E2" s="1382" t="s">
        <v>880</v>
      </c>
      <c r="F2" s="1383"/>
      <c r="G2" s="2700"/>
      <c r="H2" s="2689"/>
      <c r="I2" s="2689"/>
      <c r="J2" s="2689"/>
      <c r="K2" s="2690"/>
      <c r="L2" s="2689"/>
      <c r="M2" s="2689"/>
    </row>
    <row r="3" spans="1:37" ht="18" customHeight="1" thickBot="1">
      <c r="A3" s="1384" t="s">
        <v>881</v>
      </c>
      <c r="B3" s="1385">
        <f ca="1">IF(ISERROR(D2/F43),0,ROUND(D2/F43,0))</f>
        <v>0</v>
      </c>
      <c r="C3" s="1381" t="s">
        <v>882</v>
      </c>
      <c r="D3" s="1381"/>
      <c r="E3" s="1382"/>
      <c r="F3" s="1383"/>
      <c r="G3" s="2700"/>
      <c r="H3" s="680" t="s">
        <v>876</v>
      </c>
      <c r="I3" s="1376"/>
      <c r="J3" s="1376"/>
      <c r="K3" s="1377"/>
      <c r="L3" s="1376"/>
      <c r="M3" s="1376"/>
    </row>
    <row r="4" spans="1:37" ht="18" customHeight="1">
      <c r="A4" s="292" t="s">
        <v>883</v>
      </c>
      <c r="B4" s="293" t="s">
        <v>884</v>
      </c>
      <c r="C4" s="293" t="s">
        <v>885</v>
      </c>
      <c r="D4" s="293" t="s">
        <v>886</v>
      </c>
      <c r="E4" s="294" t="s">
        <v>887</v>
      </c>
      <c r="F4" s="295"/>
      <c r="G4" s="1378"/>
      <c r="H4" s="292" t="s">
        <v>883</v>
      </c>
      <c r="I4" s="293" t="s">
        <v>884</v>
      </c>
      <c r="J4" s="293" t="s">
        <v>885</v>
      </c>
      <c r="K4" s="293" t="s">
        <v>886</v>
      </c>
      <c r="L4" s="294" t="s">
        <v>887</v>
      </c>
      <c r="M4" s="295"/>
    </row>
    <row r="5" spans="1:37" ht="18" customHeight="1">
      <c r="A5" s="296">
        <v>1</v>
      </c>
      <c r="B5" s="297" t="s">
        <v>888</v>
      </c>
      <c r="C5" s="1064">
        <f ca="1">C6+C10+C12</f>
        <v>0</v>
      </c>
      <c r="D5" s="1358" t="s">
        <v>889</v>
      </c>
      <c r="E5" s="1065"/>
      <c r="F5" s="1066"/>
      <c r="G5" s="1378"/>
      <c r="H5" s="296">
        <v>1</v>
      </c>
      <c r="I5" s="297" t="s">
        <v>888</v>
      </c>
      <c r="J5" s="1064">
        <f ca="1">J6+J10+J12</f>
        <v>0</v>
      </c>
      <c r="K5" s="1358" t="s">
        <v>889</v>
      </c>
      <c r="L5" s="1065"/>
      <c r="M5" s="1066"/>
    </row>
    <row r="6" spans="1:37" ht="18" customHeight="1">
      <c r="A6" s="1063" t="s">
        <v>398</v>
      </c>
      <c r="B6" s="3686" t="s">
        <v>694</v>
      </c>
      <c r="C6" s="1068">
        <f ca="1">ROUND(F6*F8*F7*(1-F9),0)</f>
        <v>0</v>
      </c>
      <c r="D6" s="152" t="s">
        <v>2106</v>
      </c>
      <c r="E6" s="299" t="s">
        <v>696</v>
      </c>
      <c r="F6" s="300">
        <f ca="1">INDIRECT("'数据-取费表'!u"&amp;$G$1)</f>
        <v>2.6</v>
      </c>
      <c r="G6" s="1378"/>
      <c r="H6" s="1063" t="s">
        <v>398</v>
      </c>
      <c r="I6" s="3686" t="s">
        <v>694</v>
      </c>
      <c r="J6" s="298">
        <f ca="1">ROUND(M6*M8*M7*(1-M9),0)</f>
        <v>0</v>
      </c>
      <c r="K6" s="1370" t="s">
        <v>2107</v>
      </c>
      <c r="L6" s="299" t="s">
        <v>696</v>
      </c>
      <c r="M6" s="300">
        <f ca="1">INDIRECT("'数据-取费表'!z"&amp;$G$1)</f>
        <v>0</v>
      </c>
    </row>
    <row r="7" spans="1:37" ht="18" customHeight="1">
      <c r="A7" s="1067"/>
      <c r="B7" s="3687"/>
      <c r="C7" s="1069"/>
      <c r="D7" s="304"/>
      <c r="E7" s="1070" t="s">
        <v>697</v>
      </c>
      <c r="F7" s="300">
        <f ca="1">IF(INDIRECT("'数据-取费表'!ah"&amp;$G$1)="",INDIRECT("'数据-取费表'!k"&amp;$G$1),INDIRECT("'数据-取费表'!ah"&amp;$G$1))</f>
        <v>0</v>
      </c>
      <c r="G7" s="1378"/>
      <c r="H7" s="301"/>
      <c r="I7" s="3687"/>
      <c r="J7" s="303"/>
      <c r="K7" s="304"/>
      <c r="L7" s="299" t="s">
        <v>697</v>
      </c>
      <c r="M7" s="300">
        <f ca="1">F7</f>
        <v>0</v>
      </c>
    </row>
    <row r="8" spans="1:37" ht="18" customHeight="1">
      <c r="A8" s="301"/>
      <c r="B8" s="3687"/>
      <c r="C8" s="303"/>
      <c r="D8" s="304"/>
      <c r="E8" s="299" t="s">
        <v>698</v>
      </c>
      <c r="F8" s="300">
        <f ca="1">INDIRECT("'数据-取费表'!ai"&amp;$G$1)</f>
        <v>365</v>
      </c>
      <c r="G8" s="1378"/>
      <c r="H8" s="301"/>
      <c r="I8" s="3687"/>
      <c r="J8" s="303"/>
      <c r="K8" s="304"/>
      <c r="L8" s="299" t="s">
        <v>698</v>
      </c>
      <c r="M8" s="300">
        <f ca="1">INDIRECT("'数据-取费表'!ai"&amp;$G$1)</f>
        <v>365</v>
      </c>
    </row>
    <row r="9" spans="1:37" ht="18" customHeight="1">
      <c r="A9" s="301"/>
      <c r="B9" s="3688"/>
      <c r="C9" s="303"/>
      <c r="D9" s="304"/>
      <c r="E9" s="299" t="s">
        <v>699</v>
      </c>
      <c r="F9" s="309">
        <f ca="1">INDIRECT("'数据-取费表'!w"&amp;$G$1)</f>
        <v>0.15</v>
      </c>
      <c r="G9" s="1378"/>
      <c r="H9" s="301"/>
      <c r="I9" s="3688"/>
      <c r="J9" s="303"/>
      <c r="K9" s="304"/>
      <c r="L9" s="310" t="s">
        <v>699</v>
      </c>
      <c r="M9" s="311">
        <f ca="1">INDIRECT("'数据-取费表'!ab"&amp;$G$1)</f>
        <v>0</v>
      </c>
    </row>
    <row r="10" spans="1:37" ht="18" customHeight="1">
      <c r="A10" s="1063" t="s">
        <v>402</v>
      </c>
      <c r="B10" s="1359" t="s">
        <v>700</v>
      </c>
      <c r="C10" s="313">
        <f ca="1">ROUND(IF(F10="押一",C6/12*F11,IF(F10="押二",C6/12*2*F11,IF(F10="押三",C6/12*3*F11,C11*F11))),0)</f>
        <v>0</v>
      </c>
      <c r="D10" s="1360" t="s">
        <v>2116</v>
      </c>
      <c r="E10" s="310" t="s">
        <v>701</v>
      </c>
      <c r="F10" s="1110"/>
      <c r="G10" s="1378"/>
      <c r="H10" s="1063" t="s">
        <v>402</v>
      </c>
      <c r="I10" s="1359" t="s">
        <v>700</v>
      </c>
      <c r="J10" s="298">
        <f ca="1">ROUND(IF(M10="押一",J6/12*M11,IF(M10="押二",J6/12*2*M11,IF(M10="押三",J6/12*3*M11,J11*M11))),0)</f>
        <v>0</v>
      </c>
      <c r="K10" s="1371" t="s">
        <v>2118</v>
      </c>
      <c r="L10" s="310" t="s">
        <v>701</v>
      </c>
      <c r="M10" s="1110"/>
    </row>
    <row r="11" spans="1:37" ht="18" customHeight="1">
      <c r="A11" s="305"/>
      <c r="B11" s="1361" t="s">
        <v>890</v>
      </c>
      <c r="C11" s="953"/>
      <c r="D11" s="304"/>
      <c r="E11" s="310" t="s">
        <v>702</v>
      </c>
      <c r="F11" s="311">
        <f ca="1">'数据-取费表'!B39</f>
        <v>1.4999999999999999E-2</v>
      </c>
      <c r="G11" s="1378"/>
      <c r="H11" s="1071"/>
      <c r="I11" s="1361" t="s">
        <v>891</v>
      </c>
      <c r="J11" s="953"/>
      <c r="K11" s="681"/>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0</v>
      </c>
      <c r="D13" s="1075" t="s">
        <v>705</v>
      </c>
      <c r="E13" s="1075" t="s">
        <v>706</v>
      </c>
      <c r="F13" s="1076">
        <f ca="1">INDIRECT("'数据-取费表'!y"&amp;$G$1)</f>
        <v>0.7</v>
      </c>
      <c r="G13" s="1378"/>
      <c r="H13" s="1073">
        <v>2</v>
      </c>
      <c r="I13" s="1074" t="s">
        <v>704</v>
      </c>
      <c r="J13" s="1062">
        <f ca="1">ROUND(J14*J15,0)</f>
        <v>0</v>
      </c>
      <c r="K13" s="1081" t="s">
        <v>705</v>
      </c>
      <c r="L13" s="1386"/>
      <c r="M13" s="1387"/>
    </row>
    <row r="14" spans="1:37" ht="18" customHeight="1">
      <c r="A14" s="976" t="s">
        <v>397</v>
      </c>
      <c r="B14" s="299" t="s">
        <v>707</v>
      </c>
      <c r="C14" s="315">
        <f ca="1">ROUND(INDIRECT("'数据-取费表'!l"&amp;$G$1)*F43+'数据-取费表'!L14*INDIRECT("'数据-取费表'!S"&amp;$G$1),0)</f>
        <v>0</v>
      </c>
      <c r="D14" s="1339" t="s">
        <v>708</v>
      </c>
      <c r="E14" s="1336"/>
      <c r="F14" s="316"/>
      <c r="G14" s="1378"/>
      <c r="H14" s="976" t="s">
        <v>398</v>
      </c>
      <c r="I14" s="299" t="s">
        <v>709</v>
      </c>
      <c r="J14" s="21">
        <f ca="1">C29</f>
        <v>0</v>
      </c>
      <c r="K14" s="12"/>
      <c r="L14" s="801"/>
      <c r="M14" s="802"/>
    </row>
    <row r="15" spans="1:37" s="1391" customFormat="1" ht="18" customHeight="1" thickBot="1">
      <c r="A15" s="976" t="s">
        <v>399</v>
      </c>
      <c r="B15" s="299" t="s">
        <v>710</v>
      </c>
      <c r="C15" s="21">
        <f ca="1">ROUND(C14*F15,0)</f>
        <v>0</v>
      </c>
      <c r="D15" s="317" t="s">
        <v>711</v>
      </c>
      <c r="E15" s="317" t="s">
        <v>712</v>
      </c>
      <c r="F15" s="318">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ROUND(INDIRECT("'数据-取费表'!l"&amp;$G$1)*F43*F16,0)</f>
        <v>0</v>
      </c>
      <c r="D16" s="299" t="s">
        <v>711</v>
      </c>
      <c r="E16" s="299" t="s">
        <v>712</v>
      </c>
      <c r="F16" s="319">
        <f ca="1">IF(INDIRECT("'数据-取费表'!c"&amp;$G$1)="住宅",'数据-取费表'!B34,0)</f>
        <v>0</v>
      </c>
      <c r="G16" s="1378"/>
      <c r="H16" s="1073" t="s">
        <v>393</v>
      </c>
      <c r="I16" s="1074" t="s">
        <v>714</v>
      </c>
      <c r="J16" s="307">
        <f ca="1">ROUND(J17+J22+J23+J24,0)</f>
        <v>0</v>
      </c>
      <c r="K16" s="1081" t="s">
        <v>715</v>
      </c>
      <c r="L16" s="1082"/>
      <c r="M16" s="1066"/>
    </row>
    <row r="17" spans="1:37" s="1391" customFormat="1" ht="18" customHeight="1">
      <c r="A17" s="976" t="s">
        <v>681</v>
      </c>
      <c r="B17" s="299" t="s">
        <v>716</v>
      </c>
      <c r="C17" s="21">
        <f ca="1">ROUND(F17*(F43+INDIRECT("'数据-取费表'!S"&amp;$G$1)),0)</f>
        <v>0</v>
      </c>
      <c r="D17" s="299" t="s">
        <v>717</v>
      </c>
      <c r="E17" s="299" t="s">
        <v>718</v>
      </c>
      <c r="F17" s="23">
        <f>'数据-取费表'!B35</f>
        <v>200</v>
      </c>
      <c r="G17" s="1390"/>
      <c r="H17" s="976" t="s">
        <v>398</v>
      </c>
      <c r="I17" s="299"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0</v>
      </c>
      <c r="D18" s="299" t="s">
        <v>711</v>
      </c>
      <c r="E18" s="299" t="s">
        <v>712</v>
      </c>
      <c r="F18" s="319">
        <f>'数据-取费表'!B36</f>
        <v>1.4999999999999999E-2</v>
      </c>
      <c r="G18" s="1390"/>
      <c r="H18" s="976" t="s">
        <v>397</v>
      </c>
      <c r="I18" s="299" t="s">
        <v>723</v>
      </c>
      <c r="J18" s="21">
        <f ca="1">ROUND(J6*M18/(1+'数据-取费表'!C42),0)</f>
        <v>0</v>
      </c>
      <c r="K18" s="1338" t="s">
        <v>724</v>
      </c>
      <c r="L18" s="299" t="s">
        <v>712</v>
      </c>
      <c r="M18" s="319">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0</v>
      </c>
      <c r="D19" s="128" t="s">
        <v>726</v>
      </c>
      <c r="E19" s="1354"/>
      <c r="F19" s="23"/>
      <c r="G19" s="1378"/>
      <c r="H19" s="976" t="s">
        <v>399</v>
      </c>
      <c r="I19" s="299" t="s">
        <v>727</v>
      </c>
      <c r="J19" s="21">
        <f ca="1">IF(K19="按租金收入计税",ROUND(J6*M19/(1+'数据-取费表'!C42),0),ROUND(C29*M19*0.7,0))</f>
        <v>0</v>
      </c>
      <c r="K19" s="1364" t="s">
        <v>3329</v>
      </c>
      <c r="L19" s="299" t="s">
        <v>712</v>
      </c>
      <c r="M19" s="319">
        <f>IF(K19="按租金收入计税",'数据-取费表'!B51,'数据-取费表'!B50)</f>
        <v>0.12</v>
      </c>
    </row>
    <row r="20" spans="1:37" s="1391" customFormat="1" ht="18" customHeight="1">
      <c r="A20" s="976" t="s">
        <v>402</v>
      </c>
      <c r="B20" s="299" t="s">
        <v>728</v>
      </c>
      <c r="C20" s="21">
        <f ca="1">ROUND(C19*F20,0)</f>
        <v>0</v>
      </c>
      <c r="D20" s="320" t="s">
        <v>729</v>
      </c>
      <c r="E20" s="299" t="s">
        <v>712</v>
      </c>
      <c r="F20" s="319">
        <f>'数据-取费表'!B37</f>
        <v>0.02</v>
      </c>
      <c r="G20" s="1390"/>
      <c r="H20" s="976" t="s">
        <v>680</v>
      </c>
      <c r="I20" s="152" t="s">
        <v>730</v>
      </c>
      <c r="J20" s="22">
        <f ca="1">ROUND(M20*M21,0)</f>
        <v>0</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0</v>
      </c>
      <c r="D21" s="320" t="s">
        <v>734</v>
      </c>
      <c r="E21" s="299" t="s">
        <v>735</v>
      </c>
      <c r="F21" s="319">
        <f>'数据-取费表'!B38</f>
        <v>0.02</v>
      </c>
      <c r="G21" s="1390"/>
      <c r="H21" s="323"/>
      <c r="I21" s="308"/>
      <c r="J21" s="26"/>
      <c r="K21" s="324"/>
      <c r="L21" s="299" t="s">
        <v>736</v>
      </c>
      <c r="M21" s="300">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ROUND(J14*M22,0)</f>
        <v>0</v>
      </c>
      <c r="K22" s="1338" t="s">
        <v>739</v>
      </c>
      <c r="L22" s="299" t="s">
        <v>712</v>
      </c>
      <c r="M22" s="325">
        <f ca="1">INDIRECT("'数据-取费表'!Ak"&amp;$G$1)</f>
        <v>2E-3</v>
      </c>
    </row>
    <row r="23" spans="1:37" s="1391" customFormat="1" ht="18" customHeight="1">
      <c r="A23" s="976"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1.5</v>
      </c>
      <c r="G23" s="1390"/>
      <c r="H23" s="976" t="s">
        <v>437</v>
      </c>
      <c r="I23" s="299" t="s">
        <v>742</v>
      </c>
      <c r="J23" s="21">
        <f ca="1">ROUND(J13*M23,0)</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5.0000000000000001E-4</v>
      </c>
      <c r="D24" s="326" t="str">
        <f>IF(F23&lt;=1,"销售费用×利率×(建设周期÷2)","销售费用×((1+利率)^(建设周期÷2)-1)")</f>
        <v>销售费用×((1+利率)^(建设周期÷2)-1)</v>
      </c>
      <c r="E24" s="299" t="s">
        <v>747</v>
      </c>
      <c r="F24" s="328">
        <f ca="1">'数据-取费表'!B40</f>
        <v>3.3500000000000002E-2</v>
      </c>
      <c r="G24" s="1390"/>
      <c r="H24" s="1083" t="s">
        <v>684</v>
      </c>
      <c r="I24" s="1084" t="s">
        <v>728</v>
      </c>
      <c r="J24" s="1085">
        <f ca="1">ROUND(J5*M24,0)</f>
        <v>0</v>
      </c>
      <c r="K24" s="1086" t="s">
        <v>748</v>
      </c>
      <c r="L24" s="1084" t="s">
        <v>744</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9" t="s">
        <v>750</v>
      </c>
      <c r="C25" s="21"/>
      <c r="D25" s="128" t="s">
        <v>751</v>
      </c>
      <c r="E25" s="1354"/>
      <c r="F25" s="23"/>
      <c r="G25" s="1378"/>
      <c r="H25" s="1073" t="s">
        <v>394</v>
      </c>
      <c r="I25" s="1088" t="s">
        <v>752</v>
      </c>
      <c r="J25" s="307">
        <f ca="1">J5-J16</f>
        <v>0</v>
      </c>
      <c r="K25" s="1089" t="s">
        <v>753</v>
      </c>
      <c r="L25" s="1090"/>
      <c r="M25" s="1091"/>
    </row>
    <row r="26" spans="1:37" ht="18" customHeight="1">
      <c r="A26" s="976" t="s">
        <v>397</v>
      </c>
      <c r="B26" s="299" t="s">
        <v>754</v>
      </c>
      <c r="C26" s="21">
        <f ca="1">ROUND((C19+C20)*F26,0)</f>
        <v>0</v>
      </c>
      <c r="D26" s="320" t="s">
        <v>755</v>
      </c>
      <c r="E26" s="310" t="s">
        <v>756</v>
      </c>
      <c r="F26" s="309">
        <f ca="1">INDIRECT("'数据-取费表'!q"&amp;$G$1)</f>
        <v>0.1</v>
      </c>
      <c r="G26" s="1378"/>
      <c r="H26" s="296" t="s">
        <v>395</v>
      </c>
      <c r="I26" s="297" t="s">
        <v>757</v>
      </c>
      <c r="J26" s="298">
        <f ca="1">IF(J5&lt;&gt;0,ROUND(J25*(1-((1+M28)/(1+M26))^M27)/(M26-M28),0),0)</f>
        <v>0</v>
      </c>
      <c r="K26" s="321" t="s">
        <v>758</v>
      </c>
      <c r="L26" s="299" t="s">
        <v>759</v>
      </c>
      <c r="M26" s="309">
        <f ca="1">INDIRECT("'数据-取费表'!I"&amp;$G$1)</f>
        <v>0.06</v>
      </c>
    </row>
    <row r="27" spans="1:37" ht="18" customHeight="1">
      <c r="A27" s="976" t="s">
        <v>399</v>
      </c>
      <c r="B27" s="299" t="s">
        <v>760</v>
      </c>
      <c r="C27" s="21">
        <f ca="1">ROUND(F21*F26,4)</f>
        <v>2E-3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5.33E-2</v>
      </c>
      <c r="D28" s="320" t="s">
        <v>765</v>
      </c>
      <c r="E28" s="299" t="s">
        <v>712</v>
      </c>
      <c r="F28" s="319">
        <f>'数据-取费表'!B41</f>
        <v>5.6000000000000001E-2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31" t="s">
        <v>396</v>
      </c>
      <c r="I29" s="332" t="s">
        <v>768</v>
      </c>
      <c r="J29" s="333" t="e">
        <f ca="1">ROUND(J26/(1+F40)^F41,0)</f>
        <v>#N/A</v>
      </c>
      <c r="K29" s="334" t="s">
        <v>769</v>
      </c>
      <c r="L29" s="335"/>
      <c r="M29" s="336">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0</v>
      </c>
      <c r="D30" s="1081" t="s">
        <v>715</v>
      </c>
      <c r="E30" s="1082"/>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ROUND(IF(AND(项目基本情况!B11="自然人",项目基本情况!B10="北京市"),C6*F31/(1+'数据-取费表'!C42),C32+C33+C34),0)</f>
        <v>0</v>
      </c>
      <c r="D31" s="1339" t="s">
        <v>720</v>
      </c>
      <c r="E31" s="1338" t="s">
        <v>770</v>
      </c>
      <c r="F31" s="2309" t="str">
        <f>IF(项目基本情况!B11="企业","——",IF(M47="住宅",IF(F6*F7*F8/12/(1+'数据-取费表'!F30)&gt;100000,4%,2.5%),IF(F6*F7*F8/12/(1+'数据-取费表'!F30)&gt;100000,12%,7%)))</f>
        <v>——</v>
      </c>
      <c r="G31" s="1378"/>
      <c r="H31" s="2802" t="s">
        <v>2299</v>
      </c>
      <c r="I31" s="1392"/>
      <c r="J31" s="1393"/>
      <c r="K31" s="2469"/>
      <c r="L31" s="2692"/>
      <c r="M31" s="2693"/>
    </row>
    <row r="32" spans="1:37" ht="18" customHeight="1">
      <c r="A32" s="976" t="s">
        <v>397</v>
      </c>
      <c r="B32" s="299" t="s">
        <v>723</v>
      </c>
      <c r="C32" s="21">
        <f ca="1">IF(项目基本情况!B11="自然人","——",ROUND(C6*F32/(1+'数据-取费表'!C42),0))</f>
        <v>0</v>
      </c>
      <c r="D32" s="1338" t="s">
        <v>724</v>
      </c>
      <c r="E32" s="299" t="s">
        <v>712</v>
      </c>
      <c r="F32" s="328">
        <f>'数据-取费表'!B41</f>
        <v>5.6000000000000001E-2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IF(项目基本情况!B11="自然人","——",IF(D33="按租金收入计税",ROUND(C6*F33/(1+'数据-取费表'!C42),0),IF(D33="按房产原值计税",ROUND(C29*F33*0.7,0),INDIRECT("'数据-取费表'!Aj"&amp;$G$1))))</f>
        <v>0</v>
      </c>
      <c r="D33" s="1364" t="s">
        <v>3329</v>
      </c>
      <c r="E33" s="299" t="s">
        <v>712</v>
      </c>
      <c r="F33" s="319">
        <f>IF(D33="按票据","——",IF(D33="按租金收入计税",'数据-取费表'!B51,'数据-取费表'!B50))</f>
        <v>0.12</v>
      </c>
      <c r="G33" s="1378"/>
      <c r="H33" s="2694"/>
      <c r="I33" s="1392"/>
      <c r="J33" s="1393"/>
      <c r="K33" s="2695"/>
      <c r="L33" s="2694"/>
      <c r="M33" s="2694"/>
    </row>
    <row r="34" spans="1:18" ht="18" customHeight="1">
      <c r="A34" s="1063" t="s">
        <v>680</v>
      </c>
      <c r="B34" s="152" t="s">
        <v>730</v>
      </c>
      <c r="C34" s="22">
        <f ca="1">IF(项目基本情况!B11="自然人","——",ROUND(F34*F35,0))</f>
        <v>0</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0</v>
      </c>
      <c r="G35" s="1378"/>
      <c r="H35" s="2691"/>
      <c r="I35" s="1392"/>
      <c r="J35" s="1393"/>
      <c r="K35" s="2695"/>
      <c r="L35" s="2694"/>
      <c r="M35" s="2694"/>
    </row>
    <row r="36" spans="1:18" ht="18" customHeight="1">
      <c r="A36" s="1096" t="s">
        <v>402</v>
      </c>
      <c r="B36" s="299" t="s">
        <v>738</v>
      </c>
      <c r="C36" s="21">
        <f ca="1">ROUND(C29*F36,0)</f>
        <v>0</v>
      </c>
      <c r="D36" s="1338" t="s">
        <v>771</v>
      </c>
      <c r="E36" s="299" t="s">
        <v>712</v>
      </c>
      <c r="F36" s="325">
        <f ca="1">INDIRECT("'数据-取费表'!Ak"&amp;$G$1)</f>
        <v>2E-3</v>
      </c>
      <c r="G36" s="1378"/>
      <c r="H36" s="2694"/>
      <c r="I36" s="1392"/>
      <c r="J36" s="1393"/>
      <c r="K36" s="2538"/>
      <c r="L36" s="2694"/>
      <c r="M36" s="2694"/>
    </row>
    <row r="37" spans="1:18" ht="18" customHeight="1">
      <c r="A37" s="976" t="s">
        <v>437</v>
      </c>
      <c r="B37" s="299" t="s">
        <v>742</v>
      </c>
      <c r="C37" s="21">
        <f ca="1">ROUND(C13*F37,0)</f>
        <v>0</v>
      </c>
      <c r="D37" s="1338" t="s">
        <v>743</v>
      </c>
      <c r="E37" s="299" t="s">
        <v>744</v>
      </c>
      <c r="F37" s="327">
        <f ca="1">INDIRECT("'数据-取费表'!Al"&amp;$G$1)</f>
        <v>1E-3</v>
      </c>
      <c r="G37" s="1378"/>
      <c r="H37" s="2694"/>
      <c r="I37" s="1392"/>
      <c r="J37" s="1393"/>
      <c r="K37" s="2538"/>
      <c r="L37" s="2694"/>
      <c r="M37" s="2694"/>
    </row>
    <row r="38" spans="1:18" ht="18" customHeight="1" thickBot="1">
      <c r="A38" s="1083" t="s">
        <v>684</v>
      </c>
      <c r="B38" s="1084" t="s">
        <v>728</v>
      </c>
      <c r="C38" s="1085">
        <f ca="1">ROUND(C5*F38,0)</f>
        <v>0</v>
      </c>
      <c r="D38" s="1086" t="s">
        <v>748</v>
      </c>
      <c r="E38" s="1084" t="s">
        <v>744</v>
      </c>
      <c r="F38" s="1080">
        <f ca="1">INDIRECT("'数据-取费表'!Am"&amp;$G$1)</f>
        <v>0.01</v>
      </c>
      <c r="G38" s="1378"/>
      <c r="H38" s="2694"/>
      <c r="I38" s="1392"/>
      <c r="J38" s="1393"/>
      <c r="K38" s="2698"/>
      <c r="L38" s="2694"/>
      <c r="M38" s="2694"/>
    </row>
    <row r="39" spans="1:18" ht="24.6" customHeight="1" thickTop="1">
      <c r="A39" s="1073" t="s">
        <v>394</v>
      </c>
      <c r="B39" s="1088" t="s">
        <v>772</v>
      </c>
      <c r="C39" s="307">
        <f ca="1">C5-C30</f>
        <v>0</v>
      </c>
      <c r="D39" s="1089" t="s">
        <v>773</v>
      </c>
      <c r="E39" s="1090"/>
      <c r="F39" s="1091"/>
      <c r="G39" s="1378"/>
      <c r="H39" s="2694"/>
      <c r="I39" s="1392"/>
      <c r="J39" s="1393"/>
      <c r="K39" s="2698"/>
      <c r="L39" s="2694"/>
      <c r="M39" s="2694"/>
    </row>
    <row r="40" spans="1:18" ht="18" customHeight="1">
      <c r="A40" s="296" t="s">
        <v>395</v>
      </c>
      <c r="B40" s="297" t="s">
        <v>774</v>
      </c>
      <c r="C40" s="298" t="e">
        <f ca="1">ROUND(C39*(1-((1+F42)/(1+F40))^F41)/(F40-F42),0)</f>
        <v>#N/A</v>
      </c>
      <c r="D40" s="321" t="s">
        <v>758</v>
      </c>
      <c r="E40" s="299" t="s">
        <v>759</v>
      </c>
      <c r="F40" s="309">
        <f ca="1">INDIRECT("'数据-取费表'!I"&amp;$G$1)</f>
        <v>0.06</v>
      </c>
      <c r="G40" s="1378"/>
      <c r="H40" s="1455"/>
      <c r="I40" s="1392"/>
      <c r="J40" s="1393"/>
      <c r="K40" s="2698"/>
      <c r="L40" s="1455"/>
      <c r="M40" s="1455"/>
    </row>
    <row r="41" spans="1:18" ht="18" customHeight="1">
      <c r="A41" s="301"/>
      <c r="B41" s="302"/>
      <c r="C41" s="303"/>
      <c r="D41" s="329" t="s">
        <v>775</v>
      </c>
      <c r="E41" s="299" t="s">
        <v>763</v>
      </c>
      <c r="F41" s="330" t="e">
        <f ca="1">IF(INDIRECT("'数据-取费表'!af"&amp;$G$1)=0,INDIRECT("'数据-取费表'!ae"&amp;$G$1),INDIRECT("'数据-取费表'!af"&amp;$G$1))</f>
        <v>#N/A</v>
      </c>
      <c r="G41" s="1378"/>
      <c r="H41" s="1185"/>
      <c r="I41" s="1392"/>
      <c r="J41" s="1393"/>
      <c r="K41" s="2538"/>
      <c r="L41" s="1185"/>
      <c r="M41" s="1185"/>
    </row>
    <row r="42" spans="1:18" ht="18" customHeight="1">
      <c r="A42" s="305"/>
      <c r="B42" s="306"/>
      <c r="C42" s="307"/>
      <c r="D42" s="324"/>
      <c r="E42" s="299" t="s">
        <v>766</v>
      </c>
      <c r="F42" s="309">
        <f ca="1">INDIRECT("'数据-取费表'!v"&amp;$G$1)</f>
        <v>0</v>
      </c>
      <c r="G42" s="1378"/>
      <c r="H42" s="1185"/>
      <c r="I42" s="1392"/>
      <c r="J42" s="1393"/>
      <c r="K42" s="2538"/>
      <c r="L42" s="1185"/>
      <c r="M42" s="1185"/>
    </row>
    <row r="43" spans="1:18" ht="18" customHeight="1" thickBot="1">
      <c r="A43" s="331" t="s">
        <v>396</v>
      </c>
      <c r="B43" s="332" t="s">
        <v>776</v>
      </c>
      <c r="C43" s="333" t="e">
        <f ca="1">ROUND(C40/F43,0)</f>
        <v>#N/A</v>
      </c>
      <c r="D43" s="334" t="s">
        <v>777</v>
      </c>
      <c r="E43" s="335" t="s">
        <v>778</v>
      </c>
      <c r="F43" s="336">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3345</v>
      </c>
      <c r="B45" s="1394"/>
      <c r="C45" s="1466" t="e">
        <f ca="1">ROUND((C68-C40)/10000,4)</f>
        <v>#N/A</v>
      </c>
      <c r="D45" s="3426" t="s">
        <v>3346</v>
      </c>
      <c r="E45" s="1394"/>
      <c r="F45" s="1394"/>
      <c r="O45" s="1397" t="s">
        <v>808</v>
      </c>
      <c r="P45" s="1455"/>
      <c r="Q45" s="1455"/>
      <c r="R45" s="1455"/>
    </row>
    <row r="46" spans="1:18" s="1378" customFormat="1" ht="13.5" thickBot="1">
      <c r="A46" s="1398" t="s">
        <v>809</v>
      </c>
      <c r="C46" s="1399" t="e">
        <f ca="1">ROUND(C45,0)</f>
        <v>#N/A</v>
      </c>
      <c r="D46" s="1400" t="str">
        <f>C2</f>
        <v>万元</v>
      </c>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c r="K47" s="1410" t="s">
        <v>816</v>
      </c>
      <c r="L47" s="1411">
        <f ca="1">INDIRECT("'数据-取费表'!d"&amp;$G$1)</f>
        <v>0</v>
      </c>
      <c r="M47" s="1374" t="str">
        <f>IF(ISNUMBER(FIND("住宅",C1)),"住宅","非住宅")</f>
        <v>非住宅</v>
      </c>
      <c r="O47" s="1412" t="s">
        <v>403</v>
      </c>
      <c r="P47" s="1413" t="s">
        <v>817</v>
      </c>
      <c r="Q47" s="1414" t="e">
        <f ca="1">C40+J29</f>
        <v>#N/A</v>
      </c>
      <c r="R47" s="1414" t="s">
        <v>818</v>
      </c>
    </row>
    <row r="48" spans="1:18" s="1378" customFormat="1" ht="28.5" thickBot="1">
      <c r="A48" s="1104" t="s">
        <v>438</v>
      </c>
      <c r="B48" s="297" t="s">
        <v>692</v>
      </c>
      <c r="C48" s="1353">
        <f ca="1">C49+C53+C55</f>
        <v>0</v>
      </c>
      <c r="D48" s="1106"/>
      <c r="E48" s="1107"/>
      <c r="F48" s="956"/>
      <c r="G48" s="719"/>
      <c r="H48" s="720"/>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ROUND(F49*F51*F50*(1-F52),0)</f>
        <v>0</v>
      </c>
      <c r="D49" s="1049" t="s">
        <v>695</v>
      </c>
      <c r="E49" s="1366" t="s">
        <v>780</v>
      </c>
      <c r="F49" s="1054"/>
      <c r="G49" s="1419"/>
      <c r="H49" s="720"/>
      <c r="I49" s="1415" t="s">
        <v>823</v>
      </c>
      <c r="J49" s="1420"/>
      <c r="K49" s="1417" t="s">
        <v>824</v>
      </c>
      <c r="L49" s="1421"/>
      <c r="O49" s="1422" t="s">
        <v>405</v>
      </c>
      <c r="P49" s="1413" t="s">
        <v>825</v>
      </c>
      <c r="Q49" s="1414">
        <f ca="1">C29</f>
        <v>0</v>
      </c>
      <c r="R49" s="1414" t="s">
        <v>818</v>
      </c>
    </row>
    <row r="50" spans="1:18" s="1378" customFormat="1" ht="13.5" thickBot="1">
      <c r="A50" s="970"/>
      <c r="B50" s="973"/>
      <c r="C50" s="974"/>
      <c r="D50" s="947"/>
      <c r="E50" s="1050" t="s">
        <v>697</v>
      </c>
      <c r="F50" s="1051">
        <f ca="1">F7</f>
        <v>0</v>
      </c>
      <c r="H50" s="720"/>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300">
        <f ca="1">F8</f>
        <v>365</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30.75" customHeight="1" thickBot="1">
      <c r="A53" s="1105" t="s">
        <v>440</v>
      </c>
      <c r="B53" s="320" t="s">
        <v>700</v>
      </c>
      <c r="C53" s="313">
        <f ca="1">ROUND(IF(F53="押一",C49/12*F11,IF(F53="押二",C49/12*2*F11,IF(F53="押三",C49/12*3*F11,C54*F11))),0)</f>
        <v>0</v>
      </c>
      <c r="D53" s="1360" t="s">
        <v>2119</v>
      </c>
      <c r="E53" s="310" t="s">
        <v>701</v>
      </c>
      <c r="F53" s="1110"/>
      <c r="I53" s="1433" t="s">
        <v>836</v>
      </c>
      <c r="J53" s="2162">
        <f ca="1">IF(M47="住宅",IF(D1="——",MAX(J51,L48),MAX(J51,L48-'数据-取费表'!B24)),IF(D1="——",MIN(J51,L48),MIN(J51,L48-'数据-取费表'!B24)))</f>
        <v>0</v>
      </c>
      <c r="K53" s="3689" t="s">
        <v>837</v>
      </c>
      <c r="L53" s="3690"/>
      <c r="O53" s="1412" t="s">
        <v>409</v>
      </c>
      <c r="P53" s="1413" t="s">
        <v>838</v>
      </c>
      <c r="Q53" s="1414" t="e">
        <f ca="1">Q47+Q48</f>
        <v>#N/A</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36" customHeight="1" thickTop="1" thickBot="1">
      <c r="A56" s="951">
        <v>2</v>
      </c>
      <c r="B56" s="952" t="s">
        <v>704</v>
      </c>
      <c r="C56" s="229">
        <f ca="1">C13</f>
        <v>0</v>
      </c>
      <c r="D56" s="1441"/>
      <c r="E56" s="1442"/>
      <c r="F56" s="1434"/>
      <c r="I56" s="1443" t="s">
        <v>842</v>
      </c>
      <c r="J56" s="1444"/>
      <c r="K56" s="1415" t="s">
        <v>843</v>
      </c>
      <c r="L56" s="1418">
        <f ca="1">IF(L48&lt;J51,"——",L48-J51)</f>
        <v>0</v>
      </c>
      <c r="O56" s="1412" t="s">
        <v>403</v>
      </c>
      <c r="P56" s="1413" t="s">
        <v>817</v>
      </c>
      <c r="Q56" s="1414" t="e">
        <f ca="1">C40+J29</f>
        <v>#N/A</v>
      </c>
      <c r="R56" s="1414" t="s">
        <v>818</v>
      </c>
    </row>
    <row r="57" spans="1:18" s="1378" customFormat="1" ht="24.75" thickBot="1">
      <c r="A57" s="1445"/>
      <c r="B57" s="944" t="s">
        <v>767</v>
      </c>
      <c r="C57" s="235">
        <f ca="1">C29</f>
        <v>0</v>
      </c>
      <c r="D57" s="1446"/>
      <c r="E57" s="1447"/>
      <c r="F57" s="1448"/>
      <c r="I57" s="1449" t="s">
        <v>844</v>
      </c>
      <c r="J57" s="1450">
        <f ca="1">IF(OR(M47="住宅",J51&lt;L48,J56="是"),"——",J51-L48)</f>
        <v>0</v>
      </c>
      <c r="K57" s="1415" t="s">
        <v>892</v>
      </c>
      <c r="L57" s="1418">
        <f ca="1">IF(L48&lt;J51,"——",IF(L55="比较法",L49,IF(L55="基准地价",L50,L51)))</f>
        <v>0</v>
      </c>
      <c r="O57" s="1412" t="s">
        <v>404</v>
      </c>
      <c r="P57" s="1413" t="s">
        <v>893</v>
      </c>
      <c r="Q57" s="1414" t="e">
        <f ca="1">L60</f>
        <v>#DIV/0!</v>
      </c>
      <c r="R57" s="1414" t="s">
        <v>894</v>
      </c>
    </row>
    <row r="58" spans="1:18" s="1378" customFormat="1" ht="24.75" thickBot="1">
      <c r="A58" s="312" t="s">
        <v>393</v>
      </c>
      <c r="B58" s="952" t="s">
        <v>714</v>
      </c>
      <c r="C58" s="313">
        <f ca="1">ROUND(C59+C64+C65+C66,0)</f>
        <v>0</v>
      </c>
      <c r="D58" s="954" t="s">
        <v>715</v>
      </c>
      <c r="E58" s="955"/>
      <c r="F58" s="956"/>
      <c r="I58" s="1449" t="s">
        <v>848</v>
      </c>
      <c r="J58" s="1451" t="e">
        <f ca="1">IF(J55&lt;0.4,0.4,J55)</f>
        <v>#DIV/0!</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8">
        <f t="shared" ref="F60:F66" si="0">F32</f>
        <v>5.6000000000000001E-2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3329</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2">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3"/>
      <c r="B63" s="950"/>
      <c r="C63" s="26"/>
      <c r="D63" s="960"/>
      <c r="E63" s="944" t="s">
        <v>788</v>
      </c>
      <c r="F63" s="300">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0</v>
      </c>
      <c r="D64" s="958" t="s">
        <v>791</v>
      </c>
      <c r="E64" s="944" t="s">
        <v>783</v>
      </c>
      <c r="F64" s="325">
        <f t="shared" ca="1" si="0"/>
        <v>2E-3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0</v>
      </c>
      <c r="D65" s="958" t="s">
        <v>743</v>
      </c>
      <c r="E65" s="944" t="s">
        <v>744</v>
      </c>
      <c r="F65" s="327">
        <f t="shared" ca="1" si="0"/>
        <v>1E-3</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f ca="1">ROUND(C48*F66,0)</f>
        <v>0</v>
      </c>
      <c r="D66" s="958" t="s">
        <v>794</v>
      </c>
      <c r="E66" s="944" t="s">
        <v>712</v>
      </c>
      <c r="F66" s="309">
        <f t="shared" ca="1" si="0"/>
        <v>0.01</v>
      </c>
      <c r="O66" s="1412" t="s">
        <v>404</v>
      </c>
      <c r="P66" s="1413" t="s">
        <v>846</v>
      </c>
      <c r="Q66" s="1414" t="e">
        <f ca="1">L60</f>
        <v>#DIV/0!</v>
      </c>
      <c r="R66" s="1414" t="s">
        <v>869</v>
      </c>
    </row>
    <row r="67" spans="1:18" s="1378" customFormat="1" ht="16.5" thickBot="1">
      <c r="A67" s="951" t="s">
        <v>394</v>
      </c>
      <c r="B67" s="961" t="s">
        <v>752</v>
      </c>
      <c r="C67" s="313">
        <f ca="1">C48-C58</f>
        <v>0</v>
      </c>
      <c r="D67" s="957" t="s">
        <v>753</v>
      </c>
      <c r="E67" s="962"/>
      <c r="F67" s="963"/>
      <c r="O67" s="1422" t="s">
        <v>405</v>
      </c>
      <c r="P67" s="1413" t="s">
        <v>850</v>
      </c>
      <c r="Q67" s="1460">
        <f ca="1">L51</f>
        <v>0</v>
      </c>
      <c r="R67" s="1414" t="s">
        <v>870</v>
      </c>
    </row>
    <row r="68" spans="1:18" s="1378" customFormat="1" ht="16.5" thickBot="1">
      <c r="A68" s="941" t="s">
        <v>395</v>
      </c>
      <c r="B68" s="942" t="s">
        <v>774</v>
      </c>
      <c r="C68" s="298" t="e">
        <f ca="1">ROUND(C67*(1-((1+F70)/(1+F68))^F69)/(F68-F70),0)</f>
        <v>#N/A</v>
      </c>
      <c r="D68" s="959" t="s">
        <v>758</v>
      </c>
      <c r="E68" s="944" t="s">
        <v>759</v>
      </c>
      <c r="F68" s="309">
        <f ca="1">F40</f>
        <v>0.06</v>
      </c>
      <c r="O68" s="1422" t="s">
        <v>406</v>
      </c>
      <c r="P68" s="1461" t="s">
        <v>871</v>
      </c>
      <c r="Q68" s="1414">
        <f ca="1">ROUND(Q69-Q70*Q71,0)</f>
        <v>0</v>
      </c>
      <c r="R68" s="1414" t="s">
        <v>414</v>
      </c>
    </row>
    <row r="69" spans="1:18" s="1378" customFormat="1" ht="13.5" thickBot="1">
      <c r="A69" s="945"/>
      <c r="B69" s="946"/>
      <c r="C69" s="303"/>
      <c r="D69" s="964" t="s">
        <v>762</v>
      </c>
      <c r="E69" s="944" t="s">
        <v>763</v>
      </c>
      <c r="F69" s="330" t="e">
        <f ca="1">F41</f>
        <v>#N/A</v>
      </c>
      <c r="O69" s="1422" t="s">
        <v>411</v>
      </c>
      <c r="P69" s="1461" t="s">
        <v>872</v>
      </c>
      <c r="Q69" s="1414">
        <f ca="1">C39</f>
        <v>0</v>
      </c>
      <c r="R69" s="1414" t="s">
        <v>818</v>
      </c>
    </row>
    <row r="70" spans="1:18" s="1378" customFormat="1" ht="13.5" thickBot="1">
      <c r="A70" s="948"/>
      <c r="B70" s="949"/>
      <c r="C70" s="307"/>
      <c r="D70" s="960"/>
      <c r="E70" s="944" t="s">
        <v>766</v>
      </c>
      <c r="F70" s="1048"/>
      <c r="O70" s="1422" t="s">
        <v>412</v>
      </c>
      <c r="P70" s="1461" t="s">
        <v>873</v>
      </c>
      <c r="Q70" s="1414">
        <f ca="1">C13</f>
        <v>0</v>
      </c>
      <c r="R70" s="1414" t="s">
        <v>818</v>
      </c>
    </row>
    <row r="71" spans="1:18" s="1378" customFormat="1" ht="13.5" thickBot="1">
      <c r="A71" s="965" t="s">
        <v>396</v>
      </c>
      <c r="B71" s="966" t="s">
        <v>776</v>
      </c>
      <c r="C71" s="333" t="e">
        <f ca="1">ROUND(C68/F71,0)</f>
        <v>#N/A</v>
      </c>
      <c r="D71" s="967" t="s">
        <v>777</v>
      </c>
      <c r="E71" s="968" t="s">
        <v>778</v>
      </c>
      <c r="F71" s="336">
        <f ca="1">F43</f>
        <v>0</v>
      </c>
      <c r="O71" s="1422" t="s">
        <v>413</v>
      </c>
      <c r="P71" s="1461" t="s">
        <v>874</v>
      </c>
      <c r="Q71" s="1425">
        <f ca="1">C76</f>
        <v>7.0000000000000007E-2</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0</v>
      </c>
      <c r="D75" s="1378"/>
      <c r="E75" s="1378"/>
      <c r="F75" s="1378"/>
      <c r="K75" s="1396"/>
      <c r="L75" s="1378"/>
      <c r="O75" s="1412" t="s">
        <v>409</v>
      </c>
      <c r="P75" s="1413" t="s">
        <v>838</v>
      </c>
      <c r="Q75" s="1414" t="e">
        <f ca="1">Q65+Q66</f>
        <v>#N/A</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#N/A</v>
      </c>
    </row>
    <row r="83" spans="2:3">
      <c r="B83" s="270" t="s">
        <v>803</v>
      </c>
      <c r="C83" s="271"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71" priority="3">
      <formula>$F$10="自定义"</formula>
    </cfRule>
  </conditionalFormatting>
  <conditionalFormatting sqref="C54">
    <cfRule type="expression" dxfId="170" priority="1">
      <formula>$F$53="自定义"</formula>
    </cfRule>
  </conditionalFormatting>
  <conditionalFormatting sqref="I55 I60">
    <cfRule type="expression" dxfId="169" priority="5">
      <formula>$J$51&gt;$L$48</formula>
    </cfRule>
  </conditionalFormatting>
  <conditionalFormatting sqref="J11">
    <cfRule type="expression" dxfId="168" priority="2">
      <formula>$M$10="自定义"</formula>
    </cfRule>
  </conditionalFormatting>
  <conditionalFormatting sqref="K55 K60">
    <cfRule type="expression" dxfId="16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2428</v>
      </c>
      <c r="B1" s="2826"/>
      <c r="C1" s="2838"/>
      <c r="D1" s="2838"/>
      <c r="E1" s="2827"/>
      <c r="F1" s="2828"/>
      <c r="G1" s="2829"/>
      <c r="J1" s="2832" t="s">
        <v>2307</v>
      </c>
      <c r="K1" s="2833"/>
      <c r="L1" s="2833"/>
      <c r="M1" s="2833"/>
      <c r="N1" s="2833"/>
      <c r="O1" s="2833"/>
      <c r="P1" s="2833"/>
      <c r="Q1" s="2833"/>
      <c r="R1" s="2834"/>
      <c r="S1" s="2835"/>
      <c r="T1" s="2835"/>
      <c r="U1" s="2835"/>
    </row>
    <row r="2" spans="1:22" s="2847" customFormat="1" ht="13.15" customHeight="1">
      <c r="A2" s="1379" t="s">
        <v>2308</v>
      </c>
      <c r="B2" s="2837" t="e">
        <f>IF(D2="——",C40,C40+E2)</f>
        <v>#DIV/0!</v>
      </c>
      <c r="C2" s="2838" t="s">
        <v>2309</v>
      </c>
      <c r="D2" s="3437" t="s">
        <v>3352</v>
      </c>
      <c r="E2" s="3438"/>
      <c r="F2" s="2840"/>
      <c r="G2" s="2841"/>
      <c r="H2" s="2842"/>
      <c r="I2" s="2843"/>
      <c r="J2" s="3691" t="s">
        <v>2310</v>
      </c>
      <c r="K2" s="3692"/>
      <c r="L2" s="2844" t="s">
        <v>2311</v>
      </c>
      <c r="M2" s="2844" t="s">
        <v>2312</v>
      </c>
      <c r="N2" s="2844" t="s">
        <v>2313</v>
      </c>
      <c r="O2" s="2844" t="s">
        <v>2314</v>
      </c>
      <c r="P2" s="2844" t="s">
        <v>2315</v>
      </c>
      <c r="Q2" s="2845" t="s">
        <v>2316</v>
      </c>
      <c r="R2" s="2846" t="s">
        <v>2317</v>
      </c>
      <c r="S2" s="2835"/>
      <c r="T2" s="2835"/>
      <c r="U2" s="2835"/>
      <c r="V2" s="2843"/>
    </row>
    <row r="3" spans="1:22" s="2847" customFormat="1" ht="13.15" customHeight="1">
      <c r="A3" s="2848" t="s">
        <v>2318</v>
      </c>
      <c r="B3" s="2849" t="e">
        <f>ROUND(B2*10000/B4,0)</f>
        <v>#DIV/0!</v>
      </c>
      <c r="C3" s="2838" t="s">
        <v>2319</v>
      </c>
      <c r="D3" s="2838"/>
      <c r="E3" s="2839"/>
      <c r="F3" s="2840"/>
      <c r="G3" s="2841"/>
      <c r="H3" s="2842"/>
      <c r="I3" s="2843"/>
      <c r="J3" s="3693" t="s">
        <v>2320</v>
      </c>
      <c r="K3" s="3694"/>
      <c r="L3" s="2850"/>
      <c r="M3" s="2850"/>
      <c r="N3" s="2850"/>
      <c r="O3" s="2850"/>
      <c r="P3" s="2850"/>
      <c r="Q3" s="2851"/>
      <c r="R3" s="2852">
        <f>SUM(L3:Q3)</f>
        <v>0</v>
      </c>
      <c r="S3" s="2835"/>
      <c r="T3" s="2835"/>
      <c r="U3" s="2835"/>
      <c r="V3" s="2843"/>
    </row>
    <row r="4" spans="1:22" s="2847" customFormat="1" ht="13.15" customHeight="1">
      <c r="A4" s="2853" t="s">
        <v>2321</v>
      </c>
      <c r="B4" s="2854"/>
      <c r="C4" s="2838"/>
      <c r="D4" s="2838"/>
      <c r="E4" s="2839"/>
      <c r="F4" s="2840"/>
      <c r="G4" s="2841"/>
      <c r="H4" s="2842"/>
      <c r="I4" s="2843"/>
      <c r="J4" s="3693" t="s">
        <v>2322</v>
      </c>
      <c r="K4" s="3694"/>
      <c r="L4" s="2855"/>
      <c r="M4" s="2855"/>
      <c r="N4" s="2855"/>
      <c r="O4" s="2855"/>
      <c r="P4" s="2855"/>
      <c r="Q4" s="2856"/>
      <c r="R4" s="2857">
        <f>SUM(L4:Q4)</f>
        <v>0</v>
      </c>
      <c r="S4" s="2835"/>
      <c r="T4" s="2835"/>
      <c r="U4" s="2835"/>
      <c r="V4" s="2843"/>
    </row>
    <row r="5" spans="1:22" s="2847" customFormat="1" ht="13.15" customHeight="1" thickBot="1">
      <c r="A5" s="2858" t="s">
        <v>2323</v>
      </c>
      <c r="B5" s="2859"/>
      <c r="C5" s="2838"/>
      <c r="D5" s="2860"/>
      <c r="E5" s="2840"/>
      <c r="F5" s="2840"/>
      <c r="G5" s="2841"/>
      <c r="H5" s="2842"/>
      <c r="I5" s="2843"/>
      <c r="J5" s="2861" t="s">
        <v>2324</v>
      </c>
      <c r="K5" s="2862"/>
      <c r="L5" s="2862"/>
      <c r="M5" s="2863"/>
      <c r="N5" s="2863"/>
      <c r="O5" s="2863"/>
      <c r="P5" s="2863"/>
      <c r="Q5" s="2863"/>
      <c r="R5" s="2846">
        <f>SUM(R14,R19,R24,R25,R27,R28)</f>
        <v>0</v>
      </c>
      <c r="S5" s="2835"/>
      <c r="T5" s="2835" t="s">
        <v>2325</v>
      </c>
      <c r="U5" s="2835" t="e">
        <f>ROUND(R5*10000/365/R3,1)</f>
        <v>#DIV/0!</v>
      </c>
      <c r="V5" s="2843"/>
    </row>
    <row r="6" spans="1:22" s="2847" customFormat="1" ht="13.15" customHeight="1" thickBot="1">
      <c r="A6" s="3695" t="s">
        <v>2326</v>
      </c>
      <c r="B6" s="3696"/>
      <c r="C6" s="3697"/>
      <c r="D6" s="2864"/>
      <c r="E6" s="2865"/>
      <c r="F6" s="2866"/>
      <c r="G6" s="2867"/>
      <c r="H6" s="2842"/>
      <c r="I6" s="2843"/>
      <c r="J6" s="3698">
        <v>1</v>
      </c>
      <c r="K6" s="3699" t="s">
        <v>2327</v>
      </c>
      <c r="L6" s="2868" t="s">
        <v>2328</v>
      </c>
      <c r="M6" s="2869" t="s">
        <v>2329</v>
      </c>
      <c r="N6" s="2869" t="s">
        <v>2330</v>
      </c>
      <c r="O6" s="2869" t="s">
        <v>2331</v>
      </c>
      <c r="P6" s="2869" t="s">
        <v>2332</v>
      </c>
      <c r="Q6" s="2869" t="s">
        <v>2333</v>
      </c>
      <c r="R6" s="2852" t="s">
        <v>2334</v>
      </c>
      <c r="S6" s="2835"/>
      <c r="T6" s="2835" t="s">
        <v>2335</v>
      </c>
      <c r="U6" s="2835"/>
      <c r="V6" s="2843"/>
    </row>
    <row r="7" spans="1:22" s="2847" customFormat="1" ht="13.15" customHeight="1">
      <c r="A7" s="2870" t="s">
        <v>2336</v>
      </c>
      <c r="B7" s="2871"/>
      <c r="C7" s="2872"/>
      <c r="D7" s="2873">
        <f>SUM(D9,D10,D11,D17,0)</f>
        <v>0</v>
      </c>
      <c r="E7" s="2874" t="e">
        <f>E9+E10+E11+E17</f>
        <v>#DIV/0!</v>
      </c>
      <c r="F7" s="2875"/>
      <c r="G7" s="2876"/>
      <c r="H7" s="2842"/>
      <c r="I7" s="2843"/>
      <c r="J7" s="3698"/>
      <c r="K7" s="3700"/>
      <c r="L7" s="2877" t="s">
        <v>2337</v>
      </c>
      <c r="M7" s="2878"/>
      <c r="N7" s="2854"/>
      <c r="O7" s="2879"/>
      <c r="P7" s="2879"/>
      <c r="Q7" s="2880">
        <v>365</v>
      </c>
      <c r="R7" s="2881">
        <f>ROUND(M7*N7*O7*P7*Q7/10000,0)</f>
        <v>0</v>
      </c>
      <c r="S7" s="2835"/>
      <c r="T7" s="2835" t="s">
        <v>2338</v>
      </c>
      <c r="U7" s="2835"/>
      <c r="V7" s="2843"/>
    </row>
    <row r="8" spans="1:22" s="2847" customFormat="1" ht="13.15" customHeight="1">
      <c r="A8" s="2882" t="s">
        <v>2339</v>
      </c>
      <c r="B8" s="3702" t="s">
        <v>2340</v>
      </c>
      <c r="C8" s="3703"/>
      <c r="D8" s="2883" t="s">
        <v>2341</v>
      </c>
      <c r="E8" s="2884" t="s">
        <v>2342</v>
      </c>
      <c r="F8" s="2885" t="s">
        <v>2343</v>
      </c>
      <c r="G8" s="2886"/>
      <c r="H8" s="2842"/>
      <c r="I8" s="2843"/>
      <c r="J8" s="3698"/>
      <c r="K8" s="3700"/>
      <c r="L8" s="2877" t="s">
        <v>2344</v>
      </c>
      <c r="M8" s="2878"/>
      <c r="N8" s="2854"/>
      <c r="O8" s="2879"/>
      <c r="P8" s="2879"/>
      <c r="Q8" s="2880">
        <v>365</v>
      </c>
      <c r="R8" s="2881">
        <f t="shared" ref="R8:R13" si="0">ROUND(M8*N8*O8*P8*Q8/10000,0)</f>
        <v>0</v>
      </c>
      <c r="S8" s="2835"/>
      <c r="T8" s="2835" t="s">
        <v>2345</v>
      </c>
      <c r="U8" s="2835"/>
      <c r="V8" s="2843"/>
    </row>
    <row r="9" spans="1:22" s="2847" customFormat="1" ht="13.15" customHeight="1">
      <c r="A9" s="2882">
        <v>1</v>
      </c>
      <c r="B9" s="3702" t="s">
        <v>2346</v>
      </c>
      <c r="C9" s="3703"/>
      <c r="D9" s="2883">
        <f>ROUND(D6*E9,0)</f>
        <v>0</v>
      </c>
      <c r="E9" s="2887"/>
      <c r="F9" s="2888" t="s">
        <v>2347</v>
      </c>
      <c r="G9" s="2867"/>
      <c r="H9" s="2842"/>
      <c r="I9" s="2843"/>
      <c r="J9" s="3698"/>
      <c r="K9" s="3700"/>
      <c r="L9" s="2877" t="s">
        <v>2348</v>
      </c>
      <c r="M9" s="2878"/>
      <c r="N9" s="2854"/>
      <c r="O9" s="2879"/>
      <c r="P9" s="2879"/>
      <c r="Q9" s="2880">
        <v>365</v>
      </c>
      <c r="R9" s="2881">
        <f t="shared" si="0"/>
        <v>0</v>
      </c>
      <c r="S9" s="2835"/>
      <c r="T9" s="2835"/>
      <c r="U9" s="2835"/>
      <c r="V9" s="2843"/>
    </row>
    <row r="10" spans="1:22" s="2847" customFormat="1" ht="13.15" customHeight="1">
      <c r="A10" s="2882">
        <v>2</v>
      </c>
      <c r="B10" s="3702" t="s">
        <v>2349</v>
      </c>
      <c r="C10" s="3703"/>
      <c r="D10" s="2883">
        <f>ROUND(D6*E10,0)</f>
        <v>0</v>
      </c>
      <c r="E10" s="2887"/>
      <c r="F10" s="2888" t="s">
        <v>2350</v>
      </c>
      <c r="G10" s="2867"/>
      <c r="H10" s="2842"/>
      <c r="I10" s="2843"/>
      <c r="J10" s="3698"/>
      <c r="K10" s="3700"/>
      <c r="L10" s="2877" t="s">
        <v>2351</v>
      </c>
      <c r="M10" s="2878"/>
      <c r="N10" s="2854"/>
      <c r="O10" s="2879"/>
      <c r="P10" s="2879"/>
      <c r="Q10" s="2880">
        <v>365</v>
      </c>
      <c r="R10" s="2881">
        <f t="shared" si="0"/>
        <v>0</v>
      </c>
      <c r="S10" s="2835"/>
      <c r="T10" s="2835"/>
      <c r="U10" s="2835"/>
      <c r="V10" s="2843"/>
    </row>
    <row r="11" spans="1:22" s="2847" customFormat="1" ht="13.15" customHeight="1">
      <c r="A11" s="2882">
        <v>3</v>
      </c>
      <c r="B11" s="3702" t="s">
        <v>2352</v>
      </c>
      <c r="C11" s="3703"/>
      <c r="D11" s="2883">
        <f>D12+D14+D15+D16</f>
        <v>0</v>
      </c>
      <c r="E11" s="2889" t="e">
        <f>D11/D6</f>
        <v>#DIV/0!</v>
      </c>
      <c r="F11" s="2885"/>
      <c r="G11" s="2886"/>
      <c r="H11" s="2842"/>
      <c r="I11" s="2843"/>
      <c r="J11" s="3698"/>
      <c r="K11" s="3700"/>
      <c r="L11" s="2877" t="s">
        <v>2353</v>
      </c>
      <c r="M11" s="2878"/>
      <c r="N11" s="2854"/>
      <c r="O11" s="2879"/>
      <c r="P11" s="2879"/>
      <c r="Q11" s="2880">
        <v>365</v>
      </c>
      <c r="R11" s="2881">
        <f t="shared" si="0"/>
        <v>0</v>
      </c>
      <c r="S11" s="2835"/>
      <c r="T11" s="2835"/>
      <c r="U11" s="2835"/>
      <c r="V11" s="2843"/>
    </row>
    <row r="12" spans="1:22" s="2847" customFormat="1" ht="13.15" customHeight="1">
      <c r="A12" s="2890" t="s">
        <v>2354</v>
      </c>
      <c r="B12" s="3704" t="s">
        <v>2355</v>
      </c>
      <c r="C12" s="3705"/>
      <c r="D12" s="2891">
        <f>ROUND(D13*1.2%*(1-30%),0)</f>
        <v>0</v>
      </c>
      <c r="E12" s="2892">
        <v>1.2E-2</v>
      </c>
      <c r="F12" s="2885" t="s">
        <v>2356</v>
      </c>
      <c r="G12" s="2886"/>
      <c r="H12" s="2842"/>
      <c r="I12" s="2843"/>
      <c r="J12" s="3698"/>
      <c r="K12" s="3700"/>
      <c r="L12" s="2877" t="s">
        <v>2357</v>
      </c>
      <c r="M12" s="2878"/>
      <c r="N12" s="2854"/>
      <c r="O12" s="2879"/>
      <c r="P12" s="2879"/>
      <c r="Q12" s="2880">
        <v>365</v>
      </c>
      <c r="R12" s="2881">
        <f t="shared" si="0"/>
        <v>0</v>
      </c>
      <c r="S12" s="2835"/>
      <c r="T12" s="2835"/>
      <c r="U12" s="2835"/>
      <c r="V12" s="2843"/>
    </row>
    <row r="13" spans="1:22" s="2847" customFormat="1" ht="13.15" customHeight="1">
      <c r="A13" s="2890"/>
      <c r="B13" s="2893"/>
      <c r="C13" s="2894" t="s">
        <v>2358</v>
      </c>
      <c r="D13" s="2895"/>
      <c r="E13" s="2896"/>
      <c r="F13" s="2885"/>
      <c r="G13" s="2886"/>
      <c r="H13" s="2842"/>
      <c r="I13" s="2843"/>
      <c r="J13" s="3698"/>
      <c r="K13" s="3700"/>
      <c r="L13" s="2877" t="s">
        <v>2359</v>
      </c>
      <c r="M13" s="2878"/>
      <c r="N13" s="2854"/>
      <c r="O13" s="2879"/>
      <c r="P13" s="2879"/>
      <c r="Q13" s="2880">
        <v>365</v>
      </c>
      <c r="R13" s="2881">
        <f t="shared" si="0"/>
        <v>0</v>
      </c>
      <c r="S13" s="2835"/>
      <c r="T13" s="2835"/>
      <c r="U13" s="2835"/>
      <c r="V13" s="2843"/>
    </row>
    <row r="14" spans="1:22" s="2847" customFormat="1" ht="13.15" customHeight="1">
      <c r="A14" s="2890" t="s">
        <v>2360</v>
      </c>
      <c r="B14" s="3704" t="s">
        <v>2361</v>
      </c>
      <c r="C14" s="3705"/>
      <c r="D14" s="2891">
        <f>ROUND(E14*B5/10000,0)</f>
        <v>0</v>
      </c>
      <c r="E14" s="2880"/>
      <c r="F14" s="2885" t="s">
        <v>2362</v>
      </c>
      <c r="G14" s="2886"/>
      <c r="H14" s="2842"/>
      <c r="I14" s="2843"/>
      <c r="J14" s="3698"/>
      <c r="K14" s="3701"/>
      <c r="L14" s="2897" t="s">
        <v>2363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2364</v>
      </c>
      <c r="B15" s="3704" t="s">
        <v>2365</v>
      </c>
      <c r="C15" s="3705"/>
      <c r="D15" s="2891">
        <f>ROUND(D6*E15,0)</f>
        <v>0</v>
      </c>
      <c r="E15" s="2892">
        <v>5.5E-2</v>
      </c>
      <c r="F15" s="2885" t="s">
        <v>2366</v>
      </c>
      <c r="G15" s="2867"/>
      <c r="H15" s="2842"/>
      <c r="I15" s="2843"/>
      <c r="J15" s="3698">
        <v>2</v>
      </c>
      <c r="K15" s="3699" t="s">
        <v>2367</v>
      </c>
      <c r="L15" s="2877" t="s">
        <v>2368</v>
      </c>
      <c r="M15" s="2878" t="s">
        <v>2369</v>
      </c>
      <c r="N15" s="2878" t="s">
        <v>2370</v>
      </c>
      <c r="O15" s="2879" t="s">
        <v>2371</v>
      </c>
      <c r="P15" s="2879" t="s">
        <v>2333</v>
      </c>
      <c r="Q15" s="2854" t="s">
        <v>2372</v>
      </c>
      <c r="R15" s="2901" t="s">
        <v>2334</v>
      </c>
      <c r="S15" s="2835"/>
      <c r="T15" s="2835"/>
      <c r="U15" s="2835"/>
      <c r="V15" s="2843"/>
    </row>
    <row r="16" spans="1:22" s="2847" customFormat="1" ht="13.15" customHeight="1">
      <c r="A16" s="2890" t="s">
        <v>2373</v>
      </c>
      <c r="B16" s="3704" t="s">
        <v>2374</v>
      </c>
      <c r="C16" s="3705"/>
      <c r="D16" s="2902">
        <f>D6*E16</f>
        <v>0</v>
      </c>
      <c r="E16" s="2903"/>
      <c r="F16" s="2888" t="s">
        <v>2375</v>
      </c>
      <c r="G16" s="2867"/>
      <c r="H16" s="2842"/>
      <c r="I16" s="2843"/>
      <c r="J16" s="3698"/>
      <c r="K16" s="3700"/>
      <c r="L16" s="2877" t="s">
        <v>2376</v>
      </c>
      <c r="M16" s="2878"/>
      <c r="N16" s="2878"/>
      <c r="O16" s="2879"/>
      <c r="P16" s="2880">
        <v>365</v>
      </c>
      <c r="Q16" s="2854"/>
      <c r="R16" s="2901">
        <f>ROUND(M16*N16*O16*P16/10000,0)</f>
        <v>0</v>
      </c>
      <c r="S16" s="2835"/>
      <c r="T16" s="2835"/>
      <c r="U16" s="2835"/>
      <c r="V16" s="2843"/>
    </row>
    <row r="17" spans="1:22" s="2847" customFormat="1" ht="13.15" customHeight="1" thickBot="1">
      <c r="A17" s="2904">
        <v>4</v>
      </c>
      <c r="B17" s="3706" t="s">
        <v>2377</v>
      </c>
      <c r="C17" s="3707"/>
      <c r="D17" s="2905">
        <f>ROUND(D6*E17,0)</f>
        <v>0</v>
      </c>
      <c r="E17" s="2906"/>
      <c r="F17" s="2907" t="s">
        <v>2378</v>
      </c>
      <c r="G17" s="2867"/>
      <c r="H17" s="2842"/>
      <c r="I17" s="2843"/>
      <c r="J17" s="3698"/>
      <c r="K17" s="3700"/>
      <c r="L17" s="2877" t="s">
        <v>2379</v>
      </c>
      <c r="M17" s="2878"/>
      <c r="N17" s="2878"/>
      <c r="O17" s="2879"/>
      <c r="P17" s="2880">
        <v>365</v>
      </c>
      <c r="Q17" s="2854"/>
      <c r="R17" s="2901">
        <f>ROUND(M17*N17*O17*P17/10000,0)</f>
        <v>0</v>
      </c>
      <c r="S17" s="2835"/>
      <c r="T17" s="2835"/>
      <c r="U17" s="2835"/>
      <c r="V17" s="2843"/>
    </row>
    <row r="18" spans="1:22" s="2847" customFormat="1" ht="13.15" customHeight="1" thickBot="1">
      <c r="A18" s="2870" t="s">
        <v>2380</v>
      </c>
      <c r="B18" s="2871"/>
      <c r="C18" s="2871"/>
      <c r="D18" s="2908">
        <f>ROUND(D6*E18,0)</f>
        <v>0</v>
      </c>
      <c r="E18" s="2909"/>
      <c r="F18" s="2910" t="s">
        <v>2381</v>
      </c>
      <c r="G18" s="2867"/>
      <c r="H18" s="2842"/>
      <c r="I18" s="2843"/>
      <c r="J18" s="3698"/>
      <c r="K18" s="3700"/>
      <c r="L18" s="2877" t="s">
        <v>2382</v>
      </c>
      <c r="M18" s="2878"/>
      <c r="N18" s="2878"/>
      <c r="O18" s="2879"/>
      <c r="P18" s="2880">
        <v>365</v>
      </c>
      <c r="Q18" s="2854"/>
      <c r="R18" s="2901">
        <f>ROUND(M18*N18*O18*P18/10000,0)</f>
        <v>0</v>
      </c>
      <c r="S18" s="2835"/>
      <c r="T18" s="2835"/>
      <c r="U18" s="2835"/>
      <c r="V18" s="2843"/>
    </row>
    <row r="19" spans="1:22" s="2847" customFormat="1" ht="13.15" customHeight="1" thickBot="1">
      <c r="A19" s="2911" t="s">
        <v>2383</v>
      </c>
      <c r="B19" s="2865"/>
      <c r="C19" s="2865"/>
      <c r="D19" s="2865"/>
      <c r="E19" s="2865"/>
      <c r="F19" s="2866"/>
      <c r="G19" s="2886"/>
      <c r="H19" s="2842"/>
      <c r="I19" s="2843"/>
      <c r="J19" s="3698"/>
      <c r="K19" s="3701"/>
      <c r="L19" s="2897" t="s">
        <v>2363</v>
      </c>
      <c r="M19" s="2898"/>
      <c r="N19" s="2898">
        <f>SUM(N16:N18)</f>
        <v>0</v>
      </c>
      <c r="O19" s="2899"/>
      <c r="P19" s="2912" t="s">
        <v>2427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98">
        <v>3</v>
      </c>
      <c r="K20" s="3699" t="s">
        <v>2384</v>
      </c>
      <c r="L20" s="2877" t="s">
        <v>2385</v>
      </c>
      <c r="M20" s="2878" t="s">
        <v>2386</v>
      </c>
      <c r="N20" s="2915" t="s">
        <v>2387</v>
      </c>
      <c r="O20" s="2879" t="s">
        <v>2388</v>
      </c>
      <c r="P20" s="2880" t="s">
        <v>2389</v>
      </c>
      <c r="Q20" s="2854" t="s">
        <v>2390</v>
      </c>
      <c r="R20" s="2901" t="s">
        <v>2391</v>
      </c>
      <c r="S20" s="2916"/>
      <c r="T20" s="2916"/>
      <c r="U20" s="2916"/>
      <c r="V20" s="2843"/>
    </row>
    <row r="21" spans="1:22" s="2847" customFormat="1" ht="13.15" customHeight="1">
      <c r="A21" s="2870"/>
      <c r="B21" s="2871"/>
      <c r="C21" s="2917" t="s">
        <v>2392</v>
      </c>
      <c r="D21" s="2918" t="s">
        <v>2393</v>
      </c>
      <c r="E21" s="2919" t="s">
        <v>2394</v>
      </c>
      <c r="F21" s="2914"/>
      <c r="G21" s="2886"/>
      <c r="H21" s="2842"/>
      <c r="I21" s="2843"/>
      <c r="J21" s="3698"/>
      <c r="K21" s="3700"/>
      <c r="L21" s="2877" t="s">
        <v>2395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2396</v>
      </c>
      <c r="D22" s="2922" t="s">
        <v>2397</v>
      </c>
      <c r="E22" s="2923" t="s">
        <v>2398</v>
      </c>
      <c r="F22" s="2914"/>
      <c r="G22" s="2924"/>
      <c r="H22" s="2842"/>
      <c r="I22" s="2843"/>
      <c r="J22" s="3698"/>
      <c r="K22" s="3700"/>
      <c r="L22" s="2877" t="s">
        <v>2399</v>
      </c>
      <c r="M22" s="2878"/>
      <c r="N22" s="2878"/>
      <c r="O22" s="2879"/>
      <c r="P22" s="2880">
        <v>365</v>
      </c>
      <c r="Q22" s="2854"/>
      <c r="R22" s="2920">
        <f>ROUND(M22*N22*O22*P22/10000,0)</f>
        <v>0</v>
      </c>
      <c r="S22" s="2916"/>
      <c r="T22" s="2916"/>
      <c r="U22" s="2916"/>
      <c r="V22" s="2843"/>
    </row>
    <row r="23" spans="1:22" s="2847" customFormat="1" ht="13.15" customHeight="1">
      <c r="A23" s="2925">
        <v>1</v>
      </c>
      <c r="B23" s="2926" t="s">
        <v>2400</v>
      </c>
      <c r="C23" s="2927">
        <f>D6</f>
        <v>0</v>
      </c>
      <c r="D23" s="2928">
        <f>C23*(1+D24)</f>
        <v>0</v>
      </c>
      <c r="E23" s="2929">
        <f>D23*(1+E24)</f>
        <v>0</v>
      </c>
      <c r="F23" s="2930"/>
      <c r="G23" s="2931"/>
      <c r="H23" s="2842"/>
      <c r="I23" s="2843"/>
      <c r="J23" s="3698"/>
      <c r="K23" s="3700"/>
      <c r="L23" s="2877" t="s">
        <v>2401</v>
      </c>
      <c r="M23" s="2878"/>
      <c r="N23" s="2878"/>
      <c r="O23" s="2879"/>
      <c r="P23" s="2880">
        <v>365</v>
      </c>
      <c r="Q23" s="2854"/>
      <c r="R23" s="2920">
        <f>ROUND(M23*N23*O23*P23/10000,0)</f>
        <v>0</v>
      </c>
      <c r="S23" s="2835"/>
      <c r="T23" s="2835"/>
      <c r="U23" s="2835"/>
      <c r="V23" s="2843"/>
    </row>
    <row r="24" spans="1:22" s="2847" customFormat="1" ht="13.15" customHeight="1">
      <c r="A24" s="2932"/>
      <c r="B24" s="2933" t="s">
        <v>2402</v>
      </c>
      <c r="C24" s="2934"/>
      <c r="D24" s="2935"/>
      <c r="E24" s="2936"/>
      <c r="F24" s="2937"/>
      <c r="G24" s="2931"/>
      <c r="H24" s="2842"/>
      <c r="I24" s="2843"/>
      <c r="J24" s="3698"/>
      <c r="K24" s="3701"/>
      <c r="L24" s="2897" t="s">
        <v>2363</v>
      </c>
      <c r="M24" s="2898">
        <f>SUM(M21:M23)</f>
        <v>0</v>
      </c>
      <c r="N24" s="2898"/>
      <c r="O24" s="2899"/>
      <c r="P24" s="2912" t="s">
        <v>2427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2403</v>
      </c>
      <c r="L25" s="2940"/>
      <c r="M25" s="2940"/>
      <c r="N25" s="2940"/>
      <c r="O25" s="2940"/>
      <c r="P25" s="2941"/>
      <c r="Q25" s="2942">
        <v>0</v>
      </c>
      <c r="R25" s="2913">
        <f>ROUND(R14*Q25,0)</f>
        <v>0</v>
      </c>
      <c r="S25" s="2835"/>
      <c r="T25" s="2835"/>
      <c r="U25" s="2835"/>
      <c r="V25" s="2943"/>
    </row>
    <row r="26" spans="1:22" s="2944" customFormat="1" ht="13.15" customHeight="1">
      <c r="A26" s="2925">
        <v>2</v>
      </c>
      <c r="B26" s="2926" t="s">
        <v>2404</v>
      </c>
      <c r="C26" s="2927">
        <f>D7</f>
        <v>0</v>
      </c>
      <c r="D26" s="2928">
        <f>D23*D27</f>
        <v>0</v>
      </c>
      <c r="E26" s="2929">
        <f>E23*E27</f>
        <v>0</v>
      </c>
      <c r="F26" s="2930"/>
      <c r="G26" s="2931"/>
      <c r="H26" s="2842"/>
      <c r="I26" s="2843"/>
      <c r="J26" s="3708">
        <v>5</v>
      </c>
      <c r="K26" s="2945" t="s">
        <v>2405</v>
      </c>
      <c r="L26" s="2946"/>
      <c r="M26" s="2947"/>
      <c r="N26" s="2948" t="s">
        <v>2406</v>
      </c>
      <c r="O26" s="2948" t="s">
        <v>2407</v>
      </c>
      <c r="P26" s="2949" t="s">
        <v>2408</v>
      </c>
      <c r="Q26" s="2949" t="s">
        <v>2409</v>
      </c>
      <c r="R26" s="2852" t="s">
        <v>2334</v>
      </c>
      <c r="S26" s="2950"/>
      <c r="T26" s="2950"/>
      <c r="U26" s="2950"/>
      <c r="V26" s="2943"/>
    </row>
    <row r="27" spans="1:22" s="2847" customFormat="1" ht="13.15" customHeight="1">
      <c r="A27" s="2932"/>
      <c r="B27" s="2933" t="s">
        <v>2410</v>
      </c>
      <c r="C27" s="2951" t="e">
        <f>E7</f>
        <v>#DIV/0!</v>
      </c>
      <c r="D27" s="2935"/>
      <c r="E27" s="2936"/>
      <c r="F27" s="2937"/>
      <c r="G27" s="2931"/>
      <c r="H27" s="2952"/>
      <c r="I27" s="2943"/>
      <c r="J27" s="370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2411</v>
      </c>
      <c r="F28" s="2937"/>
      <c r="G28" s="2924"/>
      <c r="H28" s="2952"/>
      <c r="I28" s="2943"/>
      <c r="J28" s="2958">
        <v>6</v>
      </c>
      <c r="K28" s="2959" t="s">
        <v>2412</v>
      </c>
      <c r="L28" s="2960" t="s">
        <v>2413</v>
      </c>
      <c r="M28" s="2961"/>
      <c r="N28" s="2960" t="s">
        <v>2414</v>
      </c>
      <c r="O28" s="2962"/>
      <c r="P28" s="2960" t="s">
        <v>2415</v>
      </c>
      <c r="Q28" s="2963">
        <v>1.4999999999999999E-2</v>
      </c>
      <c r="R28" s="2964"/>
      <c r="S28" s="2916"/>
      <c r="T28" s="2916"/>
      <c r="U28" s="2916"/>
      <c r="V28" s="2943"/>
    </row>
    <row r="29" spans="1:22" s="2944" customFormat="1" ht="13.15" customHeight="1">
      <c r="A29" s="2925">
        <v>3</v>
      </c>
      <c r="B29" s="2926" t="s">
        <v>2416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2417</v>
      </c>
      <c r="K31" s="2833"/>
      <c r="L31" s="2833"/>
      <c r="M31" s="2833"/>
      <c r="N31" s="2833"/>
      <c r="O31" s="2833"/>
      <c r="P31" s="2833"/>
      <c r="Q31" s="2833"/>
      <c r="R31" s="2834"/>
      <c r="S31" s="2916"/>
      <c r="T31" s="2835"/>
      <c r="U31" s="2835"/>
      <c r="V31" s="2943"/>
    </row>
    <row r="32" spans="1:22" s="2944" customFormat="1" ht="13.15" customHeight="1">
      <c r="A32" s="2925">
        <v>4</v>
      </c>
      <c r="B32" s="2926" t="s">
        <v>2418</v>
      </c>
      <c r="C32" s="2927">
        <f>C23-C26-C29</f>
        <v>0</v>
      </c>
      <c r="D32" s="2928">
        <f>D23-D26-D29</f>
        <v>0</v>
      </c>
      <c r="E32" s="2929">
        <f>E23-E26-E29</f>
        <v>0</v>
      </c>
      <c r="F32" s="2930"/>
      <c r="G32" s="2924"/>
      <c r="H32" s="2842"/>
      <c r="I32" s="2843"/>
      <c r="J32" s="3691" t="s">
        <v>2310</v>
      </c>
      <c r="K32" s="3692"/>
      <c r="L32" s="2844" t="s">
        <v>2311</v>
      </c>
      <c r="M32" s="2844" t="s">
        <v>2312</v>
      </c>
      <c r="N32" s="2844" t="s">
        <v>2313</v>
      </c>
      <c r="O32" s="2844" t="s">
        <v>2314</v>
      </c>
      <c r="P32" s="2844" t="s">
        <v>2315</v>
      </c>
      <c r="Q32" s="2845" t="s">
        <v>2316</v>
      </c>
      <c r="R32" s="2967" t="s">
        <v>2317</v>
      </c>
      <c r="S32" s="2916"/>
      <c r="T32" s="2835"/>
      <c r="U32" s="2835"/>
      <c r="V32" s="2943"/>
    </row>
    <row r="33" spans="1:23" s="2847" customFormat="1" ht="13.15" customHeight="1">
      <c r="A33" s="2925"/>
      <c r="B33" s="2926"/>
      <c r="C33" s="2927"/>
      <c r="D33" s="2968"/>
      <c r="E33" s="2969"/>
      <c r="F33" s="2930"/>
      <c r="G33" s="2924"/>
      <c r="H33" s="2952"/>
      <c r="I33" s="2943"/>
      <c r="J33" s="3693" t="s">
        <v>2320</v>
      </c>
      <c r="K33" s="3694"/>
      <c r="L33" s="2850"/>
      <c r="M33" s="2850"/>
      <c r="N33" s="2850"/>
      <c r="O33" s="2850"/>
      <c r="P33" s="2850"/>
      <c r="Q33" s="2851"/>
      <c r="R33" s="2970">
        <f>SUM(L33:Q33)</f>
        <v>0</v>
      </c>
      <c r="S33" s="2916"/>
      <c r="T33" s="2835"/>
      <c r="U33" s="2835"/>
      <c r="V33" s="2843"/>
    </row>
    <row r="34" spans="1:23" s="2847" customFormat="1" ht="13.15" customHeight="1">
      <c r="A34" s="2925">
        <v>5</v>
      </c>
      <c r="B34" s="2926" t="s">
        <v>2419</v>
      </c>
      <c r="C34" s="2971"/>
      <c r="D34" s="2972"/>
      <c r="E34" s="2973"/>
      <c r="F34" s="2930"/>
      <c r="G34" s="2924"/>
      <c r="H34" s="2952"/>
      <c r="I34" s="2943"/>
      <c r="J34" s="3693" t="s">
        <v>2322</v>
      </c>
      <c r="K34" s="369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2420</v>
      </c>
      <c r="C35" s="2975"/>
      <c r="D35" s="2976"/>
      <c r="E35" s="2977"/>
      <c r="F35" s="2930"/>
      <c r="G35" s="2978"/>
      <c r="H35" s="2842"/>
      <c r="I35" s="2943"/>
      <c r="J35" s="2861" t="s">
        <v>2324</v>
      </c>
      <c r="K35" s="2862"/>
      <c r="L35" s="2862"/>
      <c r="M35" s="2863"/>
      <c r="N35" s="2863"/>
      <c r="O35" s="2863"/>
      <c r="P35" s="2863"/>
      <c r="Q35" s="2863"/>
      <c r="R35" s="2979">
        <f>R40+R41+R43</f>
        <v>0</v>
      </c>
      <c r="S35" s="2916"/>
      <c r="T35" s="2835" t="s">
        <v>2325</v>
      </c>
      <c r="U35" s="2835"/>
      <c r="V35" s="2843"/>
    </row>
    <row r="36" spans="1:23" s="2847" customFormat="1" ht="13.15" customHeight="1" thickBot="1">
      <c r="A36" s="2925">
        <v>7</v>
      </c>
      <c r="B36" s="2980" t="s">
        <v>2421</v>
      </c>
      <c r="C36" s="2981"/>
      <c r="D36" s="2982"/>
      <c r="E36" s="2983"/>
      <c r="F36" s="2984">
        <f>C36+D36+E36</f>
        <v>0</v>
      </c>
      <c r="G36" s="2924"/>
      <c r="H36" s="2842"/>
      <c r="I36" s="2843"/>
      <c r="J36" s="3698">
        <v>1</v>
      </c>
      <c r="K36" s="3699" t="s">
        <v>2422</v>
      </c>
      <c r="L36" s="2868"/>
      <c r="M36" s="2869"/>
      <c r="N36" s="2869"/>
      <c r="O36" s="2869"/>
      <c r="P36" s="2869"/>
      <c r="Q36" s="2869"/>
      <c r="R36" s="2852" t="s">
        <v>2334</v>
      </c>
      <c r="S36" s="2916"/>
      <c r="T36" s="2835" t="s">
        <v>2335</v>
      </c>
      <c r="U36" s="2835"/>
      <c r="V36" s="2843"/>
    </row>
    <row r="37" spans="1:23" s="2847" customFormat="1" ht="13.15" customHeight="1">
      <c r="A37" s="2925"/>
      <c r="B37" s="2926"/>
      <c r="C37" s="2926"/>
      <c r="D37" s="2926"/>
      <c r="E37" s="2926"/>
      <c r="F37" s="2930"/>
      <c r="G37" s="2924"/>
      <c r="H37" s="2842"/>
      <c r="I37" s="2843"/>
      <c r="J37" s="3698"/>
      <c r="K37" s="3700"/>
      <c r="L37" s="2877"/>
      <c r="M37" s="2878"/>
      <c r="N37" s="2854"/>
      <c r="O37" s="2879"/>
      <c r="P37" s="2879"/>
      <c r="Q37" s="2880"/>
      <c r="R37" s="2881"/>
      <c r="S37" s="2916"/>
      <c r="T37" s="2835" t="s">
        <v>2338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98"/>
      <c r="K38" s="3700"/>
      <c r="L38" s="2877"/>
      <c r="M38" s="2878"/>
      <c r="N38" s="2854"/>
      <c r="O38" s="2879"/>
      <c r="P38" s="2879"/>
      <c r="Q38" s="2880"/>
      <c r="R38" s="2881"/>
      <c r="S38" s="2916"/>
      <c r="T38" s="2835" t="s">
        <v>2345</v>
      </c>
      <c r="U38" s="2835"/>
      <c r="V38" s="2843"/>
    </row>
    <row r="39" spans="1:23" s="2847" customFormat="1" ht="13.15" customHeight="1">
      <c r="A39" s="2925">
        <v>9</v>
      </c>
      <c r="B39" s="2926" t="s">
        <v>2423</v>
      </c>
      <c r="C39" s="2891" t="e">
        <f>C38</f>
        <v>#DIV/0!</v>
      </c>
      <c r="D39" s="2926">
        <f>D38/(1+D34)^C36</f>
        <v>0</v>
      </c>
      <c r="E39" s="2926">
        <f>E38/(1+E34)^(C36+D36)</f>
        <v>0</v>
      </c>
      <c r="F39" s="2930"/>
      <c r="G39" s="2985"/>
      <c r="H39" s="2842"/>
      <c r="I39" s="2843"/>
      <c r="J39" s="3698"/>
      <c r="K39" s="3700"/>
      <c r="L39" s="2877"/>
      <c r="M39" s="2878"/>
      <c r="N39" s="2854"/>
      <c r="O39" s="2879"/>
      <c r="P39" s="2879"/>
      <c r="Q39" s="2880"/>
      <c r="R39" s="2881"/>
      <c r="S39" s="2916"/>
      <c r="T39" s="2835"/>
      <c r="U39" s="2835"/>
      <c r="V39" s="2843"/>
    </row>
    <row r="40" spans="1:23" s="2847" customFormat="1" ht="13.15" customHeight="1">
      <c r="A40" s="2986">
        <v>10</v>
      </c>
      <c r="B40" s="2926" t="s">
        <v>2424</v>
      </c>
      <c r="C40" s="2987" t="e">
        <f>C39+D39+E39</f>
        <v>#DIV/0!</v>
      </c>
      <c r="D40" s="2988"/>
      <c r="E40" s="2988"/>
      <c r="F40" s="2989"/>
      <c r="G40" s="2924"/>
      <c r="H40" s="2842"/>
      <c r="I40" s="2843"/>
      <c r="J40" s="3698"/>
      <c r="K40" s="3701"/>
      <c r="L40" s="2897" t="s">
        <v>2363</v>
      </c>
      <c r="M40" s="2898"/>
      <c r="N40" s="2898"/>
      <c r="O40" s="2899"/>
      <c r="P40" s="2899"/>
      <c r="Q40" s="2900"/>
      <c r="R40" s="2846">
        <f>SUM(R37:R39)</f>
        <v>0</v>
      </c>
      <c r="S40" s="2916"/>
      <c r="T40" s="2835"/>
      <c r="U40" s="2835"/>
      <c r="V40" s="2843"/>
    </row>
    <row r="41" spans="1:23" s="2847" customFormat="1" ht="13.15" customHeight="1" thickBot="1">
      <c r="A41" s="2990">
        <v>11</v>
      </c>
      <c r="B41" s="2991" t="s">
        <v>2425</v>
      </c>
      <c r="C41" s="2991" t="e">
        <f>ROUND(C40*10000/B4,0)</f>
        <v>#DIV/0!</v>
      </c>
      <c r="D41" s="2992"/>
      <c r="E41" s="2992"/>
      <c r="F41" s="2993"/>
      <c r="G41" s="2994"/>
      <c r="H41" s="2842"/>
      <c r="I41" s="2843"/>
      <c r="J41" s="2938">
        <v>2</v>
      </c>
      <c r="K41" s="2939" t="s">
        <v>2403</v>
      </c>
      <c r="L41" s="2940"/>
      <c r="M41" s="2940"/>
      <c r="N41" s="2940"/>
      <c r="O41" s="2940"/>
      <c r="P41" s="2941"/>
      <c r="Q41" s="2942"/>
      <c r="R41" s="2913">
        <f>ROUND(R40*Q41,0)</f>
        <v>0</v>
      </c>
      <c r="S41" s="2916"/>
      <c r="T41" s="2835"/>
      <c r="U41" s="2950"/>
      <c r="V41" s="2843"/>
    </row>
    <row r="42" spans="1:23" s="2847" customFormat="1" ht="13.15" customHeight="1">
      <c r="G42" s="2994"/>
      <c r="H42" s="2842"/>
      <c r="I42" s="2843"/>
      <c r="J42" s="3708">
        <v>3</v>
      </c>
      <c r="K42" s="2945" t="s">
        <v>2405</v>
      </c>
      <c r="L42" s="2946"/>
      <c r="M42" s="2947"/>
      <c r="N42" s="2948" t="s">
        <v>2406</v>
      </c>
      <c r="O42" s="2948" t="s">
        <v>2407</v>
      </c>
      <c r="P42" s="2949" t="s">
        <v>2408</v>
      </c>
      <c r="Q42" s="2949" t="s">
        <v>2409</v>
      </c>
      <c r="R42" s="2852" t="s">
        <v>2334</v>
      </c>
      <c r="S42" s="2950"/>
      <c r="T42" s="2950"/>
      <c r="U42" s="2835"/>
      <c r="V42" s="2843"/>
    </row>
    <row r="43" spans="1:23" ht="13.15" customHeight="1">
      <c r="A43" s="2847"/>
      <c r="B43" s="2847"/>
      <c r="C43" s="2847"/>
      <c r="D43" s="2847"/>
      <c r="E43" s="2847"/>
      <c r="F43" s="2847"/>
      <c r="I43" s="2830"/>
      <c r="J43" s="370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2412</v>
      </c>
      <c r="L44" s="2998" t="s">
        <v>2413</v>
      </c>
      <c r="M44" s="2961"/>
      <c r="N44" s="2998" t="s">
        <v>2414</v>
      </c>
      <c r="O44" s="2961"/>
      <c r="P44" s="2998" t="s">
        <v>2415</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4"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4" customFormat="1" ht="28.5" customHeight="1" thickBot="1">
      <c r="A3" s="200" t="s">
        <v>686</v>
      </c>
      <c r="B3" s="350">
        <f>IF(C2="——",C49,ROUND(B2*10000/D3,0))</f>
        <v>0</v>
      </c>
      <c r="C3" s="351" t="s">
        <v>1665</v>
      </c>
      <c r="D3" s="350">
        <f>IF(D1="",'数据-汇总表'!E3,SUMIF('数据-汇总表'!$C19:$C33,D1,'数据-汇总表'!$E19:$E33))</f>
        <v>17747.629999999997</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2" t="s">
        <v>1666</v>
      </c>
      <c r="B4" s="353"/>
      <c r="C4" s="3728" t="s">
        <v>1667</v>
      </c>
      <c r="D4" s="3729"/>
      <c r="E4" s="3730" t="s">
        <v>1668</v>
      </c>
      <c r="F4" s="3731"/>
      <c r="G4" s="3728" t="s">
        <v>1669</v>
      </c>
      <c r="H4" s="3729"/>
      <c r="I4" s="3728" t="s">
        <v>1670</v>
      </c>
      <c r="J4" s="3729"/>
      <c r="K4" s="1883" t="s">
        <v>1671</v>
      </c>
      <c r="L4" s="2709"/>
      <c r="M4" s="2710"/>
      <c r="N4" s="2710"/>
      <c r="O4" s="2710"/>
      <c r="P4" s="3732" t="s">
        <v>1672</v>
      </c>
      <c r="Q4" s="3733"/>
      <c r="R4" s="3715" t="s">
        <v>1668</v>
      </c>
      <c r="S4" s="3716"/>
      <c r="T4" s="3715" t="s">
        <v>1669</v>
      </c>
      <c r="U4" s="3716"/>
      <c r="V4" s="3740" t="s">
        <v>1670</v>
      </c>
      <c r="W4" s="3740"/>
      <c r="X4" s="1349"/>
      <c r="Y4" s="3715" t="s">
        <v>1672</v>
      </c>
      <c r="Z4" s="3716"/>
      <c r="AA4" s="3710" t="s">
        <v>1668</v>
      </c>
      <c r="AB4" s="3710" t="s">
        <v>1669</v>
      </c>
      <c r="AC4" s="3710" t="s">
        <v>1670</v>
      </c>
    </row>
    <row r="5" spans="1:29" ht="15">
      <c r="A5" s="355"/>
      <c r="B5" s="356"/>
      <c r="C5" s="3721" t="s">
        <v>1673</v>
      </c>
      <c r="D5" s="3722"/>
      <c r="E5" s="3719" t="s">
        <v>1674</v>
      </c>
      <c r="F5" s="3720"/>
      <c r="G5" s="3721" t="s">
        <v>1675</v>
      </c>
      <c r="H5" s="3722"/>
      <c r="I5" s="3721" t="s">
        <v>1676</v>
      </c>
      <c r="J5" s="3722"/>
      <c r="K5" s="1884"/>
      <c r="L5" s="2709"/>
      <c r="M5" s="2710"/>
      <c r="N5" s="2710"/>
      <c r="O5" s="2710"/>
      <c r="P5" s="3734"/>
      <c r="Q5" s="3735"/>
      <c r="R5" s="3717"/>
      <c r="S5" s="3718"/>
      <c r="T5" s="3717"/>
      <c r="U5" s="3718"/>
      <c r="V5" s="3740"/>
      <c r="W5" s="3740"/>
      <c r="X5" s="1349"/>
      <c r="Y5" s="3717"/>
      <c r="Z5" s="3718"/>
      <c r="AA5" s="3711"/>
      <c r="AB5" s="3711"/>
      <c r="AC5" s="3711"/>
    </row>
    <row r="6" spans="1:29" ht="15.75" thickBot="1">
      <c r="A6" s="357"/>
      <c r="B6" s="358"/>
      <c r="C6" s="3723" t="s">
        <v>1677</v>
      </c>
      <c r="D6" s="3724"/>
      <c r="E6" s="3725" t="s">
        <v>1677</v>
      </c>
      <c r="F6" s="3726"/>
      <c r="G6" s="3723" t="s">
        <v>1677</v>
      </c>
      <c r="H6" s="3724"/>
      <c r="I6" s="3723" t="s">
        <v>1677</v>
      </c>
      <c r="J6" s="3724"/>
      <c r="K6" s="1884" t="s">
        <v>1678</v>
      </c>
      <c r="L6" s="2709"/>
      <c r="M6" s="2710"/>
      <c r="N6" s="2710"/>
      <c r="O6" s="2710"/>
      <c r="P6" s="3736"/>
      <c r="Q6" s="3737"/>
      <c r="R6" s="3717"/>
      <c r="S6" s="3718"/>
      <c r="T6" s="3738"/>
      <c r="U6" s="3739"/>
      <c r="V6" s="3740"/>
      <c r="W6" s="3740"/>
      <c r="X6" s="1349"/>
      <c r="Y6" s="3738"/>
      <c r="Z6" s="3739"/>
      <c r="AA6" s="3712"/>
      <c r="AB6" s="3712"/>
      <c r="AC6" s="3712"/>
    </row>
    <row r="7" spans="1:29" s="105" customFormat="1" ht="15.75" thickBot="1">
      <c r="A7" s="359" t="s">
        <v>1679</v>
      </c>
      <c r="B7" s="360"/>
      <c r="C7" s="361">
        <f>'数据-取费表'!B2</f>
        <v>45539</v>
      </c>
      <c r="D7" s="362">
        <v>100</v>
      </c>
      <c r="E7" s="363"/>
      <c r="F7" s="364">
        <f>SUMIF(58:58,YEAR(E7)&amp;"-"&amp;MONTH(E7),59:59)</f>
        <v>0</v>
      </c>
      <c r="G7" s="363"/>
      <c r="H7" s="362">
        <f>SUMIF(58:58,YEAR(G7)&amp;"-"&amp;MONTH(G7),59:59)</f>
        <v>0</v>
      </c>
      <c r="I7" s="363"/>
      <c r="J7" s="362">
        <f>SUMIF(58:58,YEAR(I7)&amp;"-"&amp;MONTH(I7),59:59)</f>
        <v>0</v>
      </c>
      <c r="K7" s="1885"/>
      <c r="L7" s="2711"/>
      <c r="M7" s="2712"/>
      <c r="N7" s="2712"/>
      <c r="O7" s="2712"/>
      <c r="P7" s="3713" t="s">
        <v>1680</v>
      </c>
      <c r="Q7" s="3741"/>
      <c r="R7" s="698" t="s">
        <v>20</v>
      </c>
      <c r="S7" s="699">
        <f t="shared" ref="S7:S15" si="0">F7</f>
        <v>0</v>
      </c>
      <c r="T7" s="698" t="s">
        <v>20</v>
      </c>
      <c r="U7" s="699">
        <f t="shared" ref="U7:U15" si="1">H7</f>
        <v>0</v>
      </c>
      <c r="V7" s="698" t="s">
        <v>20</v>
      </c>
      <c r="W7" s="699">
        <f t="shared" ref="W7:W15" si="2">J7</f>
        <v>0</v>
      </c>
      <c r="X7" s="700"/>
      <c r="Y7" s="3713" t="s">
        <v>1680</v>
      </c>
      <c r="Z7" s="3714"/>
      <c r="AA7" s="701" t="e">
        <f>D7/F7</f>
        <v>#DIV/0!</v>
      </c>
      <c r="AB7" s="701" t="e">
        <f>D7/H7</f>
        <v>#DIV/0!</v>
      </c>
      <c r="AC7" s="701" t="e">
        <f>D7/J7</f>
        <v>#DIV/0!</v>
      </c>
    </row>
    <row r="8" spans="1:29" s="105" customFormat="1" ht="15.75" thickBot="1">
      <c r="A8" s="359" t="s">
        <v>1681</v>
      </c>
      <c r="B8" s="360"/>
      <c r="C8" s="365"/>
      <c r="D8" s="362">
        <v>100</v>
      </c>
      <c r="E8" s="1886"/>
      <c r="F8" s="364">
        <f>SUMIF(61:61,E8,62:62)-SUMIF(61:61,C8,62:62)+100</f>
        <v>100</v>
      </c>
      <c r="G8" s="365"/>
      <c r="H8" s="362">
        <f>SUMIF(61:61,G8,62:62)-SUMIF(61:61,C8,62:62)+100</f>
        <v>100</v>
      </c>
      <c r="I8" s="1886"/>
      <c r="J8" s="362">
        <f>SUMIF(61:61,I8,62:62)-SUMIF(61:61,C8,62:62)+100</f>
        <v>100</v>
      </c>
      <c r="K8" s="1885"/>
      <c r="L8" s="2711"/>
      <c r="M8" s="2712"/>
      <c r="N8" s="2712"/>
      <c r="O8" s="2712"/>
      <c r="P8" s="3713" t="s">
        <v>1683</v>
      </c>
      <c r="Q8" s="3714"/>
      <c r="R8" s="698" t="s">
        <v>20</v>
      </c>
      <c r="S8" s="699">
        <f t="shared" si="0"/>
        <v>100</v>
      </c>
      <c r="T8" s="698" t="s">
        <v>20</v>
      </c>
      <c r="U8" s="699">
        <f t="shared" si="1"/>
        <v>100</v>
      </c>
      <c r="V8" s="698" t="s">
        <v>20</v>
      </c>
      <c r="W8" s="699">
        <f t="shared" si="2"/>
        <v>100</v>
      </c>
      <c r="X8" s="700"/>
      <c r="Y8" s="3713" t="s">
        <v>1683</v>
      </c>
      <c r="Z8" s="3714"/>
      <c r="AA8" s="701">
        <f t="shared" ref="AA8:AA19" si="3">D8/F8</f>
        <v>1</v>
      </c>
      <c r="AB8" s="701">
        <f t="shared" ref="AB8:AB19" si="4">D8/H8</f>
        <v>1</v>
      </c>
      <c r="AC8" s="701">
        <f t="shared" ref="AC8:AC19" si="5">D8/J8</f>
        <v>1</v>
      </c>
    </row>
    <row r="9" spans="1:29" s="105" customFormat="1">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5"/>
      <c r="L9" s="2711"/>
      <c r="M9" s="2712"/>
      <c r="N9" s="2712"/>
      <c r="O9" s="2712"/>
      <c r="P9" s="3727" t="s">
        <v>1686</v>
      </c>
      <c r="Q9" s="1337" t="str">
        <f t="shared" ref="Q9:Q15" si="6">B9</f>
        <v>用途</v>
      </c>
      <c r="R9" s="698" t="s">
        <v>14</v>
      </c>
      <c r="S9" s="699">
        <f t="shared" si="0"/>
        <v>100</v>
      </c>
      <c r="T9" s="698" t="s">
        <v>14</v>
      </c>
      <c r="U9" s="699">
        <f t="shared" si="1"/>
        <v>100</v>
      </c>
      <c r="V9" s="698" t="s">
        <v>14</v>
      </c>
      <c r="W9" s="699">
        <f t="shared" si="2"/>
        <v>100</v>
      </c>
      <c r="X9" s="700"/>
      <c r="Y9" s="3659" t="s">
        <v>1687</v>
      </c>
      <c r="Z9" s="52" t="str">
        <f t="shared" ref="Z9:Z15" si="7">Q9</f>
        <v>用途</v>
      </c>
      <c r="AA9" s="701">
        <f t="shared" si="3"/>
        <v>1</v>
      </c>
      <c r="AB9" s="701">
        <f t="shared" si="4"/>
        <v>1</v>
      </c>
      <c r="AC9" s="701">
        <f t="shared" si="5"/>
        <v>1</v>
      </c>
    </row>
    <row r="10" spans="1:29" s="375" customFormat="1" ht="27">
      <c r="A10" s="371"/>
      <c r="B10" s="372" t="s">
        <v>1688</v>
      </c>
      <c r="C10" s="3428"/>
      <c r="D10" s="124">
        <v>100</v>
      </c>
      <c r="E10" s="3429"/>
      <c r="F10" s="373">
        <f>SUMIF(65:65,E10,66:66)-SUMIF(65:65,C10,66:66)+100</f>
        <v>100</v>
      </c>
      <c r="G10" s="3428"/>
      <c r="H10" s="124">
        <f>SUMIF(65:65,G10,66:66)-SUMIF(65:65,C10,66:66)+100</f>
        <v>100</v>
      </c>
      <c r="I10" s="3428"/>
      <c r="J10" s="124">
        <f>SUMIF(65:65,I10,66:66)-SUMIF(65:65,C10,66:66)+100</f>
        <v>100</v>
      </c>
      <c r="K10" s="1885"/>
      <c r="L10" s="2713"/>
      <c r="M10" s="2714"/>
      <c r="N10" s="2714"/>
      <c r="O10" s="2714"/>
      <c r="P10" s="3727"/>
      <c r="Q10" s="1337" t="str">
        <f t="shared" si="6"/>
        <v>土地使用年限（年）</v>
      </c>
      <c r="R10" s="698" t="s">
        <v>14</v>
      </c>
      <c r="S10" s="699">
        <f t="shared" si="0"/>
        <v>100</v>
      </c>
      <c r="T10" s="698" t="s">
        <v>14</v>
      </c>
      <c r="U10" s="699">
        <f t="shared" si="1"/>
        <v>100</v>
      </c>
      <c r="V10" s="698" t="s">
        <v>14</v>
      </c>
      <c r="W10" s="699">
        <f t="shared" si="2"/>
        <v>100</v>
      </c>
      <c r="X10" s="700"/>
      <c r="Y10" s="3659"/>
      <c r="Z10" s="52" t="str">
        <f t="shared" si="7"/>
        <v>土地使用年限（年）</v>
      </c>
      <c r="AA10" s="701">
        <f t="shared" si="3"/>
        <v>1</v>
      </c>
      <c r="AB10" s="701">
        <f t="shared" si="4"/>
        <v>1</v>
      </c>
      <c r="AC10" s="701">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5"/>
      <c r="M11" s="2710"/>
      <c r="N11" s="2710"/>
      <c r="O11" s="2710"/>
      <c r="P11" s="3727"/>
      <c r="Q11" s="1337" t="str">
        <f t="shared" si="6"/>
        <v>容积率</v>
      </c>
      <c r="R11" s="698" t="s">
        <v>18</v>
      </c>
      <c r="S11" s="699" t="e">
        <f t="shared" si="0"/>
        <v>#N/A</v>
      </c>
      <c r="T11" s="698" t="s">
        <v>18</v>
      </c>
      <c r="U11" s="699" t="e">
        <f t="shared" si="1"/>
        <v>#N/A</v>
      </c>
      <c r="V11" s="698" t="s">
        <v>18</v>
      </c>
      <c r="W11" s="699" t="e">
        <f t="shared" si="2"/>
        <v>#N/A</v>
      </c>
      <c r="X11" s="700"/>
      <c r="Y11" s="3659"/>
      <c r="Z11" s="52" t="str">
        <f t="shared" si="7"/>
        <v>容积率</v>
      </c>
      <c r="AA11" s="701" t="e">
        <f t="shared" si="3"/>
        <v>#N/A</v>
      </c>
      <c r="AB11" s="701" t="e">
        <f t="shared" si="4"/>
        <v>#N/A</v>
      </c>
      <c r="AC11" s="701" t="e">
        <f t="shared" si="5"/>
        <v>#N/A</v>
      </c>
    </row>
    <row r="12" spans="1:29" s="105" customFormat="1" ht="15">
      <c r="A12" s="379"/>
      <c r="B12" s="1887">
        <v>111</v>
      </c>
      <c r="C12" s="380"/>
      <c r="D12" s="381">
        <v>100</v>
      </c>
      <c r="E12" s="380"/>
      <c r="F12" s="373">
        <f>SUMIF(70:70,E12,71:71)-SUMIF(70:70,C12,71:71)+100</f>
        <v>100</v>
      </c>
      <c r="G12" s="380"/>
      <c r="H12" s="124">
        <f>SUMIF(70:70,G12,71:71)-SUMIF(70:70,C12,71:71)+100</f>
        <v>100</v>
      </c>
      <c r="I12" s="380"/>
      <c r="J12" s="124">
        <f>SUMIF(70:70,I12,71:71)-SUMIF(70:70,C12,71:71)+100</f>
        <v>100</v>
      </c>
      <c r="K12" s="1888"/>
      <c r="L12" s="2711"/>
      <c r="M12" s="2712"/>
      <c r="N12" s="2712"/>
      <c r="O12" s="2712"/>
      <c r="P12" s="3727"/>
      <c r="Q12" s="1337">
        <f t="shared" si="6"/>
        <v>111</v>
      </c>
      <c r="R12" s="698" t="s">
        <v>18</v>
      </c>
      <c r="S12" s="699">
        <f t="shared" si="0"/>
        <v>100</v>
      </c>
      <c r="T12" s="698" t="s">
        <v>18</v>
      </c>
      <c r="U12" s="699">
        <f t="shared" si="1"/>
        <v>100</v>
      </c>
      <c r="V12" s="698" t="s">
        <v>18</v>
      </c>
      <c r="W12" s="699">
        <f t="shared" si="2"/>
        <v>100</v>
      </c>
      <c r="X12" s="700"/>
      <c r="Y12" s="3659"/>
      <c r="Z12" s="52">
        <f t="shared" si="7"/>
        <v>111</v>
      </c>
      <c r="AA12" s="701">
        <f>D12/F12</f>
        <v>1</v>
      </c>
      <c r="AB12" s="701">
        <f>D12/H12</f>
        <v>1</v>
      </c>
      <c r="AC12" s="701">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1888"/>
      <c r="L13" s="2716"/>
      <c r="M13" s="2710"/>
      <c r="N13" s="2710"/>
      <c r="O13" s="2710"/>
      <c r="P13" s="3727"/>
      <c r="Q13" s="1337">
        <f t="shared" si="6"/>
        <v>111</v>
      </c>
      <c r="R13" s="698" t="s">
        <v>18</v>
      </c>
      <c r="S13" s="699">
        <f t="shared" si="0"/>
        <v>100</v>
      </c>
      <c r="T13" s="698" t="s">
        <v>18</v>
      </c>
      <c r="U13" s="699">
        <f t="shared" si="1"/>
        <v>100</v>
      </c>
      <c r="V13" s="698" t="s">
        <v>18</v>
      </c>
      <c r="W13" s="699">
        <f t="shared" si="2"/>
        <v>100</v>
      </c>
      <c r="X13" s="700"/>
      <c r="Y13" s="3659"/>
      <c r="Z13" s="52">
        <f t="shared" si="7"/>
        <v>111</v>
      </c>
      <c r="AA13" s="701">
        <f t="shared" si="3"/>
        <v>1</v>
      </c>
      <c r="AB13" s="701">
        <f t="shared" si="4"/>
        <v>1</v>
      </c>
      <c r="AC13" s="701">
        <f t="shared" si="5"/>
        <v>1</v>
      </c>
    </row>
    <row r="14" spans="1:29" ht="15.75" thickBot="1">
      <c r="A14" s="384"/>
      <c r="B14" s="1889">
        <v>111</v>
      </c>
      <c r="C14" s="385"/>
      <c r="D14" s="386">
        <v>100</v>
      </c>
      <c r="E14" s="385"/>
      <c r="F14" s="387">
        <f>SUMIF(74:74,E14,75:75)-SUMIF(74:74,C14,75:75)+100</f>
        <v>100</v>
      </c>
      <c r="G14" s="385"/>
      <c r="H14" s="386">
        <f>SUMIF(74:74,G14,75:75)-SUMIF(74:74,C14,75:75)+100</f>
        <v>100</v>
      </c>
      <c r="I14" s="385"/>
      <c r="J14" s="386">
        <f>SUMIF(74:74,I14,75:75)-SUMIF(74:74,C14,75:75)+100</f>
        <v>100</v>
      </c>
      <c r="K14" s="1888"/>
      <c r="L14" s="2716"/>
      <c r="M14" s="2710"/>
      <c r="N14" s="2710"/>
      <c r="O14" s="2710"/>
      <c r="P14" s="3727"/>
      <c r="Q14" s="1337">
        <f t="shared" si="6"/>
        <v>111</v>
      </c>
      <c r="R14" s="698" t="s">
        <v>18</v>
      </c>
      <c r="S14" s="699">
        <f t="shared" si="0"/>
        <v>100</v>
      </c>
      <c r="T14" s="698" t="s">
        <v>18</v>
      </c>
      <c r="U14" s="699">
        <f t="shared" si="1"/>
        <v>100</v>
      </c>
      <c r="V14" s="698" t="s">
        <v>18</v>
      </c>
      <c r="W14" s="699">
        <f t="shared" si="2"/>
        <v>100</v>
      </c>
      <c r="X14" s="700"/>
      <c r="Y14" s="3659"/>
      <c r="Z14" s="52">
        <f t="shared" si="7"/>
        <v>111</v>
      </c>
      <c r="AA14" s="701">
        <f t="shared" si="3"/>
        <v>1</v>
      </c>
      <c r="AB14" s="701">
        <f t="shared" si="4"/>
        <v>1</v>
      </c>
      <c r="AC14" s="701">
        <f t="shared" si="5"/>
        <v>1</v>
      </c>
    </row>
    <row r="15" spans="1:29" ht="15">
      <c r="A15" s="388" t="s">
        <v>1690</v>
      </c>
      <c r="B15" s="61" t="s">
        <v>1257</v>
      </c>
      <c r="C15" s="1890">
        <f>估价对象房地状况!C3</f>
        <v>0</v>
      </c>
      <c r="D15" s="389">
        <v>100</v>
      </c>
      <c r="E15" s="392"/>
      <c r="F15" s="389">
        <f>SUMIF(76:76,E16,77:77)-SUMIF(76:76,C16,77:77)+100</f>
        <v>100</v>
      </c>
      <c r="G15" s="390"/>
      <c r="H15" s="389">
        <f>SUMIF(76:76,G16,77:77)-SUMIF(76:76,C16,77:77)+100</f>
        <v>100</v>
      </c>
      <c r="I15" s="390"/>
      <c r="J15" s="389">
        <f>SUMIF(76:76,I16,77:77)-SUMIF(76:76,C16,77:77)+100</f>
        <v>100</v>
      </c>
      <c r="K15" s="393"/>
      <c r="L15" s="2716"/>
      <c r="M15" s="2710"/>
      <c r="N15" s="2710"/>
      <c r="O15" s="2710"/>
      <c r="P15" s="3754" t="s">
        <v>1691</v>
      </c>
      <c r="Q15" s="1346" t="str">
        <f t="shared" si="6"/>
        <v>居住社区成熟度</v>
      </c>
      <c r="R15" s="702" t="s">
        <v>18</v>
      </c>
      <c r="S15" s="703">
        <f t="shared" si="0"/>
        <v>100</v>
      </c>
      <c r="T15" s="702" t="s">
        <v>18</v>
      </c>
      <c r="U15" s="703">
        <f t="shared" si="1"/>
        <v>100</v>
      </c>
      <c r="V15" s="702" t="s">
        <v>18</v>
      </c>
      <c r="W15" s="703">
        <f t="shared" si="2"/>
        <v>100</v>
      </c>
      <c r="X15" s="1349"/>
      <c r="Y15" s="3747" t="s">
        <v>1691</v>
      </c>
      <c r="Z15" s="1350" t="str">
        <f t="shared" si="7"/>
        <v>居住社区成熟度</v>
      </c>
      <c r="AA15" s="1347">
        <f t="shared" si="3"/>
        <v>1</v>
      </c>
      <c r="AB15" s="1347">
        <f t="shared" si="4"/>
        <v>1</v>
      </c>
      <c r="AC15" s="1347">
        <f t="shared" si="5"/>
        <v>1</v>
      </c>
    </row>
    <row r="16" spans="1:29" ht="15">
      <c r="A16" s="376"/>
      <c r="B16" s="394"/>
      <c r="C16" s="395"/>
      <c r="D16" s="396"/>
      <c r="E16" s="1891"/>
      <c r="F16" s="396"/>
      <c r="G16" s="1892"/>
      <c r="H16" s="398"/>
      <c r="I16" s="1892"/>
      <c r="J16" s="396"/>
      <c r="K16" s="1893"/>
      <c r="L16" s="2716"/>
      <c r="M16" s="2710"/>
      <c r="N16" s="2710"/>
      <c r="O16" s="2710"/>
      <c r="P16" s="3755"/>
      <c r="Q16" s="1346"/>
      <c r="R16" s="702"/>
      <c r="S16" s="703"/>
      <c r="T16" s="702"/>
      <c r="U16" s="703"/>
      <c r="V16" s="702"/>
      <c r="W16" s="703"/>
      <c r="X16" s="1349"/>
      <c r="Y16" s="3748"/>
      <c r="Z16" s="1350"/>
      <c r="AA16" s="1347">
        <v>1</v>
      </c>
      <c r="AB16" s="1347">
        <v>1</v>
      </c>
      <c r="AC16" s="1347">
        <v>1</v>
      </c>
    </row>
    <row r="17" spans="1:29" ht="15">
      <c r="A17" s="376"/>
      <c r="B17" s="399" t="s">
        <v>1259</v>
      </c>
      <c r="C17" s="1894">
        <f>估价对象房地状况!C6</f>
        <v>0</v>
      </c>
      <c r="D17" s="398">
        <v>100</v>
      </c>
      <c r="E17" s="402"/>
      <c r="F17" s="398">
        <f>SUMIF(78:78,E18,79:79)-SUMIF(78:78,C18,79:79)+100</f>
        <v>100</v>
      </c>
      <c r="G17" s="400"/>
      <c r="H17" s="403">
        <f>SUMIF(78:78,G18,79:79)-SUMIF(78:78,C18,79:79)+100</f>
        <v>100</v>
      </c>
      <c r="I17" s="400"/>
      <c r="J17" s="403">
        <f>SUMIF(78:78,I18,79:79)-SUMIF(78:78,C18,79:79)+100</f>
        <v>100</v>
      </c>
      <c r="K17" s="393"/>
      <c r="L17" s="2716"/>
      <c r="M17" s="2710"/>
      <c r="N17" s="2710"/>
      <c r="O17" s="2710"/>
      <c r="P17" s="3755"/>
      <c r="Q17" s="1346" t="str">
        <f>B17</f>
        <v>交通便捷度</v>
      </c>
      <c r="R17" s="702" t="s">
        <v>18</v>
      </c>
      <c r="S17" s="703">
        <f>F17</f>
        <v>100</v>
      </c>
      <c r="T17" s="702" t="s">
        <v>18</v>
      </c>
      <c r="U17" s="703">
        <f>H17</f>
        <v>100</v>
      </c>
      <c r="V17" s="702" t="s">
        <v>18</v>
      </c>
      <c r="W17" s="703">
        <f>J17</f>
        <v>100</v>
      </c>
      <c r="X17" s="1349"/>
      <c r="Y17" s="3748"/>
      <c r="Z17" s="1350" t="str">
        <f>Q17</f>
        <v>交通便捷度</v>
      </c>
      <c r="AA17" s="1347">
        <f t="shared" si="3"/>
        <v>1</v>
      </c>
      <c r="AB17" s="1347">
        <f t="shared" si="4"/>
        <v>1</v>
      </c>
      <c r="AC17" s="1347">
        <f t="shared" si="5"/>
        <v>1</v>
      </c>
    </row>
    <row r="18" spans="1:29" ht="15">
      <c r="A18" s="376"/>
      <c r="B18" s="404"/>
      <c r="C18" s="1895"/>
      <c r="D18" s="398"/>
      <c r="E18" s="1896"/>
      <c r="F18" s="398"/>
      <c r="G18" s="1897"/>
      <c r="H18" s="396"/>
      <c r="I18" s="1897"/>
      <c r="J18" s="396"/>
      <c r="K18" s="1893"/>
      <c r="L18" s="2716"/>
      <c r="M18" s="2710"/>
      <c r="N18" s="2710"/>
      <c r="O18" s="2710"/>
      <c r="P18" s="3755"/>
      <c r="Q18" s="1346"/>
      <c r="R18" s="702"/>
      <c r="S18" s="703"/>
      <c r="T18" s="702"/>
      <c r="U18" s="703"/>
      <c r="V18" s="702"/>
      <c r="W18" s="703"/>
      <c r="X18" s="1349"/>
      <c r="Y18" s="3748"/>
      <c r="Z18" s="1350"/>
      <c r="AA18" s="1347">
        <v>1</v>
      </c>
      <c r="AB18" s="1347">
        <v>1</v>
      </c>
      <c r="AC18" s="1347">
        <v>1</v>
      </c>
    </row>
    <row r="19" spans="1:29" ht="15">
      <c r="A19" s="376"/>
      <c r="B19" s="399" t="s">
        <v>1258</v>
      </c>
      <c r="C19" s="1894">
        <f>估价对象房地状况!C7</f>
        <v>0</v>
      </c>
      <c r="D19" s="403">
        <v>100</v>
      </c>
      <c r="E19" s="407"/>
      <c r="F19" s="403">
        <f>SUMIF(80:80,E20,81:81)-SUMIF(80:80,C20,81:81)+100</f>
        <v>100</v>
      </c>
      <c r="G19" s="405"/>
      <c r="H19" s="398">
        <f>SUMIF(80:80,G20,81:81)-SUMIF(80:80,C20,81:81)+100</f>
        <v>100</v>
      </c>
      <c r="I19" s="405"/>
      <c r="J19" s="398">
        <f>SUMIF(80:80,I20,81:81)-SUMIF(80:80,C20,81:81)+100</f>
        <v>100</v>
      </c>
      <c r="K19" s="393"/>
      <c r="L19" s="2716"/>
      <c r="M19" s="2710"/>
      <c r="N19" s="2710"/>
      <c r="O19" s="2710"/>
      <c r="P19" s="3755"/>
      <c r="Q19" s="1346" t="str">
        <f>B19</f>
        <v>公共配套设施</v>
      </c>
      <c r="R19" s="702" t="s">
        <v>18</v>
      </c>
      <c r="S19" s="703">
        <f>F19</f>
        <v>100</v>
      </c>
      <c r="T19" s="702" t="s">
        <v>18</v>
      </c>
      <c r="U19" s="703">
        <f>H19</f>
        <v>100</v>
      </c>
      <c r="V19" s="702" t="s">
        <v>18</v>
      </c>
      <c r="W19" s="703">
        <f>J19</f>
        <v>100</v>
      </c>
      <c r="X19" s="1349"/>
      <c r="Y19" s="3748"/>
      <c r="Z19" s="1350" t="str">
        <f>Q19</f>
        <v>公共配套设施</v>
      </c>
      <c r="AA19" s="1347">
        <f t="shared" si="3"/>
        <v>1</v>
      </c>
      <c r="AB19" s="1347">
        <f t="shared" si="4"/>
        <v>1</v>
      </c>
      <c r="AC19" s="1347">
        <f t="shared" si="5"/>
        <v>1</v>
      </c>
    </row>
    <row r="20" spans="1:29" ht="15">
      <c r="A20" s="376"/>
      <c r="B20" s="404"/>
      <c r="C20" s="395"/>
      <c r="D20" s="396"/>
      <c r="E20" s="1891"/>
      <c r="F20" s="396"/>
      <c r="G20" s="1892"/>
      <c r="H20" s="396"/>
      <c r="I20" s="1892"/>
      <c r="J20" s="396"/>
      <c r="K20" s="1893"/>
      <c r="L20" s="2716"/>
      <c r="M20" s="2710"/>
      <c r="N20" s="2710"/>
      <c r="O20" s="2710"/>
      <c r="P20" s="3755"/>
      <c r="Q20" s="1346"/>
      <c r="R20" s="702"/>
      <c r="S20" s="703"/>
      <c r="T20" s="702"/>
      <c r="U20" s="703"/>
      <c r="V20" s="702"/>
      <c r="W20" s="703"/>
      <c r="X20" s="1349"/>
      <c r="Y20" s="3748"/>
      <c r="Z20" s="1350"/>
      <c r="AA20" s="1347">
        <v>1</v>
      </c>
      <c r="AB20" s="1347">
        <v>1</v>
      </c>
      <c r="AC20" s="1347">
        <v>1</v>
      </c>
    </row>
    <row r="21" spans="1:29" ht="15">
      <c r="A21" s="376"/>
      <c r="B21" s="1125" t="s">
        <v>1260</v>
      </c>
      <c r="C21" s="1894">
        <f>估价对象房地状况!C8</f>
        <v>0</v>
      </c>
      <c r="D21" s="398">
        <v>100</v>
      </c>
      <c r="E21" s="407"/>
      <c r="F21" s="403">
        <f>SUMIF(82:82,E22,83:83)-SUMIF(82:82,C22,83:83)+100</f>
        <v>100</v>
      </c>
      <c r="G21" s="405"/>
      <c r="H21" s="398">
        <f>SUMIF(82:82,G22,83:83)-SUMIF(82:82,C22,83:83)+100</f>
        <v>100</v>
      </c>
      <c r="I21" s="405"/>
      <c r="J21" s="398">
        <f>SUMIF(82:82,I22,83:83)-SUMIF(82:82,C22,83:83)+100</f>
        <v>100</v>
      </c>
      <c r="K21" s="393"/>
      <c r="L21" s="2716"/>
      <c r="M21" s="2710"/>
      <c r="N21" s="2710"/>
      <c r="O21" s="2710"/>
      <c r="P21" s="3755"/>
      <c r="Q21" s="1346" t="str">
        <f>B21</f>
        <v>基础设施水平</v>
      </c>
      <c r="R21" s="702" t="s">
        <v>14</v>
      </c>
      <c r="S21" s="703">
        <f>F21</f>
        <v>100</v>
      </c>
      <c r="T21" s="702" t="s">
        <v>14</v>
      </c>
      <c r="U21" s="703">
        <f>H21</f>
        <v>100</v>
      </c>
      <c r="V21" s="702" t="s">
        <v>14</v>
      </c>
      <c r="W21" s="703">
        <f>J21</f>
        <v>100</v>
      </c>
      <c r="X21" s="1349"/>
      <c r="Y21" s="3748"/>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6"/>
      <c r="G22" s="1898"/>
      <c r="H22" s="396"/>
      <c r="I22" s="395"/>
      <c r="J22" s="396"/>
      <c r="K22" s="1899"/>
      <c r="L22" s="2716"/>
      <c r="M22" s="2710"/>
      <c r="N22" s="2710"/>
      <c r="O22" s="2710"/>
      <c r="P22" s="3755"/>
      <c r="Q22" s="1346"/>
      <c r="R22" s="702"/>
      <c r="S22" s="703"/>
      <c r="T22" s="702"/>
      <c r="U22" s="703"/>
      <c r="V22" s="702"/>
      <c r="W22" s="703"/>
      <c r="X22" s="1349"/>
      <c r="Y22" s="3748"/>
      <c r="Z22" s="1350"/>
      <c r="AA22" s="1347">
        <v>1</v>
      </c>
      <c r="AB22" s="1347">
        <v>1</v>
      </c>
      <c r="AC22" s="1347">
        <v>1</v>
      </c>
    </row>
    <row r="23" spans="1:29" ht="15">
      <c r="A23" s="376"/>
      <c r="B23" s="399" t="s">
        <v>1261</v>
      </c>
      <c r="C23" s="1894">
        <f>估价对象房地状况!C9</f>
        <v>0</v>
      </c>
      <c r="D23" s="398">
        <v>100</v>
      </c>
      <c r="E23" s="402"/>
      <c r="F23" s="398">
        <f>SUMIF(84:84,E24,85:85)-SUMIF(84:84,C24,85:85)+100</f>
        <v>100</v>
      </c>
      <c r="G23" s="400"/>
      <c r="H23" s="398">
        <f>SUMIF(84:84,G24,85:85)-SUMIF(84:84,C24,85:85)+100</f>
        <v>100</v>
      </c>
      <c r="I23" s="400"/>
      <c r="J23" s="398">
        <f>SUMIF(84:84,I24,85:85)-SUMIF(84:84,C24,85:85)+100</f>
        <v>100</v>
      </c>
      <c r="K23" s="393"/>
      <c r="L23" s="2716"/>
      <c r="M23" s="2710"/>
      <c r="N23" s="2710"/>
      <c r="O23" s="2710"/>
      <c r="P23" s="3755"/>
      <c r="Q23" s="1346" t="str">
        <f>B23</f>
        <v>自然及人文环境</v>
      </c>
      <c r="R23" s="702" t="s">
        <v>18</v>
      </c>
      <c r="S23" s="703">
        <f>F23</f>
        <v>100</v>
      </c>
      <c r="T23" s="702" t="s">
        <v>18</v>
      </c>
      <c r="U23" s="703">
        <f>H23</f>
        <v>100</v>
      </c>
      <c r="V23" s="702" t="s">
        <v>18</v>
      </c>
      <c r="W23" s="703">
        <f>J23</f>
        <v>100</v>
      </c>
      <c r="X23" s="1349"/>
      <c r="Y23" s="3748"/>
      <c r="Z23" s="1350" t="str">
        <f>Q23</f>
        <v>自然及人文环境</v>
      </c>
      <c r="AA23" s="1347">
        <f>D23/F23</f>
        <v>1</v>
      </c>
      <c r="AB23" s="1347">
        <f>D23/H23</f>
        <v>1</v>
      </c>
      <c r="AC23" s="1347">
        <f>D23/J23</f>
        <v>1</v>
      </c>
    </row>
    <row r="24" spans="1:29" ht="15">
      <c r="A24" s="376"/>
      <c r="B24" s="404"/>
      <c r="C24" s="395"/>
      <c r="D24" s="396"/>
      <c r="E24" s="1891"/>
      <c r="F24" s="396"/>
      <c r="G24" s="1892"/>
      <c r="H24" s="396"/>
      <c r="I24" s="1892"/>
      <c r="J24" s="396"/>
      <c r="K24" s="1893"/>
      <c r="L24" s="2716"/>
      <c r="M24" s="2710"/>
      <c r="N24" s="2710"/>
      <c r="O24" s="2710"/>
      <c r="P24" s="3755"/>
      <c r="Q24" s="1346"/>
      <c r="R24" s="702"/>
      <c r="S24" s="703"/>
      <c r="T24" s="702"/>
      <c r="U24" s="703"/>
      <c r="V24" s="702"/>
      <c r="W24" s="703"/>
      <c r="X24" s="1349"/>
      <c r="Y24" s="3748"/>
      <c r="Z24" s="1350"/>
      <c r="AA24" s="1347">
        <v>1</v>
      </c>
      <c r="AB24" s="1347">
        <v>1</v>
      </c>
      <c r="AC24" s="1347">
        <v>1</v>
      </c>
    </row>
    <row r="25" spans="1:29" ht="15">
      <c r="A25" s="376"/>
      <c r="B25" s="372" t="s">
        <v>1692</v>
      </c>
      <c r="C25" s="408"/>
      <c r="D25" s="383">
        <v>100</v>
      </c>
      <c r="E25" s="1900"/>
      <c r="F25" s="383">
        <f>SUMIF(86:86,E25,87:87)-SUMIF(86:86,C25,87:87)+100</f>
        <v>100</v>
      </c>
      <c r="G25" s="1901"/>
      <c r="H25" s="383">
        <f>SUMIF(86:86,G25,87:87)-SUMIF(86:86,C25,87:87)+100</f>
        <v>100</v>
      </c>
      <c r="I25" s="1901"/>
      <c r="J25" s="383">
        <f>SUMIF(86:86,I25,87:87)-SUMIF(86:86,C25,87:87)+100</f>
        <v>100</v>
      </c>
      <c r="K25" s="374"/>
      <c r="L25" s="2716"/>
      <c r="M25" s="2710"/>
      <c r="N25" s="2710"/>
      <c r="O25" s="2710"/>
      <c r="P25" s="3755"/>
      <c r="Q25" s="1346"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3748"/>
      <c r="Z25" s="1350" t="str">
        <f>Q25</f>
        <v>楼层-1</v>
      </c>
      <c r="AA25" s="1347">
        <f t="shared" ref="AA25:AA46" si="15">D25/F25</f>
        <v>1</v>
      </c>
      <c r="AB25" s="1347">
        <f t="shared" ref="AB25:AB46" si="16">D25/H25</f>
        <v>1</v>
      </c>
      <c r="AC25" s="1347">
        <f t="shared" ref="AC25:AC46" si="17">D25/J25</f>
        <v>1</v>
      </c>
    </row>
    <row r="26" spans="1:29" ht="15">
      <c r="A26" s="376"/>
      <c r="B26" s="372" t="s">
        <v>1693</v>
      </c>
      <c r="C26" s="408"/>
      <c r="D26" s="383">
        <v>100</v>
      </c>
      <c r="E26" s="1900"/>
      <c r="F26" s="383">
        <f>SUMIF(88:88,E26,89:89)-SUMIF(88:88,C26,89:89)+100</f>
        <v>100</v>
      </c>
      <c r="G26" s="1901"/>
      <c r="H26" s="383">
        <f>SUMIF(88:88,G26,89:89)-SUMIF(88:88,C26,89:89)+100</f>
        <v>100</v>
      </c>
      <c r="I26" s="1901"/>
      <c r="J26" s="383">
        <f>SUMIF(88:88,I26,89:89)-SUMIF(88:88,C26,89:89)+100</f>
        <v>100</v>
      </c>
      <c r="K26" s="374"/>
      <c r="L26" s="2716"/>
      <c r="M26" s="2710"/>
      <c r="N26" s="2710"/>
      <c r="O26" s="2710"/>
      <c r="P26" s="3755"/>
      <c r="Q26" s="1346" t="str">
        <f t="shared" si="11"/>
        <v>朝向</v>
      </c>
      <c r="R26" s="702" t="s">
        <v>18</v>
      </c>
      <c r="S26" s="703">
        <f t="shared" si="12"/>
        <v>100</v>
      </c>
      <c r="T26" s="702" t="s">
        <v>18</v>
      </c>
      <c r="U26" s="703">
        <f t="shared" si="13"/>
        <v>100</v>
      </c>
      <c r="V26" s="702" t="s">
        <v>18</v>
      </c>
      <c r="W26" s="703">
        <f t="shared" si="14"/>
        <v>100</v>
      </c>
      <c r="X26" s="1349"/>
      <c r="Y26" s="3748"/>
      <c r="Z26" s="1350" t="str">
        <f>Q26</f>
        <v>朝向</v>
      </c>
      <c r="AA26" s="1347">
        <f t="shared" si="15"/>
        <v>1</v>
      </c>
      <c r="AB26" s="1347">
        <f t="shared" si="16"/>
        <v>1</v>
      </c>
      <c r="AC26" s="1347">
        <f t="shared" si="17"/>
        <v>1</v>
      </c>
    </row>
    <row r="27" spans="1:29" s="105" customFormat="1" ht="15">
      <c r="A27" s="379"/>
      <c r="B27" s="1127">
        <v>111</v>
      </c>
      <c r="C27" s="380"/>
      <c r="D27" s="410">
        <v>100</v>
      </c>
      <c r="E27" s="413"/>
      <c r="F27" s="410">
        <f>SUMIF(90:90,E27,91:91)-SUMIF(90:90,C27,91:91)+100</f>
        <v>100</v>
      </c>
      <c r="G27" s="411"/>
      <c r="H27" s="410">
        <f>SUMIF(90:90,G27,91:91)-SUMIF(90:90,C27,91:91)+100</f>
        <v>100</v>
      </c>
      <c r="I27" s="411"/>
      <c r="J27" s="410">
        <f>SUMIF(90:90,I27,91:91)-SUMIF(90:90,C27,91:91)+100</f>
        <v>100</v>
      </c>
      <c r="K27" s="1888"/>
      <c r="L27" s="2711"/>
      <c r="M27" s="2712"/>
      <c r="N27" s="2712"/>
      <c r="O27" s="2712"/>
      <c r="P27" s="3755"/>
      <c r="Q27" s="1337">
        <f t="shared" si="11"/>
        <v>111</v>
      </c>
      <c r="R27" s="698" t="s">
        <v>18</v>
      </c>
      <c r="S27" s="699">
        <f t="shared" si="12"/>
        <v>100</v>
      </c>
      <c r="T27" s="698" t="s">
        <v>18</v>
      </c>
      <c r="U27" s="699">
        <f t="shared" si="13"/>
        <v>100</v>
      </c>
      <c r="V27" s="698" t="s">
        <v>18</v>
      </c>
      <c r="W27" s="699">
        <f t="shared" si="14"/>
        <v>100</v>
      </c>
      <c r="X27" s="700"/>
      <c r="Y27" s="3748"/>
      <c r="Z27" s="52">
        <f>Q27</f>
        <v>111</v>
      </c>
      <c r="AA27" s="1347">
        <f t="shared" si="15"/>
        <v>1</v>
      </c>
      <c r="AB27" s="1347">
        <f t="shared" si="16"/>
        <v>1</v>
      </c>
      <c r="AC27" s="1347">
        <f t="shared" si="17"/>
        <v>1</v>
      </c>
    </row>
    <row r="28" spans="1:29" ht="15">
      <c r="A28" s="376"/>
      <c r="B28" s="1127">
        <v>111</v>
      </c>
      <c r="C28" s="382"/>
      <c r="D28" s="383">
        <v>100</v>
      </c>
      <c r="E28" s="382"/>
      <c r="F28" s="383">
        <f>SUMIF(92:92,E28,93:93)-SUMIF(92:92,C28,93:93)+100</f>
        <v>100</v>
      </c>
      <c r="G28" s="1902"/>
      <c r="H28" s="383">
        <f>SUMIF(92:92,G28,93:93)-SUMIF(92:92,C28,93:93)+100</f>
        <v>100</v>
      </c>
      <c r="I28" s="382"/>
      <c r="J28" s="383">
        <f>SUMIF(92:92,I28,93:93)-SUMIF(92:92,C28,93:93)+100</f>
        <v>100</v>
      </c>
      <c r="K28" s="1888"/>
      <c r="L28" s="2716"/>
      <c r="M28" s="2710"/>
      <c r="N28" s="2710"/>
      <c r="O28" s="2710"/>
      <c r="P28" s="3755"/>
      <c r="Q28" s="1346">
        <f t="shared" si="11"/>
        <v>111</v>
      </c>
      <c r="R28" s="702" t="s">
        <v>18</v>
      </c>
      <c r="S28" s="703">
        <f t="shared" si="12"/>
        <v>100</v>
      </c>
      <c r="T28" s="702" t="s">
        <v>18</v>
      </c>
      <c r="U28" s="703">
        <f t="shared" si="13"/>
        <v>100</v>
      </c>
      <c r="V28" s="702" t="s">
        <v>18</v>
      </c>
      <c r="W28" s="703">
        <f t="shared" si="14"/>
        <v>100</v>
      </c>
      <c r="X28" s="1349"/>
      <c r="Y28" s="3748"/>
      <c r="Z28" s="1350">
        <f t="shared" ref="Z28:Z46" si="18">Q28</f>
        <v>111</v>
      </c>
      <c r="AA28" s="1347">
        <f t="shared" si="15"/>
        <v>1</v>
      </c>
      <c r="AB28" s="1347">
        <f t="shared" si="16"/>
        <v>1</v>
      </c>
      <c r="AC28" s="1347">
        <f t="shared" si="17"/>
        <v>1</v>
      </c>
    </row>
    <row r="29" spans="1:29" ht="15">
      <c r="A29" s="376"/>
      <c r="B29" s="1127">
        <v>111</v>
      </c>
      <c r="C29" s="382"/>
      <c r="D29" s="383">
        <v>100</v>
      </c>
      <c r="E29" s="382"/>
      <c r="F29" s="383">
        <f>SUMIF(94:94,E29,95:95)-SUMIF(94:94,C29,95:95)+100</f>
        <v>100</v>
      </c>
      <c r="G29" s="1902"/>
      <c r="H29" s="383">
        <f>SUMIF(94:94,G29,95:95)-SUMIF(94:94,C29,95:95)+100</f>
        <v>100</v>
      </c>
      <c r="I29" s="382"/>
      <c r="J29" s="383">
        <f>SUMIF(94:94,I29,95:95)-SUMIF(94:94,C29,95:95)+100</f>
        <v>100</v>
      </c>
      <c r="K29" s="1888"/>
      <c r="L29" s="2716"/>
      <c r="M29" s="2710"/>
      <c r="N29" s="2710"/>
      <c r="O29" s="2710"/>
      <c r="P29" s="3755"/>
      <c r="Q29" s="1346">
        <f t="shared" si="11"/>
        <v>111</v>
      </c>
      <c r="R29" s="702" t="s">
        <v>18</v>
      </c>
      <c r="S29" s="703">
        <f t="shared" si="12"/>
        <v>100</v>
      </c>
      <c r="T29" s="702" t="s">
        <v>18</v>
      </c>
      <c r="U29" s="703">
        <f t="shared" si="13"/>
        <v>100</v>
      </c>
      <c r="V29" s="702" t="s">
        <v>18</v>
      </c>
      <c r="W29" s="703">
        <f t="shared" si="14"/>
        <v>100</v>
      </c>
      <c r="X29" s="1349"/>
      <c r="Y29" s="3748"/>
      <c r="Z29" s="1350">
        <f t="shared" si="18"/>
        <v>111</v>
      </c>
      <c r="AA29" s="1347">
        <f t="shared" si="15"/>
        <v>1</v>
      </c>
      <c r="AB29" s="1347">
        <f t="shared" si="16"/>
        <v>1</v>
      </c>
      <c r="AC29" s="1347">
        <f t="shared" si="17"/>
        <v>1</v>
      </c>
    </row>
    <row r="30" spans="1:29" ht="15">
      <c r="A30" s="376"/>
      <c r="B30" s="1127">
        <v>111</v>
      </c>
      <c r="C30" s="382"/>
      <c r="D30" s="383">
        <v>100</v>
      </c>
      <c r="E30" s="382"/>
      <c r="F30" s="383">
        <f>SUMIF(96:96,E30,97:97)-SUMIF(96:96,C30,97:97)+100</f>
        <v>100</v>
      </c>
      <c r="G30" s="1902"/>
      <c r="H30" s="383">
        <f>SUMIF(96:96,G30,97:97)-SUMIF(96:96,C30,97:97)+100</f>
        <v>100</v>
      </c>
      <c r="I30" s="382"/>
      <c r="J30" s="383">
        <f>SUMIF(96:96,I30,97:97)-SUMIF(96:96,C30,97:97)+100</f>
        <v>100</v>
      </c>
      <c r="K30" s="1888"/>
      <c r="L30" s="2716"/>
      <c r="M30" s="2710"/>
      <c r="N30" s="2710"/>
      <c r="O30" s="2710"/>
      <c r="P30" s="3755"/>
      <c r="Q30" s="1346">
        <f t="shared" si="11"/>
        <v>111</v>
      </c>
      <c r="R30" s="702" t="s">
        <v>18</v>
      </c>
      <c r="S30" s="703">
        <f t="shared" si="12"/>
        <v>100</v>
      </c>
      <c r="T30" s="702" t="s">
        <v>18</v>
      </c>
      <c r="U30" s="703">
        <f t="shared" si="13"/>
        <v>100</v>
      </c>
      <c r="V30" s="702" t="s">
        <v>18</v>
      </c>
      <c r="W30" s="703">
        <f t="shared" si="14"/>
        <v>100</v>
      </c>
      <c r="X30" s="1349"/>
      <c r="Y30" s="3748"/>
      <c r="Z30" s="1350">
        <f t="shared" si="18"/>
        <v>111</v>
      </c>
      <c r="AA30" s="1347">
        <f t="shared" si="15"/>
        <v>1</v>
      </c>
      <c r="AB30" s="1347">
        <f t="shared" si="16"/>
        <v>1</v>
      </c>
      <c r="AC30" s="1347">
        <f t="shared" si="17"/>
        <v>1</v>
      </c>
    </row>
    <row r="31" spans="1:29" ht="15.75" thickBot="1">
      <c r="A31" s="384"/>
      <c r="B31" s="1127">
        <v>111</v>
      </c>
      <c r="C31" s="385"/>
      <c r="D31" s="386">
        <v>100</v>
      </c>
      <c r="E31" s="385"/>
      <c r="F31" s="386">
        <f>SUMIF(98:98,E31,99:99)-SUMIF(98:98,C31,99:99)+100</f>
        <v>100</v>
      </c>
      <c r="G31" s="1903"/>
      <c r="H31" s="386">
        <f>SUMIF(98:98,G31,99:99)-SUMIF(98:98,C31,99:99)+100</f>
        <v>100</v>
      </c>
      <c r="I31" s="385"/>
      <c r="J31" s="386">
        <f>SUMIF(98:98,I31,99:99)-SUMIF(98:98,C31,99:99)+100</f>
        <v>100</v>
      </c>
      <c r="K31" s="1888"/>
      <c r="L31" s="2716"/>
      <c r="M31" s="2710"/>
      <c r="N31" s="2710"/>
      <c r="O31" s="2710"/>
      <c r="P31" s="3755"/>
      <c r="Q31" s="1346">
        <f t="shared" si="11"/>
        <v>111</v>
      </c>
      <c r="R31" s="702" t="s">
        <v>18</v>
      </c>
      <c r="S31" s="703">
        <f t="shared" si="12"/>
        <v>100</v>
      </c>
      <c r="T31" s="702" t="s">
        <v>18</v>
      </c>
      <c r="U31" s="703">
        <f t="shared" si="13"/>
        <v>100</v>
      </c>
      <c r="V31" s="702" t="s">
        <v>18</v>
      </c>
      <c r="W31" s="703">
        <f t="shared" si="14"/>
        <v>100</v>
      </c>
      <c r="X31" s="1349"/>
      <c r="Y31" s="3748"/>
      <c r="Z31" s="1350">
        <f t="shared" si="18"/>
        <v>111</v>
      </c>
      <c r="AA31" s="1347">
        <f t="shared" si="15"/>
        <v>1</v>
      </c>
      <c r="AB31" s="1347">
        <f t="shared" si="16"/>
        <v>1</v>
      </c>
      <c r="AC31" s="1347">
        <f t="shared" si="17"/>
        <v>1</v>
      </c>
    </row>
    <row r="32" spans="1:29" ht="15">
      <c r="A32" s="388" t="s">
        <v>1694</v>
      </c>
      <c r="B32" s="63" t="s">
        <v>1695</v>
      </c>
      <c r="C32" s="1904"/>
      <c r="D32" s="415">
        <v>100</v>
      </c>
      <c r="E32" s="1905"/>
      <c r="F32" s="409">
        <f>SUMIF(100:100,E32,101:101)-SUMIF(100:100,C32,101:101)+100</f>
        <v>100</v>
      </c>
      <c r="G32" s="1904"/>
      <c r="H32" s="415">
        <f>SUMIF(100:100,G32,101:101)-SUMIF(100:100,C32,101:101)+100</f>
        <v>100</v>
      </c>
      <c r="I32" s="1905"/>
      <c r="J32" s="383">
        <f>SUMIF(100:100,I32,101:101)-SUMIF(100:100,C32,101:101)+100</f>
        <v>100</v>
      </c>
      <c r="K32" s="374"/>
      <c r="L32" s="2716"/>
      <c r="M32" s="2710"/>
      <c r="N32" s="2710"/>
      <c r="O32" s="2710"/>
      <c r="P32" s="3749" t="s">
        <v>1696</v>
      </c>
      <c r="Q32" s="1346" t="str">
        <f t="shared" si="11"/>
        <v>建筑类型</v>
      </c>
      <c r="R32" s="702" t="s">
        <v>18</v>
      </c>
      <c r="S32" s="703">
        <f t="shared" si="12"/>
        <v>100</v>
      </c>
      <c r="T32" s="702" t="s">
        <v>18</v>
      </c>
      <c r="U32" s="703">
        <f t="shared" si="13"/>
        <v>100</v>
      </c>
      <c r="V32" s="702" t="s">
        <v>18</v>
      </c>
      <c r="W32" s="703">
        <f t="shared" si="14"/>
        <v>100</v>
      </c>
      <c r="X32" s="1349"/>
      <c r="Y32" s="3752" t="s">
        <v>1696</v>
      </c>
      <c r="Z32" s="1350" t="str">
        <f t="shared" si="18"/>
        <v>建筑类型</v>
      </c>
      <c r="AA32" s="1347">
        <f t="shared" si="15"/>
        <v>1</v>
      </c>
      <c r="AB32" s="1347">
        <f t="shared" si="16"/>
        <v>1</v>
      </c>
      <c r="AC32" s="1347">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88"/>
      <c r="L33" s="2715"/>
      <c r="M33" s="2717"/>
      <c r="N33" s="2717"/>
      <c r="O33" s="2717"/>
      <c r="P33" s="3750"/>
      <c r="Q33" s="704" t="str">
        <f t="shared" si="11"/>
        <v>项目建筑规模</v>
      </c>
      <c r="R33" s="705" t="s">
        <v>18</v>
      </c>
      <c r="S33" s="706" t="e">
        <f t="shared" si="12"/>
        <v>#N/A</v>
      </c>
      <c r="T33" s="705" t="s">
        <v>18</v>
      </c>
      <c r="U33" s="706" t="e">
        <f t="shared" si="13"/>
        <v>#N/A</v>
      </c>
      <c r="V33" s="705" t="s">
        <v>18</v>
      </c>
      <c r="W33" s="706" t="e">
        <f t="shared" si="14"/>
        <v>#N/A</v>
      </c>
      <c r="X33" s="707"/>
      <c r="Y33" s="3752"/>
      <c r="Z33" s="708" t="str">
        <f t="shared" si="18"/>
        <v>项目建筑规模</v>
      </c>
      <c r="AA33" s="1347" t="e">
        <f t="shared" si="15"/>
        <v>#N/A</v>
      </c>
      <c r="AB33" s="1347" t="e">
        <f t="shared" si="16"/>
        <v>#N/A</v>
      </c>
      <c r="AC33" s="1347" t="e">
        <f t="shared" si="17"/>
        <v>#N/A</v>
      </c>
    </row>
    <row r="34" spans="1:29" ht="15">
      <c r="A34" s="420"/>
      <c r="B34" s="372" t="s">
        <v>1698</v>
      </c>
      <c r="C34" s="1906"/>
      <c r="D34" s="383">
        <v>100</v>
      </c>
      <c r="E34" s="1907"/>
      <c r="F34" s="409">
        <f>SUMIF(105:105,E34,106:106)-SUMIF(105:105,C34,106:106)+100</f>
        <v>100</v>
      </c>
      <c r="G34" s="1906"/>
      <c r="H34" s="383">
        <f>SUMIF(105:105,G34,106:106)-SUMIF(105:105,C34,106:106)+100</f>
        <v>100</v>
      </c>
      <c r="I34" s="1907"/>
      <c r="J34" s="383">
        <f>SUMIF(105:105,I34,106:106)-SUMIF(105:105,C34,106:106)+100</f>
        <v>100</v>
      </c>
      <c r="K34" s="374"/>
      <c r="L34" s="2716"/>
      <c r="M34" s="2710"/>
      <c r="N34" s="2710"/>
      <c r="O34" s="2710"/>
      <c r="P34" s="3750"/>
      <c r="Q34" s="1346" t="str">
        <f t="shared" si="11"/>
        <v>建筑结构</v>
      </c>
      <c r="R34" s="702" t="s">
        <v>18</v>
      </c>
      <c r="S34" s="703">
        <f t="shared" si="12"/>
        <v>100</v>
      </c>
      <c r="T34" s="702" t="s">
        <v>18</v>
      </c>
      <c r="U34" s="703">
        <f t="shared" si="13"/>
        <v>100</v>
      </c>
      <c r="V34" s="702" t="s">
        <v>18</v>
      </c>
      <c r="W34" s="703">
        <f t="shared" si="14"/>
        <v>100</v>
      </c>
      <c r="X34" s="1349"/>
      <c r="Y34" s="3752"/>
      <c r="Z34" s="1350" t="str">
        <f t="shared" si="18"/>
        <v>建筑结构</v>
      </c>
      <c r="AA34" s="1347">
        <f t="shared" si="15"/>
        <v>1</v>
      </c>
      <c r="AB34" s="1347">
        <f t="shared" si="16"/>
        <v>1</v>
      </c>
      <c r="AC34" s="1347">
        <f t="shared" si="17"/>
        <v>1</v>
      </c>
    </row>
    <row r="35" spans="1:29" ht="15">
      <c r="A35" s="420"/>
      <c r="B35" s="372" t="s">
        <v>1699</v>
      </c>
      <c r="C35" s="1900"/>
      <c r="D35" s="383">
        <v>100</v>
      </c>
      <c r="E35" s="1901"/>
      <c r="F35" s="409">
        <f>SUMIF(107:107,E35,108:108)-SUMIF(107:107,C35,108:108)+100</f>
        <v>100</v>
      </c>
      <c r="G35" s="1900"/>
      <c r="H35" s="383">
        <f>SUMIF(107:107,G35,108:108)-SUMIF(107:107,C35,108:108)+100</f>
        <v>100</v>
      </c>
      <c r="I35" s="1901"/>
      <c r="J35" s="383">
        <f>SUMIF(107:107,I35,108:108)-SUMIF(107:107,C35,108:108)+100</f>
        <v>100</v>
      </c>
      <c r="K35" s="374"/>
      <c r="L35" s="2716"/>
      <c r="M35" s="2710"/>
      <c r="N35" s="2710"/>
      <c r="O35" s="2710"/>
      <c r="P35" s="3750"/>
      <c r="Q35" s="1346" t="str">
        <f t="shared" si="11"/>
        <v>建筑品质</v>
      </c>
      <c r="R35" s="702" t="s">
        <v>18</v>
      </c>
      <c r="S35" s="703">
        <f t="shared" si="12"/>
        <v>100</v>
      </c>
      <c r="T35" s="702" t="s">
        <v>18</v>
      </c>
      <c r="U35" s="703">
        <f t="shared" si="13"/>
        <v>100</v>
      </c>
      <c r="V35" s="702" t="s">
        <v>18</v>
      </c>
      <c r="W35" s="703">
        <f t="shared" si="14"/>
        <v>100</v>
      </c>
      <c r="X35" s="1349"/>
      <c r="Y35" s="3752"/>
      <c r="Z35" s="1350" t="str">
        <f t="shared" si="18"/>
        <v>建筑品质</v>
      </c>
      <c r="AA35" s="1347">
        <f t="shared" si="15"/>
        <v>1</v>
      </c>
      <c r="AB35" s="1347">
        <f t="shared" si="16"/>
        <v>1</v>
      </c>
      <c r="AC35" s="1347">
        <f t="shared" si="17"/>
        <v>1</v>
      </c>
    </row>
    <row r="36" spans="1:29" ht="15">
      <c r="A36" s="420"/>
      <c r="B36" s="372" t="s">
        <v>1700</v>
      </c>
      <c r="C36" s="1900"/>
      <c r="D36" s="383">
        <v>100</v>
      </c>
      <c r="E36" s="1901"/>
      <c r="F36" s="409">
        <f>SUMIF(109:109,E36,110:110)-SUMIF(109:109,C36,110:110)+100</f>
        <v>100</v>
      </c>
      <c r="G36" s="1900"/>
      <c r="H36" s="383">
        <f>SUMIF(109:109,G36,110:110)-SUMIF(109:109,C36,110:110)+100</f>
        <v>100</v>
      </c>
      <c r="I36" s="1901"/>
      <c r="J36" s="383">
        <f>SUMIF(109:109,I36,110:110)-SUMIF(109:109,C36,110:110)+100</f>
        <v>100</v>
      </c>
      <c r="K36" s="374"/>
      <c r="L36" s="2716"/>
      <c r="M36" s="2710"/>
      <c r="N36" s="2710"/>
      <c r="O36" s="2710"/>
      <c r="P36" s="3750"/>
      <c r="Q36" s="1346" t="str">
        <f t="shared" si="11"/>
        <v>公共部分装修</v>
      </c>
      <c r="R36" s="702" t="s">
        <v>18</v>
      </c>
      <c r="S36" s="703">
        <f t="shared" si="12"/>
        <v>100</v>
      </c>
      <c r="T36" s="702" t="s">
        <v>18</v>
      </c>
      <c r="U36" s="703">
        <f t="shared" si="13"/>
        <v>100</v>
      </c>
      <c r="V36" s="702" t="s">
        <v>18</v>
      </c>
      <c r="W36" s="703">
        <f t="shared" si="14"/>
        <v>100</v>
      </c>
      <c r="X36" s="1349"/>
      <c r="Y36" s="3752"/>
      <c r="Z36" s="1350" t="str">
        <f t="shared" si="18"/>
        <v>公共部分装修</v>
      </c>
      <c r="AA36" s="1347">
        <f t="shared" si="15"/>
        <v>1</v>
      </c>
      <c r="AB36" s="1347">
        <f t="shared" si="16"/>
        <v>1</v>
      </c>
      <c r="AC36" s="1347">
        <f t="shared" si="17"/>
        <v>1</v>
      </c>
    </row>
    <row r="37" spans="1:29" s="105"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1"/>
      <c r="M37" s="2712"/>
      <c r="N37" s="2712"/>
      <c r="O37" s="2712"/>
      <c r="P37" s="3750"/>
      <c r="Q37" s="1337" t="str">
        <f t="shared" si="11"/>
        <v>成新度</v>
      </c>
      <c r="R37" s="698" t="s">
        <v>18</v>
      </c>
      <c r="S37" s="699" t="e">
        <f t="shared" si="12"/>
        <v>#N/A</v>
      </c>
      <c r="T37" s="698" t="s">
        <v>18</v>
      </c>
      <c r="U37" s="699" t="e">
        <f t="shared" si="13"/>
        <v>#N/A</v>
      </c>
      <c r="V37" s="698" t="s">
        <v>18</v>
      </c>
      <c r="W37" s="699" t="e">
        <f t="shared" si="14"/>
        <v>#N/A</v>
      </c>
      <c r="X37" s="700"/>
      <c r="Y37" s="3752"/>
      <c r="Z37" s="52" t="str">
        <f t="shared" si="18"/>
        <v>成新度</v>
      </c>
      <c r="AA37" s="701" t="e">
        <f t="shared" si="15"/>
        <v>#N/A</v>
      </c>
      <c r="AB37" s="701" t="e">
        <f t="shared" si="16"/>
        <v>#N/A</v>
      </c>
      <c r="AC37" s="701" t="e">
        <f t="shared" si="17"/>
        <v>#N/A</v>
      </c>
    </row>
    <row r="38" spans="1:29" ht="15">
      <c r="A38" s="420"/>
      <c r="B38" s="372" t="s">
        <v>1702</v>
      </c>
      <c r="C38" s="1900"/>
      <c r="D38" s="383">
        <v>100</v>
      </c>
      <c r="E38" s="1901"/>
      <c r="F38" s="409">
        <f>SUMIF(114:114,E38,115:115)-SUMIF(114:114,C38,115:115)+100</f>
        <v>100</v>
      </c>
      <c r="G38" s="1900"/>
      <c r="H38" s="383">
        <f>SUMIF(114:114,G38,115:115)-SUMIF(114:114,C38,115:115)+100</f>
        <v>100</v>
      </c>
      <c r="I38" s="1901"/>
      <c r="J38" s="383">
        <f>SUMIF(114:114,I38,115:115)-SUMIF(114:114,C38,115:115)+100</f>
        <v>100</v>
      </c>
      <c r="K38" s="374"/>
      <c r="L38" s="2716"/>
      <c r="M38" s="2710"/>
      <c r="N38" s="2710"/>
      <c r="O38" s="2710"/>
      <c r="P38" s="3750" t="s">
        <v>1696</v>
      </c>
      <c r="Q38" s="1346" t="str">
        <f t="shared" si="11"/>
        <v>物业管理</v>
      </c>
      <c r="R38" s="702" t="s">
        <v>18</v>
      </c>
      <c r="S38" s="703">
        <f t="shared" si="12"/>
        <v>100</v>
      </c>
      <c r="T38" s="702" t="s">
        <v>18</v>
      </c>
      <c r="U38" s="703">
        <f t="shared" si="13"/>
        <v>100</v>
      </c>
      <c r="V38" s="702" t="s">
        <v>18</v>
      </c>
      <c r="W38" s="703">
        <f t="shared" si="14"/>
        <v>100</v>
      </c>
      <c r="X38" s="1349"/>
      <c r="Y38" s="3752" t="s">
        <v>1696</v>
      </c>
      <c r="Z38" s="1350" t="str">
        <f t="shared" si="18"/>
        <v>物业管理</v>
      </c>
      <c r="AA38" s="1347">
        <f t="shared" si="15"/>
        <v>1</v>
      </c>
      <c r="AB38" s="1347">
        <f t="shared" si="16"/>
        <v>1</v>
      </c>
      <c r="AC38" s="1347">
        <f t="shared" si="17"/>
        <v>1</v>
      </c>
    </row>
    <row r="39" spans="1:29" ht="15">
      <c r="A39" s="420"/>
      <c r="B39" s="372" t="s">
        <v>1703</v>
      </c>
      <c r="C39" s="1900"/>
      <c r="D39" s="383">
        <v>100</v>
      </c>
      <c r="E39" s="1901"/>
      <c r="F39" s="409">
        <f>SUMIF(116:116,E39,117:117)-SUMIF(116:116,C39,117:117)+100</f>
        <v>100</v>
      </c>
      <c r="G39" s="1900"/>
      <c r="H39" s="383">
        <f>SUMIF(116:116,G39,117:117)-SUMIF(116:116,C39,117:117)+100</f>
        <v>100</v>
      </c>
      <c r="I39" s="1901"/>
      <c r="J39" s="383">
        <f>SUMIF(116:116,I39,117:117)-SUMIF(116:116,C39,117:117)+100</f>
        <v>100</v>
      </c>
      <c r="K39" s="374"/>
      <c r="L39" s="2716"/>
      <c r="M39" s="2710"/>
      <c r="N39" s="2710"/>
      <c r="O39" s="2710"/>
      <c r="P39" s="3750"/>
      <c r="Q39" s="1346" t="str">
        <f t="shared" si="11"/>
        <v>市政基础设施</v>
      </c>
      <c r="R39" s="702" t="s">
        <v>18</v>
      </c>
      <c r="S39" s="703">
        <f t="shared" si="12"/>
        <v>100</v>
      </c>
      <c r="T39" s="702" t="s">
        <v>18</v>
      </c>
      <c r="U39" s="703">
        <f t="shared" si="13"/>
        <v>100</v>
      </c>
      <c r="V39" s="702" t="s">
        <v>18</v>
      </c>
      <c r="W39" s="703">
        <f t="shared" si="14"/>
        <v>100</v>
      </c>
      <c r="X39" s="1349"/>
      <c r="Y39" s="3752"/>
      <c r="Z39" s="1350" t="str">
        <f t="shared" si="18"/>
        <v>市政基础设施</v>
      </c>
      <c r="AA39" s="1347">
        <f t="shared" si="15"/>
        <v>1</v>
      </c>
      <c r="AB39" s="1347">
        <f t="shared" si="16"/>
        <v>1</v>
      </c>
      <c r="AC39" s="1347">
        <f t="shared" si="17"/>
        <v>1</v>
      </c>
    </row>
    <row r="40" spans="1:29" ht="15">
      <c r="A40" s="420"/>
      <c r="B40" s="372" t="s">
        <v>1704</v>
      </c>
      <c r="C40" s="1900"/>
      <c r="D40" s="383">
        <v>100</v>
      </c>
      <c r="E40" s="1901"/>
      <c r="F40" s="409">
        <f>SUMIF(118:118,E40,119:119)-SUMIF(118:118,C40,119:119)+100</f>
        <v>100</v>
      </c>
      <c r="G40" s="1900"/>
      <c r="H40" s="383">
        <f>SUMIF(118:118,G40,119:119)-SUMIF(118:118,C40,119:119)+100</f>
        <v>100</v>
      </c>
      <c r="I40" s="1901"/>
      <c r="J40" s="383">
        <f>SUMIF(118:118,I40,119:119)-SUMIF(118:118,C40,119:119)+100</f>
        <v>100</v>
      </c>
      <c r="K40" s="374"/>
      <c r="L40" s="2716"/>
      <c r="M40" s="2710"/>
      <c r="N40" s="2710"/>
      <c r="O40" s="2710"/>
      <c r="P40" s="3750"/>
      <c r="Q40" s="1346" t="str">
        <f t="shared" si="11"/>
        <v>房型</v>
      </c>
      <c r="R40" s="702" t="s">
        <v>18</v>
      </c>
      <c r="S40" s="703">
        <f t="shared" si="12"/>
        <v>100</v>
      </c>
      <c r="T40" s="702" t="s">
        <v>18</v>
      </c>
      <c r="U40" s="703">
        <f t="shared" si="13"/>
        <v>100</v>
      </c>
      <c r="V40" s="702" t="s">
        <v>18</v>
      </c>
      <c r="W40" s="703">
        <f t="shared" si="14"/>
        <v>100</v>
      </c>
      <c r="X40" s="1349"/>
      <c r="Y40" s="3752"/>
      <c r="Z40" s="1350" t="str">
        <f t="shared" si="18"/>
        <v>房型</v>
      </c>
      <c r="AA40" s="1347">
        <f t="shared" si="15"/>
        <v>1</v>
      </c>
      <c r="AB40" s="1347">
        <f t="shared" si="16"/>
        <v>1</v>
      </c>
      <c r="AC40" s="1347">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88"/>
      <c r="L41" s="2715"/>
      <c r="M41" s="2717"/>
      <c r="N41" s="2717"/>
      <c r="O41" s="2717"/>
      <c r="P41" s="3750"/>
      <c r="Q41" s="704" t="str">
        <f t="shared" si="11"/>
        <v>单套/主力户型建筑面积</v>
      </c>
      <c r="R41" s="705" t="s">
        <v>18</v>
      </c>
      <c r="S41" s="706">
        <f t="shared" si="12"/>
        <v>100</v>
      </c>
      <c r="T41" s="705" t="s">
        <v>18</v>
      </c>
      <c r="U41" s="706">
        <f t="shared" si="13"/>
        <v>100</v>
      </c>
      <c r="V41" s="705" t="s">
        <v>18</v>
      </c>
      <c r="W41" s="706">
        <f t="shared" si="14"/>
        <v>100</v>
      </c>
      <c r="X41" s="707"/>
      <c r="Y41" s="3752"/>
      <c r="Z41" s="708" t="str">
        <f t="shared" si="18"/>
        <v>单套/主力户型建筑面积</v>
      </c>
      <c r="AA41" s="1347">
        <f t="shared" si="15"/>
        <v>1</v>
      </c>
      <c r="AB41" s="1347">
        <f t="shared" si="16"/>
        <v>1</v>
      </c>
      <c r="AC41" s="1347">
        <f t="shared" si="17"/>
        <v>1</v>
      </c>
    </row>
    <row r="42" spans="1:29" ht="15">
      <c r="A42" s="420"/>
      <c r="B42" s="372" t="s">
        <v>1706</v>
      </c>
      <c r="C42" s="1900"/>
      <c r="D42" s="383">
        <v>100</v>
      </c>
      <c r="E42" s="1901"/>
      <c r="F42" s="409">
        <f>SUMIF(122:122,E42,123:123)-SUMIF(122:122,C42,123:123)+100</f>
        <v>100</v>
      </c>
      <c r="G42" s="1900"/>
      <c r="H42" s="383">
        <f>SUMIF(122:122,G42,123:123)-SUMIF(122:122,C42,123:123)+100</f>
        <v>100</v>
      </c>
      <c r="I42" s="1901"/>
      <c r="J42" s="383">
        <f>SUMIF(122:122,I42,123:123)-SUMIF(122:122,C42,123:123)+100</f>
        <v>100</v>
      </c>
      <c r="K42" s="374"/>
      <c r="L42" s="2716"/>
      <c r="M42" s="2710"/>
      <c r="N42" s="2710"/>
      <c r="O42" s="2710"/>
      <c r="P42" s="3750"/>
      <c r="Q42" s="1346" t="str">
        <f t="shared" si="11"/>
        <v>内部装修</v>
      </c>
      <c r="R42" s="702" t="s">
        <v>18</v>
      </c>
      <c r="S42" s="703">
        <f t="shared" si="12"/>
        <v>100</v>
      </c>
      <c r="T42" s="702" t="s">
        <v>18</v>
      </c>
      <c r="U42" s="703">
        <f t="shared" si="13"/>
        <v>100</v>
      </c>
      <c r="V42" s="702" t="s">
        <v>18</v>
      </c>
      <c r="W42" s="703">
        <f t="shared" si="14"/>
        <v>100</v>
      </c>
      <c r="X42" s="1349"/>
      <c r="Y42" s="3752"/>
      <c r="Z42" s="1350" t="str">
        <f t="shared" si="18"/>
        <v>内部装修</v>
      </c>
      <c r="AA42" s="1347">
        <f t="shared" si="15"/>
        <v>1</v>
      </c>
      <c r="AB42" s="1347">
        <f t="shared" si="16"/>
        <v>1</v>
      </c>
      <c r="AC42" s="1347">
        <f t="shared" si="17"/>
        <v>1</v>
      </c>
    </row>
    <row r="43" spans="1:29" ht="15">
      <c r="A43" s="420"/>
      <c r="B43" s="372" t="s">
        <v>1707</v>
      </c>
      <c r="C43" s="1900"/>
      <c r="D43" s="383">
        <v>100</v>
      </c>
      <c r="E43" s="1901"/>
      <c r="F43" s="409">
        <f>SUMIF(124:124,E43,125:125)-SUMIF(124:124,C43,125:125)+100</f>
        <v>100</v>
      </c>
      <c r="G43" s="1900"/>
      <c r="H43" s="383">
        <f>SUMIF(124:124,G43,125:125)-SUMIF(124:124,C43,125:125)+100</f>
        <v>100</v>
      </c>
      <c r="I43" s="1901"/>
      <c r="J43" s="383">
        <f>SUMIF(124:124,I43,125:125)-SUMIF(124:124,C43,125:125)+100</f>
        <v>100</v>
      </c>
      <c r="K43" s="374"/>
      <c r="L43" s="2716"/>
      <c r="M43" s="2710"/>
      <c r="N43" s="2710"/>
      <c r="O43" s="2710"/>
      <c r="P43" s="3750"/>
      <c r="Q43" s="1346" t="str">
        <f t="shared" si="11"/>
        <v>内部装修维护情况</v>
      </c>
      <c r="R43" s="702" t="s">
        <v>18</v>
      </c>
      <c r="S43" s="703">
        <f t="shared" si="12"/>
        <v>100</v>
      </c>
      <c r="T43" s="702" t="s">
        <v>18</v>
      </c>
      <c r="U43" s="703">
        <f t="shared" si="13"/>
        <v>100</v>
      </c>
      <c r="V43" s="702" t="s">
        <v>18</v>
      </c>
      <c r="W43" s="703">
        <f t="shared" si="14"/>
        <v>100</v>
      </c>
      <c r="X43" s="1349"/>
      <c r="Y43" s="3752"/>
      <c r="Z43" s="1350" t="str">
        <f t="shared" si="18"/>
        <v>内部装修维护情况</v>
      </c>
      <c r="AA43" s="1347">
        <f t="shared" si="15"/>
        <v>1</v>
      </c>
      <c r="AB43" s="1347">
        <f t="shared" si="16"/>
        <v>1</v>
      </c>
      <c r="AC43" s="1347">
        <f t="shared" si="17"/>
        <v>1</v>
      </c>
    </row>
    <row r="44" spans="1:29" s="105" customFormat="1" ht="15">
      <c r="A44" s="421"/>
      <c r="B44" s="1127">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88"/>
      <c r="L44" s="2711"/>
      <c r="M44" s="2712"/>
      <c r="N44" s="2712"/>
      <c r="O44" s="2712"/>
      <c r="P44" s="3750"/>
      <c r="Q44" s="1337">
        <f t="shared" si="11"/>
        <v>111</v>
      </c>
      <c r="R44" s="698" t="s">
        <v>18</v>
      </c>
      <c r="S44" s="699">
        <f t="shared" si="12"/>
        <v>100</v>
      </c>
      <c r="T44" s="698" t="s">
        <v>18</v>
      </c>
      <c r="U44" s="699">
        <f t="shared" si="13"/>
        <v>100</v>
      </c>
      <c r="V44" s="698" t="s">
        <v>18</v>
      </c>
      <c r="W44" s="699">
        <f t="shared" si="14"/>
        <v>100</v>
      </c>
      <c r="X44" s="700"/>
      <c r="Y44" s="3752"/>
      <c r="Z44" s="52">
        <f t="shared" si="18"/>
        <v>111</v>
      </c>
      <c r="AA44" s="701">
        <f t="shared" si="15"/>
        <v>1</v>
      </c>
      <c r="AB44" s="701">
        <f t="shared" si="16"/>
        <v>1</v>
      </c>
      <c r="AC44" s="701">
        <f t="shared" si="17"/>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8"/>
      <c r="L45" s="2716"/>
      <c r="M45" s="2710"/>
      <c r="N45" s="2710"/>
      <c r="O45" s="2710"/>
      <c r="P45" s="3750"/>
      <c r="Q45" s="1346">
        <f t="shared" si="11"/>
        <v>111</v>
      </c>
      <c r="R45" s="702" t="s">
        <v>18</v>
      </c>
      <c r="S45" s="703">
        <f t="shared" si="12"/>
        <v>100</v>
      </c>
      <c r="T45" s="702" t="s">
        <v>18</v>
      </c>
      <c r="U45" s="703">
        <f t="shared" si="13"/>
        <v>100</v>
      </c>
      <c r="V45" s="702" t="s">
        <v>18</v>
      </c>
      <c r="W45" s="703">
        <f t="shared" si="14"/>
        <v>100</v>
      </c>
      <c r="X45" s="1349"/>
      <c r="Y45" s="3752"/>
      <c r="Z45" s="1350">
        <f t="shared" si="18"/>
        <v>111</v>
      </c>
      <c r="AA45" s="1347">
        <f t="shared" si="15"/>
        <v>1</v>
      </c>
      <c r="AB45" s="1347">
        <f t="shared" si="16"/>
        <v>1</v>
      </c>
      <c r="AC45" s="1347">
        <f t="shared" si="17"/>
        <v>1</v>
      </c>
    </row>
    <row r="46" spans="1:29" ht="15.75" thickBot="1">
      <c r="A46" s="426"/>
      <c r="B46" s="1889">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8"/>
      <c r="L46" s="2716"/>
      <c r="M46" s="2710"/>
      <c r="N46" s="2710"/>
      <c r="O46" s="2710"/>
      <c r="P46" s="3751"/>
      <c r="Q46" s="1346">
        <f t="shared" si="11"/>
        <v>111</v>
      </c>
      <c r="R46" s="702" t="s">
        <v>17</v>
      </c>
      <c r="S46" s="703">
        <f t="shared" si="12"/>
        <v>100</v>
      </c>
      <c r="T46" s="702" t="s">
        <v>17</v>
      </c>
      <c r="U46" s="703">
        <f t="shared" si="13"/>
        <v>100</v>
      </c>
      <c r="V46" s="702" t="s">
        <v>17</v>
      </c>
      <c r="W46" s="703">
        <f t="shared" si="14"/>
        <v>100</v>
      </c>
      <c r="X46" s="1349"/>
      <c r="Y46" s="3753"/>
      <c r="Z46" s="1350">
        <f t="shared" si="18"/>
        <v>111</v>
      </c>
      <c r="AA46" s="1347">
        <f t="shared" si="15"/>
        <v>1</v>
      </c>
      <c r="AB46" s="1347">
        <f t="shared" si="16"/>
        <v>1</v>
      </c>
      <c r="AC46" s="1347">
        <f t="shared" si="17"/>
        <v>1</v>
      </c>
    </row>
    <row r="47" spans="1:29" ht="15">
      <c r="A47" s="427" t="s">
        <v>1708</v>
      </c>
      <c r="B47" s="428"/>
      <c r="C47" s="1148" t="s">
        <v>16</v>
      </c>
      <c r="D47" s="1149"/>
      <c r="E47" s="1150"/>
      <c r="F47" s="1151"/>
      <c r="G47" s="1152"/>
      <c r="H47" s="1153"/>
      <c r="I47" s="1150"/>
      <c r="J47" s="1153"/>
      <c r="K47" s="1908"/>
      <c r="L47" s="2718"/>
      <c r="M47" s="2719"/>
      <c r="N47" s="2710"/>
      <c r="O47" s="2719"/>
      <c r="P47" s="3745" t="str">
        <f>A47</f>
        <v>成交单价（元/平方米）</v>
      </c>
      <c r="Q47" s="3745"/>
      <c r="R47" s="3746">
        <f>E47</f>
        <v>0</v>
      </c>
      <c r="S47" s="3746"/>
      <c r="T47" s="3746">
        <f>G47</f>
        <v>0</v>
      </c>
      <c r="U47" s="3746"/>
      <c r="V47" s="3746">
        <f>I47</f>
        <v>0</v>
      </c>
      <c r="W47" s="3746"/>
      <c r="X47" s="687"/>
      <c r="Y47" s="709"/>
      <c r="Z47" s="687"/>
      <c r="AA47" s="687"/>
      <c r="AB47" s="687"/>
      <c r="AC47" s="687"/>
    </row>
    <row r="48" spans="1:29" ht="15.75" thickBot="1">
      <c r="A48" s="434" t="s">
        <v>1709</v>
      </c>
      <c r="B48" s="435"/>
      <c r="C48" s="1154" t="e">
        <f>R49</f>
        <v>#DIV/0!</v>
      </c>
      <c r="D48" s="2311" t="s">
        <v>2138</v>
      </c>
      <c r="E48" s="1155" t="e">
        <f>R48</f>
        <v>#DIV/0!</v>
      </c>
      <c r="F48" s="2312"/>
      <c r="G48" s="1154" t="e">
        <f>T48</f>
        <v>#DIV/0!</v>
      </c>
      <c r="H48" s="2312"/>
      <c r="I48" s="1155" t="e">
        <f>V48</f>
        <v>#DIV/0!</v>
      </c>
      <c r="J48" s="2312"/>
      <c r="K48" s="2313">
        <f>F48+H48+J48</f>
        <v>0</v>
      </c>
      <c r="L48" s="2718"/>
      <c r="M48" s="2719"/>
      <c r="N48" s="2719"/>
      <c r="O48" s="2719"/>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87"/>
      <c r="Y48" s="687"/>
      <c r="Z48" s="687"/>
      <c r="AA48" s="687"/>
      <c r="AB48" s="687"/>
      <c r="AC48" s="687"/>
    </row>
    <row r="49" spans="1:29" ht="15.75" thickBot="1">
      <c r="A49" s="438" t="s">
        <v>1710</v>
      </c>
      <c r="B49" s="439"/>
      <c r="C49" s="1156" t="e">
        <f>R49</f>
        <v>#DIV/0!</v>
      </c>
      <c r="D49" s="1157"/>
      <c r="E49" s="1157"/>
      <c r="F49" s="1157"/>
      <c r="G49" s="1157"/>
      <c r="H49" s="1157"/>
      <c r="I49" s="1157"/>
      <c r="J49" s="1157"/>
      <c r="K49" s="1909"/>
      <c r="L49" s="2718"/>
      <c r="M49" s="2719"/>
      <c r="N49" s="2719"/>
      <c r="O49" s="2719"/>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87"/>
      <c r="Y49" s="687"/>
      <c r="Z49" s="687"/>
      <c r="AA49" s="687"/>
      <c r="AB49" s="687"/>
      <c r="AC49" s="687"/>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4"/>
      <c r="L52" s="2720"/>
      <c r="M52" s="2719"/>
      <c r="N52" s="2719"/>
      <c r="O52" s="2719"/>
    </row>
    <row r="53" spans="1:29" ht="13.5" customHeight="1">
      <c r="A53" s="2719"/>
      <c r="B53" s="2719"/>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4"/>
      <c r="L53" s="2720"/>
      <c r="M53" s="2719"/>
      <c r="N53" s="2719"/>
      <c r="O53" s="2719"/>
    </row>
    <row r="54" spans="1:29" s="448" customFormat="1" ht="13.5" customHeight="1">
      <c r="A54" s="2722"/>
      <c r="B54" s="2722"/>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7"/>
      <c r="L54" s="2721"/>
      <c r="M54" s="2722"/>
      <c r="N54" s="2722"/>
      <c r="O54" s="2722"/>
      <c r="P54" s="1911"/>
    </row>
    <row r="55" spans="1:29" s="448"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91" t="s">
        <v>1714</v>
      </c>
      <c r="B57" s="687"/>
      <c r="C57" s="692"/>
      <c r="D57" s="692"/>
      <c r="E57" s="692"/>
      <c r="F57" s="693"/>
      <c r="G57" s="693"/>
      <c r="H57" s="692"/>
      <c r="I57" s="692"/>
      <c r="J57" s="692"/>
      <c r="K57" s="935"/>
      <c r="L57" s="936"/>
      <c r="M57" s="934"/>
      <c r="N57" s="934"/>
      <c r="O57" s="934"/>
      <c r="P57" s="1912"/>
      <c r="Q57" s="450"/>
    </row>
    <row r="58" spans="1:29" s="454" customFormat="1" ht="15">
      <c r="A58" s="451" t="s">
        <v>1715</v>
      </c>
      <c r="B58" s="452"/>
      <c r="C58" s="1180" t="str">
        <f>YEAR(C7)&amp;"-"&amp;MONTH(C7)</f>
        <v>2024-9</v>
      </c>
      <c r="D58" s="1179">
        <f>EDATE(C58,-1)</f>
        <v>45505</v>
      </c>
      <c r="E58" s="1179">
        <f>EDATE(D58,-1)</f>
        <v>45474</v>
      </c>
      <c r="F58" s="1179">
        <f t="shared" ref="F58:O58" si="19">EDATE(E58,-1)</f>
        <v>45444</v>
      </c>
      <c r="G58" s="1179">
        <f t="shared" si="19"/>
        <v>45413</v>
      </c>
      <c r="H58" s="1179">
        <f t="shared" si="19"/>
        <v>45383</v>
      </c>
      <c r="I58" s="1179">
        <f t="shared" si="19"/>
        <v>45352</v>
      </c>
      <c r="J58" s="1179">
        <f t="shared" si="19"/>
        <v>45323</v>
      </c>
      <c r="K58" s="1179">
        <f t="shared" si="19"/>
        <v>45292</v>
      </c>
      <c r="L58" s="1179">
        <f t="shared" si="19"/>
        <v>45261</v>
      </c>
      <c r="M58" s="1179">
        <f t="shared" si="19"/>
        <v>45231</v>
      </c>
      <c r="N58" s="1179">
        <f t="shared" si="19"/>
        <v>45200</v>
      </c>
      <c r="O58" s="1179">
        <f t="shared" si="19"/>
        <v>45170</v>
      </c>
      <c r="P58" s="1175"/>
    </row>
    <row r="59" spans="1:29" s="105" customFormat="1" ht="15">
      <c r="A59" s="455"/>
      <c r="B59" s="1913"/>
      <c r="C59" s="1177">
        <v>100</v>
      </c>
      <c r="D59" s="457"/>
      <c r="E59" s="458"/>
      <c r="F59" s="458"/>
      <c r="G59" s="458"/>
      <c r="H59" s="458"/>
      <c r="I59" s="458"/>
      <c r="J59" s="458"/>
      <c r="K59" s="458"/>
      <c r="L59" s="458"/>
      <c r="M59" s="459"/>
      <c r="N59" s="458"/>
      <c r="O59" s="459"/>
      <c r="P59" s="1914"/>
    </row>
    <row r="60" spans="1:29" s="105" customFormat="1" ht="15.75" thickBot="1">
      <c r="A60" s="461" t="s">
        <v>1716</v>
      </c>
      <c r="B60" s="462"/>
      <c r="C60" s="463"/>
      <c r="D60" s="464"/>
      <c r="E60" s="464"/>
      <c r="F60" s="464"/>
      <c r="G60" s="464"/>
      <c r="H60" s="464"/>
      <c r="I60" s="464"/>
      <c r="J60" s="464"/>
      <c r="K60" s="464"/>
      <c r="L60" s="464"/>
      <c r="M60" s="465"/>
      <c r="N60" s="464"/>
      <c r="O60" s="465"/>
      <c r="P60" s="1914"/>
      <c r="Q60" s="450"/>
    </row>
    <row r="61" spans="1:29" s="105" customFormat="1" ht="15">
      <c r="A61" s="467" t="s">
        <v>1717</v>
      </c>
      <c r="B61" s="456"/>
      <c r="C61" s="468" t="s">
        <v>1718</v>
      </c>
      <c r="D61" s="469"/>
      <c r="E61" s="469"/>
      <c r="F61" s="469"/>
      <c r="G61" s="469"/>
      <c r="H61" s="469"/>
      <c r="I61" s="469"/>
      <c r="J61" s="469"/>
      <c r="K61" s="469"/>
      <c r="L61" s="470"/>
      <c r="M61" s="471"/>
      <c r="N61" s="926"/>
      <c r="O61" s="926"/>
      <c r="P61" s="1915"/>
      <c r="Q61" s="450"/>
    </row>
    <row r="62" spans="1:29" s="105" customFormat="1" ht="15.75" thickBot="1">
      <c r="A62" s="467"/>
      <c r="B62" s="456"/>
      <c r="C62" s="457">
        <v>100</v>
      </c>
      <c r="D62" s="458"/>
      <c r="E62" s="458"/>
      <c r="F62" s="458"/>
      <c r="G62" s="458"/>
      <c r="H62" s="458"/>
      <c r="I62" s="458"/>
      <c r="J62" s="458"/>
      <c r="K62" s="458"/>
      <c r="L62" s="458"/>
      <c r="M62" s="460"/>
      <c r="N62" s="926"/>
      <c r="O62" s="926"/>
      <c r="P62" s="1914"/>
      <c r="Q62" s="450"/>
    </row>
    <row r="63" spans="1:29">
      <c r="A63" s="473" t="s">
        <v>1719</v>
      </c>
      <c r="B63" s="474" t="s">
        <v>1685</v>
      </c>
      <c r="C63" s="475">
        <f>C9</f>
        <v>0</v>
      </c>
      <c r="D63" s="476"/>
      <c r="E63" s="476"/>
      <c r="F63" s="476"/>
      <c r="G63" s="476"/>
      <c r="H63" s="476"/>
      <c r="I63" s="476"/>
      <c r="J63" s="476"/>
      <c r="K63" s="477"/>
      <c r="L63" s="478"/>
      <c r="M63" s="479"/>
      <c r="N63" s="927"/>
      <c r="O63" s="927"/>
      <c r="P63" s="1916"/>
      <c r="Q63" s="450"/>
    </row>
    <row r="64" spans="1:29" ht="15.75" thickBot="1">
      <c r="A64" s="480"/>
      <c r="B64" s="481"/>
      <c r="C64" s="482">
        <v>100</v>
      </c>
      <c r="D64" s="482"/>
      <c r="E64" s="482"/>
      <c r="F64" s="482"/>
      <c r="G64" s="482"/>
      <c r="H64" s="482"/>
      <c r="I64" s="482"/>
      <c r="J64" s="482"/>
      <c r="K64" s="482"/>
      <c r="L64" s="482"/>
      <c r="M64" s="483"/>
      <c r="N64" s="928"/>
      <c r="O64" s="928"/>
      <c r="P64" s="1916"/>
      <c r="Q64" s="450"/>
    </row>
    <row r="65" spans="1:17" ht="27.75" thickTop="1">
      <c r="A65" s="480"/>
      <c r="B65" s="484" t="s">
        <v>1688</v>
      </c>
      <c r="C65" s="529"/>
      <c r="D65" s="529"/>
      <c r="E65" s="529"/>
      <c r="F65" s="529"/>
      <c r="G65" s="529"/>
      <c r="H65" s="529"/>
      <c r="I65" s="529"/>
      <c r="J65" s="529"/>
      <c r="K65" s="529"/>
      <c r="L65" s="529"/>
      <c r="M65" s="529"/>
      <c r="N65" s="928"/>
      <c r="O65" s="928"/>
      <c r="P65" s="1916"/>
      <c r="Q65" s="450"/>
    </row>
    <row r="66" spans="1:17" ht="15.75" thickBot="1">
      <c r="A66" s="480"/>
      <c r="B66" s="489"/>
      <c r="C66" s="482"/>
      <c r="D66" s="482"/>
      <c r="E66" s="482"/>
      <c r="F66" s="482"/>
      <c r="G66" s="482"/>
      <c r="H66" s="482"/>
      <c r="I66" s="482"/>
      <c r="J66" s="482"/>
      <c r="K66" s="482"/>
      <c r="L66" s="482"/>
      <c r="M66" s="483"/>
      <c r="N66" s="928"/>
      <c r="O66" s="928"/>
      <c r="P66" s="1916"/>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28"/>
      <c r="O67" s="928"/>
      <c r="P67" s="1916"/>
      <c r="Q67" s="450"/>
    </row>
    <row r="68" spans="1:17" ht="15">
      <c r="A68" s="480"/>
      <c r="B68" s="494"/>
      <c r="C68" s="495"/>
      <c r="D68" s="495"/>
      <c r="E68" s="495"/>
      <c r="F68" s="495"/>
      <c r="G68" s="495"/>
      <c r="H68" s="495"/>
      <c r="I68" s="495"/>
      <c r="J68" s="495"/>
      <c r="K68" s="496"/>
      <c r="L68" s="497"/>
      <c r="M68" s="498"/>
      <c r="N68" s="927"/>
      <c r="O68" s="927"/>
      <c r="P68" s="1916"/>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8"/>
      <c r="O69" s="928"/>
      <c r="P69" s="1916"/>
      <c r="Q69" s="450"/>
    </row>
    <row r="70" spans="1:17" s="419" customFormat="1" ht="15.75" thickTop="1">
      <c r="A70" s="499"/>
      <c r="B70" s="484">
        <f>B12</f>
        <v>111</v>
      </c>
      <c r="C70" s="500"/>
      <c r="D70" s="500"/>
      <c r="E70" s="500"/>
      <c r="F70" s="500"/>
      <c r="G70" s="500"/>
      <c r="H70" s="501"/>
      <c r="I70" s="501"/>
      <c r="J70" s="501"/>
      <c r="K70" s="501"/>
      <c r="L70" s="502"/>
      <c r="M70" s="503"/>
      <c r="N70" s="929"/>
      <c r="O70" s="929"/>
      <c r="P70" s="1917"/>
      <c r="Q70" s="505"/>
    </row>
    <row r="71" spans="1:17" s="419" customFormat="1" ht="15.75" thickBot="1">
      <c r="A71" s="499"/>
      <c r="B71" s="489"/>
      <c r="C71" s="506"/>
      <c r="D71" s="482"/>
      <c r="E71" s="482"/>
      <c r="F71" s="482"/>
      <c r="G71" s="482"/>
      <c r="H71" s="482"/>
      <c r="I71" s="482"/>
      <c r="J71" s="482"/>
      <c r="K71" s="482"/>
      <c r="L71" s="482"/>
      <c r="M71" s="483"/>
      <c r="N71" s="928"/>
      <c r="O71" s="928"/>
      <c r="P71" s="1917"/>
      <c r="Q71" s="505"/>
    </row>
    <row r="72" spans="1:17" s="419" customFormat="1" ht="15.75" thickTop="1">
      <c r="A72" s="499"/>
      <c r="B72" s="484">
        <f>B13</f>
        <v>111</v>
      </c>
      <c r="C72" s="500"/>
      <c r="D72" s="500"/>
      <c r="E72" s="500"/>
      <c r="F72" s="500"/>
      <c r="G72" s="500"/>
      <c r="H72" s="501"/>
      <c r="I72" s="501"/>
      <c r="J72" s="501"/>
      <c r="K72" s="501"/>
      <c r="L72" s="502"/>
      <c r="M72" s="503"/>
      <c r="N72" s="929"/>
      <c r="O72" s="929"/>
      <c r="P72" s="1918"/>
      <c r="Q72" s="507"/>
    </row>
    <row r="73" spans="1:17" s="419" customFormat="1" ht="15.75" thickBot="1">
      <c r="A73" s="499"/>
      <c r="B73" s="489"/>
      <c r="C73" s="506"/>
      <c r="D73" s="506"/>
      <c r="E73" s="506"/>
      <c r="F73" s="506"/>
      <c r="G73" s="506"/>
      <c r="H73" s="508"/>
      <c r="I73" s="508"/>
      <c r="J73" s="508"/>
      <c r="K73" s="508"/>
      <c r="L73" s="508"/>
      <c r="M73" s="509"/>
      <c r="N73" s="929"/>
      <c r="O73" s="929"/>
      <c r="P73" s="1917"/>
      <c r="Q73" s="505"/>
    </row>
    <row r="74" spans="1:17" s="419" customFormat="1" ht="15.75" thickTop="1">
      <c r="A74" s="499"/>
      <c r="B74" s="492">
        <f>B14</f>
        <v>111</v>
      </c>
      <c r="C74" s="500"/>
      <c r="D74" s="500"/>
      <c r="E74" s="500"/>
      <c r="F74" s="500"/>
      <c r="G74" s="469"/>
      <c r="H74" s="510"/>
      <c r="I74" s="510"/>
      <c r="J74" s="510"/>
      <c r="K74" s="510"/>
      <c r="L74" s="511"/>
      <c r="M74" s="512"/>
      <c r="N74" s="929"/>
      <c r="O74" s="929"/>
      <c r="P74" s="1919"/>
      <c r="Q74" s="505"/>
    </row>
    <row r="75" spans="1:17" s="419" customFormat="1" ht="15.75" thickBot="1">
      <c r="A75" s="514"/>
      <c r="B75" s="515"/>
      <c r="C75" s="516"/>
      <c r="D75" s="516"/>
      <c r="E75" s="516"/>
      <c r="F75" s="516"/>
      <c r="G75" s="516"/>
      <c r="H75" s="517"/>
      <c r="I75" s="517"/>
      <c r="J75" s="517"/>
      <c r="K75" s="517"/>
      <c r="L75" s="517"/>
      <c r="M75" s="518"/>
      <c r="N75" s="929"/>
      <c r="O75" s="929"/>
      <c r="P75" s="1917"/>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7"/>
      <c r="O76" s="927"/>
      <c r="P76" s="1920"/>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28"/>
      <c r="O77" s="928"/>
      <c r="P77" s="1916"/>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7"/>
      <c r="O78" s="927"/>
      <c r="P78" s="1916"/>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28"/>
      <c r="O79" s="928"/>
      <c r="P79" s="1916"/>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7"/>
      <c r="O80" s="927"/>
      <c r="P80" s="1916"/>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28"/>
      <c r="O81" s="928"/>
      <c r="P81" s="1916"/>
      <c r="Q81" s="450"/>
    </row>
    <row r="82" spans="1:17" ht="15.75" thickTop="1">
      <c r="A82" s="480"/>
      <c r="B82" s="492" t="s">
        <v>1260</v>
      </c>
      <c r="C82" s="485" t="s">
        <v>1728</v>
      </c>
      <c r="D82" s="485" t="s">
        <v>1729</v>
      </c>
      <c r="E82" s="485" t="s">
        <v>1730</v>
      </c>
      <c r="F82" s="485" t="s">
        <v>1731</v>
      </c>
      <c r="G82" s="485" t="s">
        <v>1732</v>
      </c>
      <c r="H82" s="485"/>
      <c r="I82" s="485"/>
      <c r="J82" s="485"/>
      <c r="K82" s="485"/>
      <c r="L82" s="485"/>
      <c r="M82" s="1123"/>
      <c r="N82" s="928"/>
      <c r="O82" s="928"/>
      <c r="P82" s="1916"/>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28"/>
      <c r="O83" s="928"/>
      <c r="P83" s="1916"/>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7"/>
      <c r="O84" s="927"/>
      <c r="P84" s="1916"/>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28"/>
      <c r="O85" s="928"/>
      <c r="P85" s="1916"/>
      <c r="Q85" s="450"/>
    </row>
    <row r="86" spans="1:17" s="105" customFormat="1" ht="15.75" thickTop="1">
      <c r="A86" s="525"/>
      <c r="B86" s="484" t="s">
        <v>1734</v>
      </c>
      <c r="C86" s="500"/>
      <c r="D86" s="500"/>
      <c r="E86" s="500"/>
      <c r="F86" s="500"/>
      <c r="G86" s="500"/>
      <c r="H86" s="500"/>
      <c r="I86" s="500"/>
      <c r="J86" s="500"/>
      <c r="K86" s="500"/>
      <c r="L86" s="526"/>
      <c r="M86" s="527"/>
      <c r="N86" s="926"/>
      <c r="O86" s="926"/>
      <c r="P86" s="1916"/>
      <c r="Q86" s="450"/>
    </row>
    <row r="87" spans="1:17" s="105"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8"/>
      <c r="O87" s="928"/>
      <c r="P87" s="1916"/>
      <c r="Q87" s="450"/>
    </row>
    <row r="88" spans="1:17" s="105" customFormat="1" ht="15.75" thickTop="1">
      <c r="A88" s="525"/>
      <c r="B88" s="484" t="s">
        <v>1735</v>
      </c>
      <c r="C88" s="500"/>
      <c r="D88" s="500"/>
      <c r="E88" s="500"/>
      <c r="F88" s="1921"/>
      <c r="G88" s="500"/>
      <c r="H88" s="500"/>
      <c r="I88" s="500"/>
      <c r="J88" s="500"/>
      <c r="K88" s="500"/>
      <c r="L88" s="500"/>
      <c r="M88" s="527"/>
      <c r="N88" s="926"/>
      <c r="O88" s="926"/>
      <c r="P88" s="1916"/>
      <c r="Q88" s="450"/>
    </row>
    <row r="89" spans="1:17" s="105"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8"/>
      <c r="O89" s="928"/>
      <c r="P89" s="1916"/>
      <c r="Q89" s="450"/>
    </row>
    <row r="90" spans="1:17" s="419" customFormat="1" ht="15.75" thickTop="1">
      <c r="A90" s="499"/>
      <c r="B90" s="484">
        <f>B27</f>
        <v>111</v>
      </c>
      <c r="C90" s="500"/>
      <c r="D90" s="500"/>
      <c r="E90" s="500"/>
      <c r="F90" s="500"/>
      <c r="G90" s="500"/>
      <c r="H90" s="501"/>
      <c r="I90" s="501"/>
      <c r="J90" s="501"/>
      <c r="K90" s="501"/>
      <c r="L90" s="502"/>
      <c r="M90" s="503"/>
      <c r="N90" s="929"/>
      <c r="O90" s="929"/>
      <c r="P90" s="1917"/>
      <c r="Q90" s="505"/>
    </row>
    <row r="91" spans="1:17" s="419" customFormat="1" ht="15.75" thickBot="1">
      <c r="A91" s="499"/>
      <c r="B91" s="489"/>
      <c r="C91" s="506"/>
      <c r="D91" s="506"/>
      <c r="E91" s="506"/>
      <c r="F91" s="506"/>
      <c r="G91" s="506"/>
      <c r="H91" s="508"/>
      <c r="I91" s="508"/>
      <c r="J91" s="508"/>
      <c r="K91" s="508"/>
      <c r="L91" s="508"/>
      <c r="M91" s="509"/>
      <c r="N91" s="929"/>
      <c r="O91" s="929"/>
      <c r="P91" s="1917"/>
      <c r="Q91" s="505"/>
    </row>
    <row r="92" spans="1:17" ht="15.75" thickTop="1">
      <c r="A92" s="480"/>
      <c r="B92" s="484">
        <f>B28</f>
        <v>111</v>
      </c>
      <c r="C92" s="500"/>
      <c r="D92" s="500"/>
      <c r="E92" s="500"/>
      <c r="F92" s="500"/>
      <c r="G92" s="529"/>
      <c r="H92" s="529"/>
      <c r="I92" s="529"/>
      <c r="J92" s="529"/>
      <c r="K92" s="530"/>
      <c r="L92" s="531"/>
      <c r="M92" s="532"/>
      <c r="N92" s="927"/>
      <c r="O92" s="927"/>
      <c r="P92" s="1916"/>
      <c r="Q92" s="450"/>
    </row>
    <row r="93" spans="1:17" ht="15.75" thickBot="1">
      <c r="A93" s="480"/>
      <c r="B93" s="489"/>
      <c r="C93" s="506"/>
      <c r="D93" s="482"/>
      <c r="E93" s="482"/>
      <c r="F93" s="482"/>
      <c r="G93" s="482"/>
      <c r="H93" s="482"/>
      <c r="I93" s="482"/>
      <c r="J93" s="482"/>
      <c r="K93" s="482"/>
      <c r="L93" s="482"/>
      <c r="M93" s="483"/>
      <c r="N93" s="928"/>
      <c r="O93" s="928"/>
      <c r="P93" s="1916"/>
      <c r="Q93" s="450"/>
    </row>
    <row r="94" spans="1:17" ht="15.75" thickTop="1">
      <c r="A94" s="480"/>
      <c r="B94" s="484">
        <f>B29</f>
        <v>111</v>
      </c>
      <c r="C94" s="500"/>
      <c r="D94" s="500"/>
      <c r="E94" s="500"/>
      <c r="F94" s="500"/>
      <c r="G94" s="529"/>
      <c r="H94" s="529"/>
      <c r="I94" s="529"/>
      <c r="J94" s="529"/>
      <c r="K94" s="530"/>
      <c r="L94" s="531"/>
      <c r="M94" s="532"/>
      <c r="N94" s="927"/>
      <c r="O94" s="927"/>
      <c r="P94" s="1916"/>
      <c r="Q94" s="450"/>
    </row>
    <row r="95" spans="1:17" ht="15.75" thickBot="1">
      <c r="A95" s="480"/>
      <c r="B95" s="489"/>
      <c r="C95" s="506"/>
      <c r="D95" s="506"/>
      <c r="E95" s="506"/>
      <c r="F95" s="506"/>
      <c r="G95" s="482"/>
      <c r="H95" s="482"/>
      <c r="I95" s="482"/>
      <c r="J95" s="482"/>
      <c r="K95" s="482"/>
      <c r="L95" s="482"/>
      <c r="M95" s="483"/>
      <c r="N95" s="928"/>
      <c r="O95" s="928"/>
      <c r="P95" s="1916"/>
      <c r="Q95" s="450"/>
    </row>
    <row r="96" spans="1:17" ht="15.75" thickTop="1">
      <c r="A96" s="480"/>
      <c r="B96" s="484">
        <f>B30</f>
        <v>111</v>
      </c>
      <c r="C96" s="500"/>
      <c r="D96" s="500"/>
      <c r="E96" s="500"/>
      <c r="F96" s="500"/>
      <c r="G96" s="529"/>
      <c r="H96" s="529"/>
      <c r="I96" s="529"/>
      <c r="J96" s="529"/>
      <c r="K96" s="530"/>
      <c r="L96" s="531"/>
      <c r="M96" s="532"/>
      <c r="N96" s="927"/>
      <c r="O96" s="927"/>
      <c r="P96" s="1916"/>
      <c r="Q96" s="450"/>
    </row>
    <row r="97" spans="1:17" ht="15.75" thickBot="1">
      <c r="A97" s="480"/>
      <c r="B97" s="489"/>
      <c r="C97" s="516"/>
      <c r="D97" s="516"/>
      <c r="E97" s="516"/>
      <c r="F97" s="516"/>
      <c r="G97" s="482"/>
      <c r="H97" s="482"/>
      <c r="I97" s="482"/>
      <c r="J97" s="482"/>
      <c r="K97" s="482"/>
      <c r="L97" s="482"/>
      <c r="M97" s="483"/>
      <c r="N97" s="928"/>
      <c r="O97" s="928"/>
      <c r="P97" s="1916"/>
      <c r="Q97" s="450"/>
    </row>
    <row r="98" spans="1:17" ht="15.75" thickTop="1">
      <c r="A98" s="480"/>
      <c r="B98" s="492">
        <f>B31</f>
        <v>111</v>
      </c>
      <c r="C98" s="533"/>
      <c r="D98" s="533"/>
      <c r="E98" s="533"/>
      <c r="F98" s="533"/>
      <c r="G98" s="533"/>
      <c r="H98" s="533"/>
      <c r="I98" s="533"/>
      <c r="J98" s="533"/>
      <c r="K98" s="534"/>
      <c r="L98" s="535"/>
      <c r="M98" s="536"/>
      <c r="N98" s="927"/>
      <c r="O98" s="927"/>
      <c r="P98" s="1916"/>
      <c r="Q98" s="450"/>
    </row>
    <row r="99" spans="1:17" ht="15.75" thickBot="1">
      <c r="A99" s="1922"/>
      <c r="B99" s="515"/>
      <c r="C99" s="537"/>
      <c r="D99" s="537"/>
      <c r="E99" s="537"/>
      <c r="F99" s="537"/>
      <c r="G99" s="537"/>
      <c r="H99" s="537"/>
      <c r="I99" s="537"/>
      <c r="J99" s="537"/>
      <c r="K99" s="537"/>
      <c r="L99" s="537"/>
      <c r="M99" s="538"/>
      <c r="N99" s="928"/>
      <c r="O99" s="928"/>
      <c r="P99" s="1916"/>
      <c r="Q99" s="450"/>
    </row>
    <row r="100" spans="1:17">
      <c r="A100" s="473" t="s">
        <v>1694</v>
      </c>
      <c r="B100" s="474" t="s">
        <v>1736</v>
      </c>
      <c r="C100" s="476"/>
      <c r="D100" s="476"/>
      <c r="E100" s="476"/>
      <c r="F100" s="476"/>
      <c r="G100" s="476"/>
      <c r="H100" s="476"/>
      <c r="I100" s="476"/>
      <c r="J100" s="476"/>
      <c r="K100" s="477"/>
      <c r="L100" s="478"/>
      <c r="M100" s="479"/>
      <c r="N100" s="927"/>
      <c r="O100" s="927"/>
      <c r="P100" s="1916"/>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28"/>
      <c r="O101" s="928"/>
      <c r="P101" s="1916"/>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6"/>
      <c r="O102" s="926"/>
      <c r="P102" s="1916"/>
      <c r="Q102" s="450"/>
    </row>
    <row r="103" spans="1:17" s="419" customFormat="1">
      <c r="A103" s="539"/>
      <c r="B103" s="540"/>
      <c r="C103" s="541"/>
      <c r="D103" s="541"/>
      <c r="E103" s="541"/>
      <c r="F103" s="541"/>
      <c r="G103" s="541"/>
      <c r="H103" s="541"/>
      <c r="I103" s="541"/>
      <c r="J103" s="542"/>
      <c r="K103" s="542"/>
      <c r="L103" s="543"/>
      <c r="M103" s="544"/>
      <c r="N103" s="929"/>
      <c r="O103" s="929"/>
      <c r="P103" s="1917"/>
      <c r="Q103" s="505"/>
    </row>
    <row r="104" spans="1:17" s="419" customFormat="1" ht="15.75" thickBot="1">
      <c r="A104" s="499"/>
      <c r="B104" s="489"/>
      <c r="C104" s="506"/>
      <c r="D104" s="482"/>
      <c r="E104" s="482"/>
      <c r="F104" s="482"/>
      <c r="G104" s="482"/>
      <c r="H104" s="482"/>
      <c r="I104" s="482"/>
      <c r="J104" s="482"/>
      <c r="K104" s="482"/>
      <c r="L104" s="482"/>
      <c r="M104" s="482"/>
      <c r="N104" s="928"/>
      <c r="O104" s="928"/>
      <c r="P104" s="1917"/>
      <c r="Q104" s="505"/>
    </row>
    <row r="105" spans="1:17" ht="15" thickTop="1">
      <c r="A105" s="545"/>
      <c r="B105" s="484" t="s">
        <v>1738</v>
      </c>
      <c r="C105" s="500"/>
      <c r="D105" s="500"/>
      <c r="E105" s="529"/>
      <c r="F105" s="529"/>
      <c r="G105" s="529"/>
      <c r="H105" s="529"/>
      <c r="I105" s="529"/>
      <c r="J105" s="529"/>
      <c r="K105" s="530"/>
      <c r="L105" s="531"/>
      <c r="M105" s="532"/>
      <c r="N105" s="927"/>
      <c r="O105" s="927"/>
      <c r="P105" s="1916"/>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28"/>
      <c r="O106" s="928"/>
      <c r="P106" s="1916"/>
      <c r="Q106" s="450"/>
    </row>
    <row r="107" spans="1:17" ht="15" thickTop="1">
      <c r="A107" s="545"/>
      <c r="B107" s="484" t="s">
        <v>1739</v>
      </c>
      <c r="C107" s="529"/>
      <c r="D107" s="529"/>
      <c r="E107" s="529"/>
      <c r="F107" s="529"/>
      <c r="G107" s="529"/>
      <c r="H107" s="529"/>
      <c r="I107" s="529"/>
      <c r="J107" s="529"/>
      <c r="K107" s="530"/>
      <c r="L107" s="531"/>
      <c r="M107" s="532"/>
      <c r="N107" s="927"/>
      <c r="O107" s="927"/>
      <c r="P107" s="1916"/>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28"/>
      <c r="O108" s="928"/>
      <c r="P108" s="1916"/>
      <c r="Q108" s="450"/>
    </row>
    <row r="109" spans="1:17" ht="15" thickTop="1">
      <c r="A109" s="545"/>
      <c r="B109" s="484" t="s">
        <v>1740</v>
      </c>
      <c r="C109" s="500"/>
      <c r="D109" s="500"/>
      <c r="E109" s="500"/>
      <c r="F109" s="529"/>
      <c r="G109" s="529"/>
      <c r="H109" s="529"/>
      <c r="I109" s="529"/>
      <c r="J109" s="529"/>
      <c r="K109" s="530"/>
      <c r="L109" s="531"/>
      <c r="M109" s="532"/>
      <c r="N109" s="927"/>
      <c r="O109" s="927"/>
      <c r="P109" s="1916"/>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28"/>
      <c r="O110" s="928"/>
      <c r="P110" s="1916"/>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9"/>
      <c r="O111" s="929"/>
      <c r="P111" s="1917"/>
      <c r="Q111" s="505"/>
    </row>
    <row r="112" spans="1:17" s="419" customFormat="1">
      <c r="A112" s="539"/>
      <c r="B112" s="492"/>
      <c r="C112" s="549">
        <v>0.5</v>
      </c>
      <c r="D112" s="549">
        <v>0.6</v>
      </c>
      <c r="E112" s="549">
        <v>0.7</v>
      </c>
      <c r="F112" s="549">
        <v>0.8</v>
      </c>
      <c r="G112" s="549">
        <v>0.9</v>
      </c>
      <c r="H112" s="549">
        <v>1.0001</v>
      </c>
      <c r="I112" s="549"/>
      <c r="J112" s="550"/>
      <c r="K112" s="550"/>
      <c r="L112" s="551"/>
      <c r="M112" s="552"/>
      <c r="N112" s="929"/>
      <c r="O112" s="929"/>
      <c r="P112" s="1917"/>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29"/>
      <c r="O113" s="929"/>
      <c r="P113" s="1917"/>
      <c r="Q113" s="505"/>
    </row>
    <row r="114" spans="1:17" ht="15" thickTop="1">
      <c r="A114" s="545"/>
      <c r="B114" s="484" t="s">
        <v>1741</v>
      </c>
      <c r="C114" s="500"/>
      <c r="D114" s="500"/>
      <c r="E114" s="529"/>
      <c r="F114" s="529"/>
      <c r="G114" s="529"/>
      <c r="H114" s="529"/>
      <c r="I114" s="529"/>
      <c r="J114" s="529"/>
      <c r="K114" s="530"/>
      <c r="L114" s="531"/>
      <c r="M114" s="532"/>
      <c r="N114" s="927"/>
      <c r="O114" s="927"/>
      <c r="P114" s="1916"/>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28"/>
      <c r="O115" s="928"/>
      <c r="P115" s="1916"/>
      <c r="Q115" s="450"/>
    </row>
    <row r="116" spans="1:17" ht="15" thickTop="1">
      <c r="A116" s="545"/>
      <c r="B116" s="484" t="s">
        <v>1742</v>
      </c>
      <c r="C116" s="500"/>
      <c r="D116" s="500"/>
      <c r="E116" s="500"/>
      <c r="F116" s="500"/>
      <c r="G116" s="500"/>
      <c r="H116" s="529"/>
      <c r="I116" s="529"/>
      <c r="J116" s="529"/>
      <c r="K116" s="530"/>
      <c r="L116" s="531"/>
      <c r="M116" s="532"/>
      <c r="N116" s="927"/>
      <c r="O116" s="927"/>
      <c r="P116" s="1916"/>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28"/>
      <c r="O117" s="928"/>
      <c r="P117" s="1916"/>
      <c r="Q117" s="450"/>
    </row>
    <row r="118" spans="1:17" ht="15" thickTop="1">
      <c r="A118" s="545"/>
      <c r="B118" s="484" t="s">
        <v>1743</v>
      </c>
      <c r="C118" s="529"/>
      <c r="D118" s="529"/>
      <c r="E118" s="529"/>
      <c r="F118" s="529"/>
      <c r="G118" s="529"/>
      <c r="H118" s="529"/>
      <c r="I118" s="529"/>
      <c r="J118" s="529"/>
      <c r="K118" s="530"/>
      <c r="L118" s="531"/>
      <c r="M118" s="532"/>
      <c r="N118" s="927"/>
      <c r="O118" s="927"/>
      <c r="P118" s="1916"/>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28"/>
      <c r="O119" s="928"/>
      <c r="P119" s="1916"/>
      <c r="Q119" s="450"/>
    </row>
    <row r="120" spans="1:17" s="419" customFormat="1" ht="28.5" thickTop="1">
      <c r="A120" s="539"/>
      <c r="B120" s="484" t="s">
        <v>1705</v>
      </c>
      <c r="C120" s="500"/>
      <c r="D120" s="500"/>
      <c r="E120" s="500"/>
      <c r="F120" s="500"/>
      <c r="G120" s="500"/>
      <c r="H120" s="500"/>
      <c r="I120" s="500"/>
      <c r="J120" s="500"/>
      <c r="K120" s="500"/>
      <c r="L120" s="526"/>
      <c r="M120" s="527"/>
      <c r="N120" s="929"/>
      <c r="O120" s="929"/>
      <c r="P120" s="1917"/>
      <c r="Q120" s="505"/>
    </row>
    <row r="121" spans="1:17" s="419" customFormat="1" ht="15.75" thickBot="1">
      <c r="A121" s="499"/>
      <c r="B121" s="481"/>
      <c r="C121" s="506"/>
      <c r="D121" s="482"/>
      <c r="E121" s="482"/>
      <c r="F121" s="482"/>
      <c r="G121" s="482"/>
      <c r="H121" s="482"/>
      <c r="I121" s="482"/>
      <c r="J121" s="482"/>
      <c r="K121" s="482"/>
      <c r="L121" s="482"/>
      <c r="M121" s="482"/>
      <c r="N121" s="929"/>
      <c r="O121" s="929"/>
      <c r="P121" s="1917"/>
      <c r="Q121" s="505"/>
    </row>
    <row r="122" spans="1:17" ht="15" thickTop="1">
      <c r="A122" s="545"/>
      <c r="B122" s="484" t="s">
        <v>1744</v>
      </c>
      <c r="C122" s="500"/>
      <c r="D122" s="500"/>
      <c r="E122" s="500"/>
      <c r="F122" s="529"/>
      <c r="G122" s="529"/>
      <c r="H122" s="529"/>
      <c r="I122" s="529"/>
      <c r="J122" s="529"/>
      <c r="K122" s="530"/>
      <c r="L122" s="531"/>
      <c r="M122" s="532"/>
      <c r="N122" s="927"/>
      <c r="O122" s="927"/>
      <c r="P122" s="1916"/>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28"/>
      <c r="O123" s="928"/>
      <c r="P123" s="1916"/>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7"/>
      <c r="O124" s="927"/>
      <c r="P124" s="1917"/>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28"/>
      <c r="O125" s="928"/>
      <c r="P125" s="1916"/>
      <c r="Q125" s="450"/>
    </row>
    <row r="126" spans="1:17" s="419" customFormat="1" ht="15" thickTop="1">
      <c r="A126" s="539"/>
      <c r="B126" s="484">
        <f>B44</f>
        <v>111</v>
      </c>
      <c r="C126" s="500"/>
      <c r="D126" s="500"/>
      <c r="E126" s="500"/>
      <c r="F126" s="500"/>
      <c r="G126" s="500"/>
      <c r="H126" s="501"/>
      <c r="I126" s="501"/>
      <c r="J126" s="501"/>
      <c r="K126" s="501"/>
      <c r="L126" s="502"/>
      <c r="M126" s="503"/>
      <c r="N126" s="929"/>
      <c r="O126" s="929"/>
      <c r="P126" s="1917"/>
      <c r="Q126" s="505"/>
    </row>
    <row r="127" spans="1:17" s="419" customFormat="1" ht="15.75" thickBot="1">
      <c r="A127" s="499"/>
      <c r="B127" s="489"/>
      <c r="C127" s="506"/>
      <c r="D127" s="482"/>
      <c r="E127" s="482"/>
      <c r="F127" s="482"/>
      <c r="G127" s="506"/>
      <c r="H127" s="508"/>
      <c r="I127" s="508"/>
      <c r="J127" s="508"/>
      <c r="K127" s="508"/>
      <c r="L127" s="508"/>
      <c r="M127" s="509"/>
      <c r="N127" s="929"/>
      <c r="O127" s="929"/>
      <c r="P127" s="1917"/>
      <c r="Q127" s="505"/>
    </row>
    <row r="128" spans="1:17" ht="15" thickTop="1">
      <c r="A128" s="545"/>
      <c r="B128" s="484">
        <f>B45</f>
        <v>111</v>
      </c>
      <c r="C128" s="500"/>
      <c r="D128" s="500"/>
      <c r="E128" s="500"/>
      <c r="F128" s="500"/>
      <c r="G128" s="529"/>
      <c r="H128" s="529"/>
      <c r="I128" s="529"/>
      <c r="J128" s="529"/>
      <c r="K128" s="530"/>
      <c r="L128" s="531"/>
      <c r="M128" s="532"/>
      <c r="N128" s="927"/>
      <c r="O128" s="927"/>
      <c r="P128" s="1916"/>
      <c r="Q128" s="450"/>
    </row>
    <row r="129" spans="1:17" ht="15.75" thickBot="1">
      <c r="A129" s="480"/>
      <c r="B129" s="489"/>
      <c r="C129" s="506"/>
      <c r="D129" s="506"/>
      <c r="E129" s="506"/>
      <c r="F129" s="506"/>
      <c r="G129" s="482"/>
      <c r="H129" s="482"/>
      <c r="I129" s="482"/>
      <c r="J129" s="482"/>
      <c r="K129" s="482"/>
      <c r="L129" s="482"/>
      <c r="M129" s="483"/>
      <c r="N129" s="928"/>
      <c r="O129" s="928"/>
      <c r="P129" s="1916"/>
      <c r="Q129" s="450"/>
    </row>
    <row r="130" spans="1:17" ht="15" thickTop="1">
      <c r="A130" s="545"/>
      <c r="B130" s="492">
        <f>B46</f>
        <v>111</v>
      </c>
      <c r="C130" s="500"/>
      <c r="D130" s="500"/>
      <c r="E130" s="500"/>
      <c r="F130" s="500"/>
      <c r="G130" s="533"/>
      <c r="H130" s="533"/>
      <c r="I130" s="533"/>
      <c r="J130" s="533"/>
      <c r="K130" s="469"/>
      <c r="L130" s="470"/>
      <c r="M130" s="536"/>
      <c r="N130" s="927"/>
      <c r="O130" s="927"/>
      <c r="P130" s="1916"/>
      <c r="Q130" s="450"/>
    </row>
    <row r="131" spans="1:17" ht="15.75" thickBot="1">
      <c r="A131" s="1922"/>
      <c r="B131" s="515"/>
      <c r="C131" s="516"/>
      <c r="D131" s="516"/>
      <c r="E131" s="516"/>
      <c r="F131" s="516"/>
      <c r="G131" s="537"/>
      <c r="H131" s="537"/>
      <c r="I131" s="537"/>
      <c r="J131" s="537"/>
      <c r="K131" s="537"/>
      <c r="L131" s="537"/>
      <c r="M131" s="538"/>
      <c r="N131" s="928"/>
      <c r="O131" s="928"/>
      <c r="P131" s="1916"/>
      <c r="Q131" s="450"/>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4" t="s">
        <v>1749</v>
      </c>
      <c r="D138" s="134" t="s">
        <v>1750</v>
      </c>
      <c r="E138" s="1931" t="s">
        <v>1751</v>
      </c>
      <c r="F138" s="1932" t="s">
        <v>1752</v>
      </c>
      <c r="G138" s="134" t="s">
        <v>1750</v>
      </c>
      <c r="H138" s="135" t="s">
        <v>1751</v>
      </c>
      <c r="I138" s="1933"/>
      <c r="J138" s="134" t="s">
        <v>1753</v>
      </c>
      <c r="K138" s="135"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8">
        <f>ROUNDUP((J139-1)/2,0)</f>
        <v>10</v>
      </c>
      <c r="K140" s="872">
        <v>100</v>
      </c>
    </row>
    <row r="141" spans="1:17" ht="15">
      <c r="B141" s="867">
        <v>4</v>
      </c>
      <c r="C141" s="868">
        <v>102</v>
      </c>
      <c r="D141" s="868"/>
      <c r="E141" s="869"/>
      <c r="F141" s="870">
        <v>101.5</v>
      </c>
      <c r="G141" s="868"/>
      <c r="H141" s="871"/>
      <c r="I141" s="1936" t="s">
        <v>1758</v>
      </c>
      <c r="J141" s="268">
        <v>1</v>
      </c>
      <c r="K141" s="873">
        <f>ROUND(100+(J141-J140)*K139*100,1)</f>
        <v>96.4</v>
      </c>
    </row>
    <row r="142" spans="1:17" ht="15">
      <c r="B142" s="867">
        <v>3</v>
      </c>
      <c r="C142" s="868">
        <v>103</v>
      </c>
      <c r="D142" s="868"/>
      <c r="E142" s="869"/>
      <c r="F142" s="870">
        <v>101</v>
      </c>
      <c r="G142" s="868"/>
      <c r="H142" s="871"/>
      <c r="I142" s="1936" t="s">
        <v>1759</v>
      </c>
      <c r="J142" s="268">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66" priority="14" stopIfTrue="1">
      <formula>$F$52="超过30%"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F7:F46 H7:H46 J7:J46">
    <cfRule type="cellIs" dxfId="163" priority="1" operator="notEqual">
      <formula>100</formula>
    </cfRule>
  </conditionalFormatting>
  <conditionalFormatting sqref="F48">
    <cfRule type="expression" dxfId="162" priority="4">
      <formula>$D$48="简单平均"</formula>
    </cfRule>
  </conditionalFormatting>
  <conditionalFormatting sqref="F52:F54 H52:H54 J52:J54">
    <cfRule type="containsText" dxfId="161" priority="15" stopIfTrue="1" operator="containsText" text="超过">
      <formula>NOT(ISERROR(SEARCH("超过",F52)))</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G54">
    <cfRule type="expression" dxfId="158" priority="12" stopIfTrue="1">
      <formula>$H$54="超过30%"</formula>
    </cfRule>
  </conditionalFormatting>
  <conditionalFormatting sqref="H48">
    <cfRule type="expression" dxfId="157" priority="3">
      <formula>$D$48="简单平均"</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J48">
    <cfRule type="expression" dxfId="15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9"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9" customFormat="1" ht="28.5" customHeight="1" thickBot="1">
      <c r="A3" s="200" t="s">
        <v>1464</v>
      </c>
      <c r="B3" s="555">
        <f>IF(C2="——",C49,ROUND(B2*10000/D3,0))</f>
        <v>0</v>
      </c>
      <c r="C3" s="351" t="s">
        <v>1768</v>
      </c>
      <c r="D3" s="350">
        <f>IF(D1="",'数据-汇总表'!E3,SUMIF('数据-汇总表'!$C19:$C33,D1,'数据-汇总表'!$E19:$E33))</f>
        <v>17747.629999999997</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2" t="s">
        <v>1769</v>
      </c>
      <c r="B4" s="353"/>
      <c r="C4" s="3728" t="s">
        <v>1770</v>
      </c>
      <c r="D4" s="3729"/>
      <c r="E4" s="3730" t="s">
        <v>1771</v>
      </c>
      <c r="F4" s="3731"/>
      <c r="G4" s="3728" t="s">
        <v>1772</v>
      </c>
      <c r="H4" s="3729"/>
      <c r="I4" s="3728" t="s">
        <v>1773</v>
      </c>
      <c r="J4" s="3729"/>
      <c r="K4" s="556" t="s">
        <v>1774</v>
      </c>
      <c r="L4" s="2709"/>
      <c r="M4" s="2710"/>
      <c r="N4" s="2710"/>
      <c r="O4" s="2710"/>
      <c r="P4" s="3732" t="s">
        <v>1775</v>
      </c>
      <c r="Q4" s="3733"/>
      <c r="R4" s="3715" t="s">
        <v>1771</v>
      </c>
      <c r="S4" s="3716"/>
      <c r="T4" s="3715" t="s">
        <v>1772</v>
      </c>
      <c r="U4" s="3716"/>
      <c r="V4" s="3740" t="s">
        <v>1773</v>
      </c>
      <c r="W4" s="3740"/>
      <c r="X4" s="1349"/>
      <c r="Y4" s="3715" t="s">
        <v>1775</v>
      </c>
      <c r="Z4" s="3716"/>
      <c r="AA4" s="3710" t="s">
        <v>1771</v>
      </c>
      <c r="AB4" s="3740" t="s">
        <v>1772</v>
      </c>
      <c r="AC4" s="3710" t="s">
        <v>1773</v>
      </c>
    </row>
    <row r="5" spans="1:29" ht="15">
      <c r="A5" s="355"/>
      <c r="B5" s="356"/>
      <c r="C5" s="3721" t="s">
        <v>1673</v>
      </c>
      <c r="D5" s="3722"/>
      <c r="E5" s="3719" t="s">
        <v>1674</v>
      </c>
      <c r="F5" s="3720"/>
      <c r="G5" s="3721" t="s">
        <v>1675</v>
      </c>
      <c r="H5" s="3722"/>
      <c r="I5" s="3721" t="s">
        <v>1676</v>
      </c>
      <c r="J5" s="3722"/>
      <c r="K5" s="556"/>
      <c r="L5" s="2709"/>
      <c r="M5" s="2710"/>
      <c r="N5" s="2710"/>
      <c r="O5" s="2710"/>
      <c r="P5" s="3734"/>
      <c r="Q5" s="3735"/>
      <c r="R5" s="3717"/>
      <c r="S5" s="3718"/>
      <c r="T5" s="3717"/>
      <c r="U5" s="3718"/>
      <c r="V5" s="3740"/>
      <c r="W5" s="3740"/>
      <c r="X5" s="1349"/>
      <c r="Y5" s="3717"/>
      <c r="Z5" s="3718"/>
      <c r="AA5" s="3711"/>
      <c r="AB5" s="3740"/>
      <c r="AC5" s="3711"/>
    </row>
    <row r="6" spans="1:29" ht="15.75" thickBot="1">
      <c r="A6" s="357"/>
      <c r="B6" s="358"/>
      <c r="C6" s="3723" t="s">
        <v>1677</v>
      </c>
      <c r="D6" s="3724"/>
      <c r="E6" s="3725" t="s">
        <v>1677</v>
      </c>
      <c r="F6" s="3726"/>
      <c r="G6" s="3723" t="s">
        <v>1677</v>
      </c>
      <c r="H6" s="3724"/>
      <c r="I6" s="3723" t="s">
        <v>1677</v>
      </c>
      <c r="J6" s="3724"/>
      <c r="K6" s="556" t="s">
        <v>1678</v>
      </c>
      <c r="L6" s="2709"/>
      <c r="M6" s="2710"/>
      <c r="N6" s="2710"/>
      <c r="O6" s="2710"/>
      <c r="P6" s="3736"/>
      <c r="Q6" s="3737"/>
      <c r="R6" s="3717"/>
      <c r="S6" s="3718"/>
      <c r="T6" s="3738"/>
      <c r="U6" s="3739"/>
      <c r="V6" s="3740"/>
      <c r="W6" s="3740"/>
      <c r="X6" s="1349"/>
      <c r="Y6" s="3738"/>
      <c r="Z6" s="3739"/>
      <c r="AA6" s="3712"/>
      <c r="AB6" s="3740"/>
      <c r="AC6" s="3712"/>
    </row>
    <row r="7" spans="1:29" s="105" customFormat="1" ht="15.75" thickBot="1">
      <c r="A7" s="359" t="s">
        <v>1679</v>
      </c>
      <c r="B7" s="360"/>
      <c r="C7" s="361">
        <f>'数据-取费表'!B2</f>
        <v>45539</v>
      </c>
      <c r="D7" s="362">
        <v>100</v>
      </c>
      <c r="E7" s="363"/>
      <c r="F7" s="364">
        <f>SUMIF(58:58,YEAR(E7)&amp;"-"&amp;MONTH(E7),59:59)</f>
        <v>0</v>
      </c>
      <c r="G7" s="363"/>
      <c r="H7" s="362">
        <f>SUMIF(58:58,YEAR(G7)&amp;"-"&amp;MONTH(G7),59:59)</f>
        <v>0</v>
      </c>
      <c r="I7" s="363"/>
      <c r="J7" s="362">
        <f>SUMIF(58:58,YEAR(I7)&amp;"-"&amp;MONTH(I7),59:59)</f>
        <v>0</v>
      </c>
      <c r="K7" s="557"/>
      <c r="L7" s="2711"/>
      <c r="M7" s="2712"/>
      <c r="N7" s="2712"/>
      <c r="O7" s="2712"/>
      <c r="P7" s="3713" t="s">
        <v>1680</v>
      </c>
      <c r="Q7" s="3741"/>
      <c r="R7" s="698" t="s">
        <v>14</v>
      </c>
      <c r="S7" s="699">
        <f t="shared" ref="S7:S15" si="0">F7</f>
        <v>0</v>
      </c>
      <c r="T7" s="698" t="s">
        <v>14</v>
      </c>
      <c r="U7" s="699">
        <f t="shared" ref="U7:U15" si="1">H7</f>
        <v>0</v>
      </c>
      <c r="V7" s="698" t="s">
        <v>14</v>
      </c>
      <c r="W7" s="699">
        <f t="shared" ref="W7:W15" si="2">J7</f>
        <v>0</v>
      </c>
      <c r="X7" s="700"/>
      <c r="Y7" s="3713" t="s">
        <v>1680</v>
      </c>
      <c r="Z7" s="3714"/>
      <c r="AA7" s="701" t="e">
        <f>D7/F7</f>
        <v>#DIV/0!</v>
      </c>
      <c r="AB7" s="701" t="e">
        <f>D7/H7</f>
        <v>#DIV/0!</v>
      </c>
      <c r="AC7" s="701" t="e">
        <f>D7/J7</f>
        <v>#DIV/0!</v>
      </c>
    </row>
    <row r="8" spans="1:29" s="105"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11"/>
      <c r="M8" s="2712"/>
      <c r="N8" s="2712"/>
      <c r="O8" s="2712"/>
      <c r="P8" s="3713" t="s">
        <v>1683</v>
      </c>
      <c r="Q8" s="3714"/>
      <c r="R8" s="698" t="s">
        <v>14</v>
      </c>
      <c r="S8" s="699">
        <f t="shared" si="0"/>
        <v>100</v>
      </c>
      <c r="T8" s="698" t="s">
        <v>14</v>
      </c>
      <c r="U8" s="699">
        <f t="shared" si="1"/>
        <v>100</v>
      </c>
      <c r="V8" s="698" t="s">
        <v>14</v>
      </c>
      <c r="W8" s="699">
        <f t="shared" si="2"/>
        <v>100</v>
      </c>
      <c r="X8" s="700"/>
      <c r="Y8" s="3713" t="s">
        <v>1683</v>
      </c>
      <c r="Z8" s="3714"/>
      <c r="AA8" s="701">
        <f t="shared" ref="AA8:AA46" si="3">D8/F8</f>
        <v>1</v>
      </c>
      <c r="AB8" s="701">
        <f t="shared" ref="AB8:AB46" si="4">D8/H8</f>
        <v>1</v>
      </c>
      <c r="AC8" s="701">
        <f t="shared" ref="AC8:AC46" si="5">D8/J8</f>
        <v>1</v>
      </c>
    </row>
    <row r="9" spans="1:29" s="105" customFormat="1">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11"/>
      <c r="M9" s="2712"/>
      <c r="N9" s="2712"/>
      <c r="O9" s="2712"/>
      <c r="P9" s="3727" t="s">
        <v>1686</v>
      </c>
      <c r="Q9" s="1337" t="str">
        <f t="shared" ref="Q9:Q15" si="6">B9</f>
        <v>用途</v>
      </c>
      <c r="R9" s="698" t="s">
        <v>14</v>
      </c>
      <c r="S9" s="699">
        <f t="shared" si="0"/>
        <v>100</v>
      </c>
      <c r="T9" s="698" t="s">
        <v>14</v>
      </c>
      <c r="U9" s="699">
        <f t="shared" si="1"/>
        <v>100</v>
      </c>
      <c r="V9" s="698" t="s">
        <v>14</v>
      </c>
      <c r="W9" s="699">
        <f t="shared" si="2"/>
        <v>100</v>
      </c>
      <c r="X9" s="700"/>
      <c r="Y9" s="3659" t="s">
        <v>1687</v>
      </c>
      <c r="Z9" s="52" t="str">
        <f t="shared" ref="Z9:Z15" si="7">Q9</f>
        <v>用途</v>
      </c>
      <c r="AA9" s="701">
        <f t="shared" si="3"/>
        <v>1</v>
      </c>
      <c r="AB9" s="701">
        <f t="shared" si="4"/>
        <v>1</v>
      </c>
      <c r="AC9" s="701">
        <f t="shared" si="5"/>
        <v>1</v>
      </c>
    </row>
    <row r="10" spans="1:29" s="375" customFormat="1" ht="27">
      <c r="A10" s="371"/>
      <c r="B10" s="372" t="s">
        <v>1688</v>
      </c>
      <c r="C10" s="3428"/>
      <c r="D10" s="124">
        <v>100</v>
      </c>
      <c r="E10" s="3429"/>
      <c r="F10" s="373">
        <f>SUMIF(65:65,E10,66:66)-SUMIF(65:65,C10,66:66)+100</f>
        <v>100</v>
      </c>
      <c r="G10" s="3428"/>
      <c r="H10" s="124">
        <f>SUMIF(65:65,G10,66:66)-SUMIF(65:65,C10,66:66)+100</f>
        <v>100</v>
      </c>
      <c r="I10" s="3428"/>
      <c r="J10" s="124">
        <f>SUMIF(65:65,I10,66:66)-SUMIF(65:65,C10,66:66)+100</f>
        <v>100</v>
      </c>
      <c r="K10" s="557"/>
      <c r="L10" s="2713"/>
      <c r="M10" s="2714"/>
      <c r="N10" s="2714"/>
      <c r="O10" s="2714"/>
      <c r="P10" s="3727"/>
      <c r="Q10" s="1337" t="str">
        <f t="shared" si="6"/>
        <v>土地使用年限（年）</v>
      </c>
      <c r="R10" s="698" t="s">
        <v>14</v>
      </c>
      <c r="S10" s="699">
        <f t="shared" si="0"/>
        <v>100</v>
      </c>
      <c r="T10" s="698" t="s">
        <v>14</v>
      </c>
      <c r="U10" s="699">
        <f t="shared" si="1"/>
        <v>100</v>
      </c>
      <c r="V10" s="698" t="s">
        <v>14</v>
      </c>
      <c r="W10" s="699">
        <f t="shared" si="2"/>
        <v>100</v>
      </c>
      <c r="X10" s="700"/>
      <c r="Y10" s="3659"/>
      <c r="Z10" s="52" t="str">
        <f t="shared" si="7"/>
        <v>土地使用年限（年）</v>
      </c>
      <c r="AA10" s="701">
        <f t="shared" si="3"/>
        <v>1</v>
      </c>
      <c r="AB10" s="701">
        <f t="shared" si="4"/>
        <v>1</v>
      </c>
      <c r="AC10" s="701">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5"/>
      <c r="M11" s="2710"/>
      <c r="N11" s="2710"/>
      <c r="O11" s="2710"/>
      <c r="P11" s="3727"/>
      <c r="Q11" s="1337" t="str">
        <f t="shared" si="6"/>
        <v>容积率</v>
      </c>
      <c r="R11" s="698" t="s">
        <v>14</v>
      </c>
      <c r="S11" s="699" t="e">
        <f t="shared" si="0"/>
        <v>#N/A</v>
      </c>
      <c r="T11" s="698" t="s">
        <v>14</v>
      </c>
      <c r="U11" s="699" t="e">
        <f t="shared" si="1"/>
        <v>#N/A</v>
      </c>
      <c r="V11" s="698" t="s">
        <v>14</v>
      </c>
      <c r="W11" s="699" t="e">
        <f t="shared" si="2"/>
        <v>#N/A</v>
      </c>
      <c r="X11" s="700"/>
      <c r="Y11" s="3659"/>
      <c r="Z11" s="52" t="str">
        <f t="shared" si="7"/>
        <v>容积率</v>
      </c>
      <c r="AA11" s="701" t="e">
        <f t="shared" si="3"/>
        <v>#N/A</v>
      </c>
      <c r="AB11" s="701" t="e">
        <f t="shared" si="4"/>
        <v>#N/A</v>
      </c>
      <c r="AC11" s="701" t="e">
        <f t="shared" si="5"/>
        <v>#N/A</v>
      </c>
    </row>
    <row r="12" spans="1:29" s="105" customFormat="1" ht="15">
      <c r="A12" s="379"/>
      <c r="B12" s="1887">
        <v>111</v>
      </c>
      <c r="C12" s="380"/>
      <c r="D12" s="381">
        <v>100</v>
      </c>
      <c r="E12" s="382"/>
      <c r="F12" s="373">
        <f>SUMIF(70:70,E12,71:71)-SUMIF(70:70,C12,71:71)+100</f>
        <v>100</v>
      </c>
      <c r="G12" s="382"/>
      <c r="H12" s="124">
        <f>SUMIF(70:70,G12,71:71)-SUMIF(70:70,C12,71:71)+100</f>
        <v>100</v>
      </c>
      <c r="I12" s="382"/>
      <c r="J12" s="124">
        <f>SUMIF(70:70,I12,71:71)-SUMIF(70:70,C12,71:71)+100</f>
        <v>100</v>
      </c>
      <c r="K12" s="559"/>
      <c r="L12" s="2711"/>
      <c r="M12" s="2712"/>
      <c r="N12" s="2712"/>
      <c r="O12" s="2712"/>
      <c r="P12" s="3727"/>
      <c r="Q12" s="1337">
        <f t="shared" si="6"/>
        <v>111</v>
      </c>
      <c r="R12" s="698" t="s">
        <v>14</v>
      </c>
      <c r="S12" s="699">
        <f t="shared" si="0"/>
        <v>100</v>
      </c>
      <c r="T12" s="698" t="s">
        <v>14</v>
      </c>
      <c r="U12" s="699">
        <f t="shared" si="1"/>
        <v>100</v>
      </c>
      <c r="V12" s="698" t="s">
        <v>14</v>
      </c>
      <c r="W12" s="699">
        <f t="shared" si="2"/>
        <v>100</v>
      </c>
      <c r="X12" s="700"/>
      <c r="Y12" s="3659"/>
      <c r="Z12" s="52">
        <f t="shared" si="7"/>
        <v>111</v>
      </c>
      <c r="AA12" s="701">
        <f>D12/F12</f>
        <v>1</v>
      </c>
      <c r="AB12" s="701">
        <f>D12/H12</f>
        <v>1</v>
      </c>
      <c r="AC12" s="701">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559"/>
      <c r="L13" s="2716"/>
      <c r="M13" s="2710"/>
      <c r="N13" s="2710"/>
      <c r="O13" s="2710"/>
      <c r="P13" s="3727"/>
      <c r="Q13" s="1337">
        <f t="shared" si="6"/>
        <v>111</v>
      </c>
      <c r="R13" s="698" t="s">
        <v>14</v>
      </c>
      <c r="S13" s="699">
        <f t="shared" si="0"/>
        <v>100</v>
      </c>
      <c r="T13" s="698" t="s">
        <v>14</v>
      </c>
      <c r="U13" s="699">
        <f t="shared" si="1"/>
        <v>100</v>
      </c>
      <c r="V13" s="698" t="s">
        <v>14</v>
      </c>
      <c r="W13" s="699">
        <f t="shared" si="2"/>
        <v>100</v>
      </c>
      <c r="X13" s="700"/>
      <c r="Y13" s="3659"/>
      <c r="Z13" s="52">
        <f t="shared" si="7"/>
        <v>111</v>
      </c>
      <c r="AA13" s="701">
        <f t="shared" si="3"/>
        <v>1</v>
      </c>
      <c r="AB13" s="701">
        <f t="shared" si="4"/>
        <v>1</v>
      </c>
      <c r="AC13" s="701">
        <f t="shared" si="5"/>
        <v>1</v>
      </c>
    </row>
    <row r="14" spans="1:29" ht="15.75" thickBot="1">
      <c r="A14" s="384"/>
      <c r="B14" s="1889">
        <v>111</v>
      </c>
      <c r="C14" s="385"/>
      <c r="D14" s="386">
        <v>100</v>
      </c>
      <c r="E14" s="382"/>
      <c r="F14" s="387">
        <f>SUMIF(74:74,E14,75:75)-SUMIF(74:74,C14,75:75)+100</f>
        <v>100</v>
      </c>
      <c r="G14" s="382"/>
      <c r="H14" s="386">
        <f>SUMIF(74:74,G14,75:75)-SUMIF(74:74,C14,75:75)+100</f>
        <v>100</v>
      </c>
      <c r="I14" s="382"/>
      <c r="J14" s="386">
        <f>SUMIF(74:74,I14,75:75)-SUMIF(74:74,C14,75:75)+100</f>
        <v>100</v>
      </c>
      <c r="K14" s="559"/>
      <c r="L14" s="2716"/>
      <c r="M14" s="2710"/>
      <c r="N14" s="2710"/>
      <c r="O14" s="2710"/>
      <c r="P14" s="3727"/>
      <c r="Q14" s="1337">
        <f t="shared" si="6"/>
        <v>111</v>
      </c>
      <c r="R14" s="698" t="s">
        <v>14</v>
      </c>
      <c r="S14" s="699">
        <f t="shared" si="0"/>
        <v>100</v>
      </c>
      <c r="T14" s="698" t="s">
        <v>14</v>
      </c>
      <c r="U14" s="699">
        <f t="shared" si="1"/>
        <v>100</v>
      </c>
      <c r="V14" s="698" t="s">
        <v>14</v>
      </c>
      <c r="W14" s="699">
        <f t="shared" si="2"/>
        <v>100</v>
      </c>
      <c r="X14" s="700"/>
      <c r="Y14" s="3659"/>
      <c r="Z14" s="52">
        <f t="shared" si="7"/>
        <v>111</v>
      </c>
      <c r="AA14" s="701">
        <f t="shared" si="3"/>
        <v>1</v>
      </c>
      <c r="AB14" s="701">
        <f t="shared" si="4"/>
        <v>1</v>
      </c>
      <c r="AC14" s="701">
        <f t="shared" si="5"/>
        <v>1</v>
      </c>
    </row>
    <row r="15" spans="1:29" ht="15">
      <c r="A15" s="388" t="s">
        <v>1690</v>
      </c>
      <c r="B15" s="61" t="s">
        <v>1777</v>
      </c>
      <c r="C15" s="1890">
        <f>估价对象房地状况!C4</f>
        <v>0</v>
      </c>
      <c r="D15" s="389">
        <v>100</v>
      </c>
      <c r="E15" s="390"/>
      <c r="F15" s="391">
        <f>SUMIF(76:76,E16,77:77)-SUMIF(76:76,C16,77:77)+100</f>
        <v>100</v>
      </c>
      <c r="G15" s="392"/>
      <c r="H15" s="389">
        <f>SUMIF(76:76,G16,77:77)-SUMIF(76:76,C16,77:77)+100</f>
        <v>100</v>
      </c>
      <c r="I15" s="390"/>
      <c r="J15" s="389">
        <f>SUMIF(76:76,I16,77:77)-SUMIF(76:76,C16,77:77)+100</f>
        <v>100</v>
      </c>
      <c r="K15" s="560"/>
      <c r="L15" s="2716"/>
      <c r="M15" s="2710"/>
      <c r="N15" s="2710"/>
      <c r="O15" s="2710"/>
      <c r="P15" s="3754" t="s">
        <v>1691</v>
      </c>
      <c r="Q15" s="1346" t="str">
        <f t="shared" si="6"/>
        <v>商业繁华度</v>
      </c>
      <c r="R15" s="702" t="s">
        <v>14</v>
      </c>
      <c r="S15" s="703">
        <f t="shared" si="0"/>
        <v>100</v>
      </c>
      <c r="T15" s="702" t="s">
        <v>14</v>
      </c>
      <c r="U15" s="703">
        <f t="shared" si="1"/>
        <v>100</v>
      </c>
      <c r="V15" s="702" t="s">
        <v>14</v>
      </c>
      <c r="W15" s="703">
        <f t="shared" si="2"/>
        <v>100</v>
      </c>
      <c r="X15" s="1349"/>
      <c r="Y15" s="3747" t="s">
        <v>1691</v>
      </c>
      <c r="Z15" s="1350" t="str">
        <f t="shared" si="7"/>
        <v>商业繁华度</v>
      </c>
      <c r="AA15" s="1347">
        <f t="shared" si="3"/>
        <v>1</v>
      </c>
      <c r="AB15" s="1347">
        <f t="shared" si="4"/>
        <v>1</v>
      </c>
      <c r="AC15" s="1347">
        <f t="shared" si="5"/>
        <v>1</v>
      </c>
    </row>
    <row r="16" spans="1:29" ht="15">
      <c r="A16" s="376"/>
      <c r="B16" s="394"/>
      <c r="C16" s="395"/>
      <c r="D16" s="396"/>
      <c r="E16" s="395"/>
      <c r="F16" s="397"/>
      <c r="G16" s="395"/>
      <c r="H16" s="398"/>
      <c r="I16" s="395"/>
      <c r="J16" s="396"/>
      <c r="K16" s="561"/>
      <c r="L16" s="2716"/>
      <c r="M16" s="2710"/>
      <c r="N16" s="2710"/>
      <c r="O16" s="2710"/>
      <c r="P16" s="3755"/>
      <c r="Q16" s="1346"/>
      <c r="R16" s="702"/>
      <c r="S16" s="703"/>
      <c r="T16" s="702"/>
      <c r="U16" s="703"/>
      <c r="V16" s="702"/>
      <c r="W16" s="703"/>
      <c r="X16" s="1349"/>
      <c r="Y16" s="3748"/>
      <c r="Z16" s="1350"/>
      <c r="AA16" s="1347">
        <v>1</v>
      </c>
      <c r="AB16" s="1347">
        <v>1</v>
      </c>
      <c r="AC16" s="1347">
        <v>1</v>
      </c>
    </row>
    <row r="17" spans="1:29" ht="15">
      <c r="A17" s="376"/>
      <c r="B17" s="399" t="s">
        <v>1259</v>
      </c>
      <c r="C17" s="1894">
        <f>估价对象房地状况!C6</f>
        <v>0</v>
      </c>
      <c r="D17" s="398">
        <v>100</v>
      </c>
      <c r="E17" s="400"/>
      <c r="F17" s="401">
        <f>SUMIF(78:78,E18,79:79)-SUMIF(78:78,C18,79:79)+100</f>
        <v>100</v>
      </c>
      <c r="G17" s="402"/>
      <c r="H17" s="403">
        <f>SUMIF(78:78,G18,79:79)-SUMIF(78:78,C18,79:79)+100</f>
        <v>100</v>
      </c>
      <c r="I17" s="400"/>
      <c r="J17" s="403">
        <f>SUMIF(78:78,I18,79:79)-SUMIF(78:78,C18,79:79)+100</f>
        <v>100</v>
      </c>
      <c r="K17" s="560"/>
      <c r="L17" s="2716"/>
      <c r="M17" s="2710"/>
      <c r="N17" s="2710"/>
      <c r="O17" s="2710"/>
      <c r="P17" s="3755"/>
      <c r="Q17" s="1346" t="str">
        <f>B17</f>
        <v>交通便捷度</v>
      </c>
      <c r="R17" s="702" t="s">
        <v>14</v>
      </c>
      <c r="S17" s="703">
        <f>F17</f>
        <v>100</v>
      </c>
      <c r="T17" s="702" t="s">
        <v>14</v>
      </c>
      <c r="U17" s="703">
        <f>H17</f>
        <v>100</v>
      </c>
      <c r="V17" s="702" t="s">
        <v>14</v>
      </c>
      <c r="W17" s="703">
        <f>J17</f>
        <v>100</v>
      </c>
      <c r="X17" s="1349"/>
      <c r="Y17" s="3748"/>
      <c r="Z17" s="1350" t="str">
        <f>Q17</f>
        <v>交通便捷度</v>
      </c>
      <c r="AA17" s="1347">
        <f t="shared" si="3"/>
        <v>1</v>
      </c>
      <c r="AB17" s="1347">
        <f t="shared" si="4"/>
        <v>1</v>
      </c>
      <c r="AC17" s="1347">
        <f t="shared" si="5"/>
        <v>1</v>
      </c>
    </row>
    <row r="18" spans="1:29" ht="15">
      <c r="A18" s="376"/>
      <c r="B18" s="404"/>
      <c r="C18" s="1895"/>
      <c r="D18" s="398"/>
      <c r="E18" s="1897"/>
      <c r="F18" s="401"/>
      <c r="G18" s="1896"/>
      <c r="H18" s="396"/>
      <c r="I18" s="1897"/>
      <c r="J18" s="396"/>
      <c r="K18" s="561"/>
      <c r="L18" s="2716"/>
      <c r="M18" s="2710"/>
      <c r="N18" s="2710"/>
      <c r="O18" s="2710"/>
      <c r="P18" s="3755"/>
      <c r="Q18" s="1346"/>
      <c r="R18" s="702"/>
      <c r="S18" s="703"/>
      <c r="T18" s="702"/>
      <c r="U18" s="703"/>
      <c r="V18" s="702"/>
      <c r="W18" s="703"/>
      <c r="X18" s="1349"/>
      <c r="Y18" s="3748"/>
      <c r="Z18" s="1350"/>
      <c r="AA18" s="1347">
        <v>1</v>
      </c>
      <c r="AB18" s="1347">
        <v>1</v>
      </c>
      <c r="AC18" s="1347">
        <v>1</v>
      </c>
    </row>
    <row r="19" spans="1:29" ht="15">
      <c r="A19" s="376"/>
      <c r="B19" s="399" t="s">
        <v>1778</v>
      </c>
      <c r="C19" s="1894">
        <f>估价对象房地状况!C7</f>
        <v>0</v>
      </c>
      <c r="D19" s="403">
        <v>100</v>
      </c>
      <c r="E19" s="405"/>
      <c r="F19" s="406">
        <f>SUMIF(80:80,E20,81:81)-SUMIF(80:80,C20,81:81)+100</f>
        <v>100</v>
      </c>
      <c r="G19" s="407"/>
      <c r="H19" s="398">
        <f>SUMIF(80:80,G20,81:81)-SUMIF(80:80,C20,81:81)+100</f>
        <v>100</v>
      </c>
      <c r="I19" s="405"/>
      <c r="J19" s="398">
        <f>SUMIF(80:80,I20,81:81)-SUMIF(80:80,C20,81:81)+100</f>
        <v>100</v>
      </c>
      <c r="K19" s="560"/>
      <c r="L19" s="2716"/>
      <c r="M19" s="2710"/>
      <c r="N19" s="2710"/>
      <c r="O19" s="2710"/>
      <c r="P19" s="3755"/>
      <c r="Q19" s="1346" t="str">
        <f>B19</f>
        <v>公共配套设施</v>
      </c>
      <c r="R19" s="702" t="s">
        <v>14</v>
      </c>
      <c r="S19" s="703">
        <f>F19</f>
        <v>100</v>
      </c>
      <c r="T19" s="702" t="s">
        <v>14</v>
      </c>
      <c r="U19" s="703">
        <f>H19</f>
        <v>100</v>
      </c>
      <c r="V19" s="702" t="s">
        <v>14</v>
      </c>
      <c r="W19" s="703">
        <f>J19</f>
        <v>100</v>
      </c>
      <c r="X19" s="1349"/>
      <c r="Y19" s="3748"/>
      <c r="Z19" s="1350" t="str">
        <f>Q19</f>
        <v>公共配套设施</v>
      </c>
      <c r="AA19" s="1347">
        <f t="shared" si="3"/>
        <v>1</v>
      </c>
      <c r="AB19" s="1347">
        <f t="shared" si="4"/>
        <v>1</v>
      </c>
      <c r="AC19" s="1347">
        <f t="shared" si="5"/>
        <v>1</v>
      </c>
    </row>
    <row r="20" spans="1:29" ht="15">
      <c r="A20" s="376"/>
      <c r="B20" s="404"/>
      <c r="C20" s="395"/>
      <c r="D20" s="396"/>
      <c r="E20" s="1892"/>
      <c r="F20" s="397"/>
      <c r="G20" s="1891"/>
      <c r="H20" s="396"/>
      <c r="I20" s="1892"/>
      <c r="J20" s="396"/>
      <c r="K20" s="561"/>
      <c r="L20" s="2716"/>
      <c r="M20" s="2710"/>
      <c r="N20" s="2710"/>
      <c r="O20" s="2710"/>
      <c r="P20" s="3755"/>
      <c r="Q20" s="1346"/>
      <c r="R20" s="702"/>
      <c r="S20" s="703"/>
      <c r="T20" s="702"/>
      <c r="U20" s="703"/>
      <c r="V20" s="702"/>
      <c r="W20" s="703"/>
      <c r="X20" s="1349"/>
      <c r="Y20" s="3748"/>
      <c r="Z20" s="1350"/>
      <c r="AA20" s="1347">
        <v>1</v>
      </c>
      <c r="AB20" s="1347">
        <v>1</v>
      </c>
      <c r="AC20" s="1347">
        <v>1</v>
      </c>
    </row>
    <row r="21" spans="1:29" ht="15">
      <c r="A21" s="376"/>
      <c r="B21" s="1125" t="s">
        <v>1779</v>
      </c>
      <c r="C21" s="1894">
        <f>估价对象房地状况!C8</f>
        <v>0</v>
      </c>
      <c r="D21" s="403">
        <v>100</v>
      </c>
      <c r="E21" s="405"/>
      <c r="F21" s="406">
        <f>SUMIF(82:82,E22,83:83)-SUMIF(82:82,C22,83:83)+100</f>
        <v>100</v>
      </c>
      <c r="G21" s="407"/>
      <c r="H21" s="398">
        <f>SUMIF(82:82,G22,83:83)-SUMIF(82:82,C22,83:83)+100</f>
        <v>100</v>
      </c>
      <c r="I21" s="405"/>
      <c r="J21" s="398">
        <f>SUMIF(82:82,I22,83:83)-SUMIF(82:82,C22,83:83)+100</f>
        <v>100</v>
      </c>
      <c r="K21" s="560"/>
      <c r="L21" s="2716"/>
      <c r="M21" s="2710"/>
      <c r="N21" s="2710"/>
      <c r="O21" s="2710"/>
      <c r="P21" s="3755"/>
      <c r="Q21" s="1346" t="str">
        <f>B21</f>
        <v>基础设施水平</v>
      </c>
      <c r="R21" s="702" t="s">
        <v>14</v>
      </c>
      <c r="S21" s="703">
        <f>F21</f>
        <v>100</v>
      </c>
      <c r="T21" s="702" t="s">
        <v>14</v>
      </c>
      <c r="U21" s="703">
        <f>H21</f>
        <v>100</v>
      </c>
      <c r="V21" s="702" t="s">
        <v>14</v>
      </c>
      <c r="W21" s="703">
        <f>J21</f>
        <v>100</v>
      </c>
      <c r="X21" s="1349"/>
      <c r="Y21" s="3748"/>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7"/>
      <c r="G22" s="395"/>
      <c r="H22" s="396"/>
      <c r="I22" s="395"/>
      <c r="J22" s="396"/>
      <c r="K22" s="1124"/>
      <c r="L22" s="2716"/>
      <c r="M22" s="2710"/>
      <c r="N22" s="2710"/>
      <c r="O22" s="2710"/>
      <c r="P22" s="3755"/>
      <c r="Q22" s="1346"/>
      <c r="R22" s="702"/>
      <c r="S22" s="703"/>
      <c r="T22" s="702"/>
      <c r="U22" s="703"/>
      <c r="V22" s="702"/>
      <c r="W22" s="703"/>
      <c r="X22" s="1349"/>
      <c r="Y22" s="3748"/>
      <c r="Z22" s="1350"/>
      <c r="AA22" s="1347">
        <v>1</v>
      </c>
      <c r="AB22" s="1347">
        <v>1</v>
      </c>
      <c r="AC22" s="1347">
        <v>1</v>
      </c>
    </row>
    <row r="23" spans="1:29" ht="15">
      <c r="A23" s="376"/>
      <c r="B23" s="399" t="s">
        <v>1261</v>
      </c>
      <c r="C23" s="1949">
        <f>估价对象房地状况!C9</f>
        <v>0</v>
      </c>
      <c r="D23" s="398">
        <v>100</v>
      </c>
      <c r="E23" s="400"/>
      <c r="F23" s="401">
        <f>SUMIF(84:84,E24,85:85)-SUMIF(84:84,C24,85:85)+100</f>
        <v>100</v>
      </c>
      <c r="G23" s="402"/>
      <c r="H23" s="398">
        <f>SUMIF(84:84,G24,85:85)-SUMIF(84:84,C24,85:85)+100</f>
        <v>100</v>
      </c>
      <c r="I23" s="400"/>
      <c r="J23" s="398">
        <f>SUMIF(84:84,I24,85:85)-SUMIF(84:84,C24,85:85)+100</f>
        <v>100</v>
      </c>
      <c r="K23" s="560"/>
      <c r="L23" s="2716"/>
      <c r="M23" s="2710"/>
      <c r="N23" s="2710"/>
      <c r="O23" s="2710"/>
      <c r="P23" s="3755"/>
      <c r="Q23" s="1346" t="str">
        <f>B23</f>
        <v>自然及人文环境</v>
      </c>
      <c r="R23" s="702" t="s">
        <v>14</v>
      </c>
      <c r="S23" s="703">
        <f>F23</f>
        <v>100</v>
      </c>
      <c r="T23" s="702" t="s">
        <v>14</v>
      </c>
      <c r="U23" s="703">
        <f>H23</f>
        <v>100</v>
      </c>
      <c r="V23" s="702" t="s">
        <v>14</v>
      </c>
      <c r="W23" s="703">
        <f>J23</f>
        <v>100</v>
      </c>
      <c r="X23" s="1349"/>
      <c r="Y23" s="3748"/>
      <c r="Z23" s="1350" t="str">
        <f>Q23</f>
        <v>自然及人文环境</v>
      </c>
      <c r="AA23" s="1347">
        <f t="shared" si="3"/>
        <v>1</v>
      </c>
      <c r="AB23" s="1347">
        <f t="shared" si="4"/>
        <v>1</v>
      </c>
      <c r="AC23" s="1347">
        <f t="shared" si="5"/>
        <v>1</v>
      </c>
    </row>
    <row r="24" spans="1:29" ht="15">
      <c r="A24" s="376"/>
      <c r="B24" s="404"/>
      <c r="C24" s="395"/>
      <c r="D24" s="396"/>
      <c r="E24" s="1892"/>
      <c r="F24" s="397"/>
      <c r="G24" s="1891"/>
      <c r="H24" s="396"/>
      <c r="I24" s="1892"/>
      <c r="J24" s="396"/>
      <c r="K24" s="561"/>
      <c r="L24" s="2716"/>
      <c r="M24" s="2710"/>
      <c r="N24" s="2710"/>
      <c r="O24" s="2710"/>
      <c r="P24" s="3755"/>
      <c r="Q24" s="1346"/>
      <c r="R24" s="702"/>
      <c r="S24" s="703"/>
      <c r="T24" s="702"/>
      <c r="U24" s="703"/>
      <c r="V24" s="702"/>
      <c r="W24" s="703"/>
      <c r="X24" s="1349"/>
      <c r="Y24" s="3748"/>
      <c r="Z24" s="1350"/>
      <c r="AA24" s="1347">
        <v>1</v>
      </c>
      <c r="AB24" s="1347">
        <v>1</v>
      </c>
      <c r="AC24" s="1347">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6"/>
      <c r="M25" s="2710"/>
      <c r="N25" s="2710"/>
      <c r="O25" s="2710"/>
      <c r="P25" s="3755"/>
      <c r="Q25" s="1346" t="str">
        <f t="shared" ref="Q25:Q46" si="11">B25</f>
        <v>临街状况</v>
      </c>
      <c r="R25" s="702" t="s">
        <v>14</v>
      </c>
      <c r="S25" s="703">
        <f>F25</f>
        <v>100</v>
      </c>
      <c r="T25" s="702" t="s">
        <v>14</v>
      </c>
      <c r="U25" s="703">
        <f>H25</f>
        <v>100</v>
      </c>
      <c r="V25" s="702" t="s">
        <v>14</v>
      </c>
      <c r="W25" s="703">
        <f>J25</f>
        <v>100</v>
      </c>
      <c r="X25" s="1349"/>
      <c r="Y25" s="3748"/>
      <c r="Z25" s="1350" t="str">
        <f>Q25</f>
        <v>临街状况</v>
      </c>
      <c r="AA25" s="1347">
        <f t="shared" si="3"/>
        <v>1</v>
      </c>
      <c r="AB25" s="1347">
        <f t="shared" si="4"/>
        <v>1</v>
      </c>
      <c r="AC25" s="1347">
        <f t="shared" si="5"/>
        <v>1</v>
      </c>
    </row>
    <row r="26" spans="1:29" ht="15">
      <c r="A26" s="376"/>
      <c r="B26" s="1127" t="s">
        <v>1781</v>
      </c>
      <c r="C26" s="382"/>
      <c r="D26" s="383">
        <v>100</v>
      </c>
      <c r="E26" s="382"/>
      <c r="F26" s="409">
        <f>SUMIF(88:88,E26,89:89)-SUMIF(88:88,C26,89:89)+100</f>
        <v>100</v>
      </c>
      <c r="G26" s="382"/>
      <c r="H26" s="383">
        <f>SUMIF(88:88,G26,89:89)-SUMIF(88:88,C26,89:89)+100</f>
        <v>100</v>
      </c>
      <c r="I26" s="382"/>
      <c r="J26" s="383">
        <f>SUMIF(88:88,I26,89:89)-SUMIF(88:88,C26,89:89)+100</f>
        <v>100</v>
      </c>
      <c r="K26" s="559"/>
      <c r="L26" s="2716"/>
      <c r="M26" s="2710"/>
      <c r="N26" s="2710"/>
      <c r="O26" s="2710"/>
      <c r="P26" s="3755"/>
      <c r="Q26" s="1346" t="str">
        <f t="shared" si="11"/>
        <v>平面位置/可视性</v>
      </c>
      <c r="R26" s="702" t="s">
        <v>14</v>
      </c>
      <c r="S26" s="703">
        <f>F26</f>
        <v>100</v>
      </c>
      <c r="T26" s="702" t="s">
        <v>14</v>
      </c>
      <c r="U26" s="703">
        <f>H26</f>
        <v>100</v>
      </c>
      <c r="V26" s="702" t="s">
        <v>14</v>
      </c>
      <c r="W26" s="703">
        <f>J26</f>
        <v>100</v>
      </c>
      <c r="X26" s="1349"/>
      <c r="Y26" s="3748"/>
      <c r="Z26" s="1350" t="str">
        <f>Q26</f>
        <v>平面位置/可视性</v>
      </c>
      <c r="AA26" s="1347">
        <f t="shared" si="3"/>
        <v>1</v>
      </c>
      <c r="AB26" s="1347">
        <f t="shared" si="4"/>
        <v>1</v>
      </c>
      <c r="AC26" s="1347">
        <f t="shared" si="5"/>
        <v>1</v>
      </c>
    </row>
    <row r="27" spans="1:29" s="105" customFormat="1" ht="15">
      <c r="A27" s="379"/>
      <c r="B27" s="399" t="s">
        <v>1782</v>
      </c>
      <c r="C27" s="1950"/>
      <c r="D27" s="410">
        <v>100</v>
      </c>
      <c r="E27" s="1950"/>
      <c r="F27" s="412">
        <f>SUMIF(90:90,E27,91:91)-SUMIF(90:90,C27,91:91)+100</f>
        <v>100</v>
      </c>
      <c r="G27" s="1950"/>
      <c r="H27" s="410">
        <f>SUMIF(90:90,G27,91:91)-SUMIF(90:90,C27,91:91)+100</f>
        <v>100</v>
      </c>
      <c r="I27" s="1950"/>
      <c r="J27" s="410">
        <f>SUMIF(90:90,I27,91:91)-SUMIF(90:90,C27,91:91)+100</f>
        <v>100</v>
      </c>
      <c r="K27" s="558"/>
      <c r="L27" s="2711"/>
      <c r="M27" s="2712"/>
      <c r="N27" s="2712"/>
      <c r="O27" s="2712"/>
      <c r="P27" s="3755"/>
      <c r="Q27" s="1337" t="str">
        <f t="shared" si="11"/>
        <v>人流量</v>
      </c>
      <c r="R27" s="698" t="s">
        <v>14</v>
      </c>
      <c r="S27" s="699">
        <f>F27</f>
        <v>100</v>
      </c>
      <c r="T27" s="698" t="s">
        <v>14</v>
      </c>
      <c r="U27" s="699">
        <f>H27</f>
        <v>100</v>
      </c>
      <c r="V27" s="698" t="s">
        <v>14</v>
      </c>
      <c r="W27" s="699">
        <f>J27</f>
        <v>100</v>
      </c>
      <c r="X27" s="700"/>
      <c r="Y27" s="3748"/>
      <c r="Z27" s="52" t="str">
        <f>Q27</f>
        <v>人流量</v>
      </c>
      <c r="AA27" s="1347">
        <f>D27/F27</f>
        <v>1</v>
      </c>
      <c r="AB27" s="1347">
        <f>D27/H27</f>
        <v>1</v>
      </c>
      <c r="AC27" s="1347">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6"/>
      <c r="M28" s="2710"/>
      <c r="N28" s="2710"/>
      <c r="O28" s="2710"/>
      <c r="P28" s="3755"/>
      <c r="Q28" s="1346" t="str">
        <f t="shared" si="11"/>
        <v>楼层</v>
      </c>
      <c r="R28" s="702" t="s">
        <v>14</v>
      </c>
      <c r="S28" s="703">
        <f t="shared" ref="S28:S46" si="12">F28</f>
        <v>100</v>
      </c>
      <c r="T28" s="702" t="s">
        <v>14</v>
      </c>
      <c r="U28" s="703">
        <f t="shared" ref="U28:U46" si="13">H28</f>
        <v>100</v>
      </c>
      <c r="V28" s="702" t="s">
        <v>14</v>
      </c>
      <c r="W28" s="703">
        <f t="shared" ref="W28:W46" si="14">J28</f>
        <v>100</v>
      </c>
      <c r="X28" s="1349"/>
      <c r="Y28" s="3748"/>
      <c r="Z28" s="1350" t="str">
        <f t="shared" ref="Z28:Z46" si="15">Q28</f>
        <v>楼层</v>
      </c>
      <c r="AA28" s="1347">
        <f t="shared" si="3"/>
        <v>1</v>
      </c>
      <c r="AB28" s="1347">
        <f t="shared" si="4"/>
        <v>1</v>
      </c>
      <c r="AC28" s="1347">
        <f t="shared" si="5"/>
        <v>1</v>
      </c>
    </row>
    <row r="29" spans="1:29" ht="15">
      <c r="A29" s="376"/>
      <c r="B29" s="1127">
        <v>111</v>
      </c>
      <c r="C29" s="382"/>
      <c r="D29" s="383">
        <v>100</v>
      </c>
      <c r="E29" s="382"/>
      <c r="F29" s="409">
        <f>SUMIF(94:94,E29,95:95)-SUMIF(94:94,C29,95:95)+100</f>
        <v>100</v>
      </c>
      <c r="G29" s="382"/>
      <c r="H29" s="383">
        <f>SUMIF(94:94,G29,95:95)-SUMIF(94:94,C29,95:95)+100</f>
        <v>100</v>
      </c>
      <c r="I29" s="382"/>
      <c r="J29" s="383">
        <f>SUMIF(94:94,I29,95:95)-SUMIF(94:94,C29,95:95)+100</f>
        <v>100</v>
      </c>
      <c r="K29" s="559"/>
      <c r="L29" s="2716"/>
      <c r="M29" s="2710"/>
      <c r="N29" s="2710"/>
      <c r="O29" s="2710"/>
      <c r="P29" s="3755"/>
      <c r="Q29" s="1346">
        <f t="shared" si="11"/>
        <v>111</v>
      </c>
      <c r="R29" s="702" t="s">
        <v>14</v>
      </c>
      <c r="S29" s="703">
        <f t="shared" si="12"/>
        <v>100</v>
      </c>
      <c r="T29" s="702" t="s">
        <v>14</v>
      </c>
      <c r="U29" s="703">
        <f t="shared" si="13"/>
        <v>100</v>
      </c>
      <c r="V29" s="702" t="s">
        <v>14</v>
      </c>
      <c r="W29" s="703">
        <f t="shared" si="14"/>
        <v>100</v>
      </c>
      <c r="X29" s="1349"/>
      <c r="Y29" s="3748"/>
      <c r="Z29" s="1350">
        <f t="shared" si="15"/>
        <v>111</v>
      </c>
      <c r="AA29" s="1347">
        <f t="shared" si="3"/>
        <v>1</v>
      </c>
      <c r="AB29" s="1347">
        <f t="shared" si="4"/>
        <v>1</v>
      </c>
      <c r="AC29" s="1347">
        <f t="shared" si="5"/>
        <v>1</v>
      </c>
    </row>
    <row r="30" spans="1:29" ht="15">
      <c r="A30" s="376"/>
      <c r="B30" s="1127">
        <v>111</v>
      </c>
      <c r="C30" s="382"/>
      <c r="D30" s="383">
        <v>100</v>
      </c>
      <c r="E30" s="382"/>
      <c r="F30" s="409">
        <f>SUMIF(96:96,E30,97:97)-SUMIF(96:96,C30,97:97)+100</f>
        <v>100</v>
      </c>
      <c r="G30" s="382"/>
      <c r="H30" s="383">
        <f>SUMIF(96:96,G30,97:97)-SUMIF(96:96,C30,97:97)+100</f>
        <v>100</v>
      </c>
      <c r="I30" s="382"/>
      <c r="J30" s="383">
        <f>SUMIF(96:96,I30,97:97)-SUMIF(96:96,C30,97:97)+100</f>
        <v>100</v>
      </c>
      <c r="K30" s="559"/>
      <c r="L30" s="2716"/>
      <c r="M30" s="2710"/>
      <c r="N30" s="2710"/>
      <c r="O30" s="2710"/>
      <c r="P30" s="3755"/>
      <c r="Q30" s="1346">
        <f t="shared" si="11"/>
        <v>111</v>
      </c>
      <c r="R30" s="702" t="s">
        <v>14</v>
      </c>
      <c r="S30" s="703">
        <f t="shared" si="12"/>
        <v>100</v>
      </c>
      <c r="T30" s="702" t="s">
        <v>14</v>
      </c>
      <c r="U30" s="703">
        <f t="shared" si="13"/>
        <v>100</v>
      </c>
      <c r="V30" s="702" t="s">
        <v>14</v>
      </c>
      <c r="W30" s="703">
        <f t="shared" si="14"/>
        <v>100</v>
      </c>
      <c r="X30" s="1349"/>
      <c r="Y30" s="3748"/>
      <c r="Z30" s="1350">
        <f t="shared" si="15"/>
        <v>111</v>
      </c>
      <c r="AA30" s="1347">
        <f t="shared" si="3"/>
        <v>1</v>
      </c>
      <c r="AB30" s="1347">
        <f t="shared" si="4"/>
        <v>1</v>
      </c>
      <c r="AC30" s="1347">
        <f t="shared" si="5"/>
        <v>1</v>
      </c>
    </row>
    <row r="31" spans="1:29" ht="15.75" thickBot="1">
      <c r="A31" s="384"/>
      <c r="B31" s="1127">
        <v>111</v>
      </c>
      <c r="C31" s="385"/>
      <c r="D31" s="386">
        <v>100</v>
      </c>
      <c r="E31" s="382"/>
      <c r="F31" s="387">
        <f>SUMIF(98:98,E31,99:99)-SUMIF(98:98,C31,99:99)+100</f>
        <v>100</v>
      </c>
      <c r="G31" s="382"/>
      <c r="H31" s="386">
        <f>SUMIF(98:98,G31,99:99)-SUMIF(98:98,C31,99:99)+100</f>
        <v>100</v>
      </c>
      <c r="I31" s="382"/>
      <c r="J31" s="386">
        <f>SUMIF(98:98,I31,99:99)-SUMIF(98:98,C31,99:99)+100</f>
        <v>100</v>
      </c>
      <c r="K31" s="559"/>
      <c r="L31" s="2716"/>
      <c r="M31" s="2710"/>
      <c r="N31" s="2710"/>
      <c r="O31" s="2710"/>
      <c r="P31" s="3755"/>
      <c r="Q31" s="1346">
        <f t="shared" si="11"/>
        <v>111</v>
      </c>
      <c r="R31" s="702" t="s">
        <v>14</v>
      </c>
      <c r="S31" s="703">
        <f t="shared" si="12"/>
        <v>100</v>
      </c>
      <c r="T31" s="702" t="s">
        <v>14</v>
      </c>
      <c r="U31" s="703">
        <f t="shared" si="13"/>
        <v>100</v>
      </c>
      <c r="V31" s="702" t="s">
        <v>14</v>
      </c>
      <c r="W31" s="703">
        <f t="shared" si="14"/>
        <v>100</v>
      </c>
      <c r="X31" s="1349"/>
      <c r="Y31" s="3748"/>
      <c r="Z31" s="1350">
        <f t="shared" si="15"/>
        <v>111</v>
      </c>
      <c r="AA31" s="1347">
        <f t="shared" si="3"/>
        <v>1</v>
      </c>
      <c r="AB31" s="1347">
        <f t="shared" si="4"/>
        <v>1</v>
      </c>
      <c r="AC31" s="1347">
        <f t="shared" si="5"/>
        <v>1</v>
      </c>
    </row>
    <row r="32" spans="1:29" ht="15">
      <c r="A32" s="388" t="s">
        <v>1694</v>
      </c>
      <c r="B32" s="63" t="s">
        <v>1784</v>
      </c>
      <c r="C32" s="1904"/>
      <c r="D32" s="415">
        <v>100</v>
      </c>
      <c r="E32" s="1904"/>
      <c r="F32" s="409">
        <f>SUMIF(100:100,E32,101:101)-SUMIF(100:100,C32,101:101)+100</f>
        <v>100</v>
      </c>
      <c r="G32" s="1904"/>
      <c r="H32" s="383">
        <f>SUMIF(100:100,G32,101:101)-SUMIF(100:100,C32,101:101)+100</f>
        <v>100</v>
      </c>
      <c r="I32" s="1904"/>
      <c r="J32" s="415">
        <f>SUMIF(100:100,I32,101:101)-SUMIF(100:100,C32,101:101)+100</f>
        <v>100</v>
      </c>
      <c r="K32" s="558"/>
      <c r="L32" s="2716"/>
      <c r="M32" s="2710"/>
      <c r="N32" s="2710"/>
      <c r="O32" s="2710"/>
      <c r="P32" s="3749" t="s">
        <v>1696</v>
      </c>
      <c r="Q32" s="1346" t="str">
        <f t="shared" si="11"/>
        <v>商业类型</v>
      </c>
      <c r="R32" s="702" t="s">
        <v>14</v>
      </c>
      <c r="S32" s="703">
        <f t="shared" si="12"/>
        <v>100</v>
      </c>
      <c r="T32" s="702" t="s">
        <v>14</v>
      </c>
      <c r="U32" s="703">
        <f t="shared" si="13"/>
        <v>100</v>
      </c>
      <c r="V32" s="702" t="s">
        <v>14</v>
      </c>
      <c r="W32" s="703">
        <f t="shared" si="14"/>
        <v>100</v>
      </c>
      <c r="X32" s="1349"/>
      <c r="Y32" s="3752" t="s">
        <v>1696</v>
      </c>
      <c r="Z32" s="1350" t="str">
        <f t="shared" si="15"/>
        <v>商业类型</v>
      </c>
      <c r="AA32" s="1347">
        <f t="shared" si="3"/>
        <v>1</v>
      </c>
      <c r="AB32" s="1347">
        <f t="shared" si="4"/>
        <v>1</v>
      </c>
      <c r="AC32" s="1347">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5"/>
      <c r="M33" s="2717"/>
      <c r="N33" s="2717"/>
      <c r="O33" s="2717"/>
      <c r="P33" s="3750"/>
      <c r="Q33" s="704" t="str">
        <f t="shared" si="11"/>
        <v>项目建筑规模</v>
      </c>
      <c r="R33" s="705" t="s">
        <v>14</v>
      </c>
      <c r="S33" s="706" t="e">
        <f t="shared" si="12"/>
        <v>#N/A</v>
      </c>
      <c r="T33" s="705" t="s">
        <v>14</v>
      </c>
      <c r="U33" s="706" t="e">
        <f t="shared" si="13"/>
        <v>#N/A</v>
      </c>
      <c r="V33" s="705" t="s">
        <v>14</v>
      </c>
      <c r="W33" s="706" t="e">
        <f t="shared" si="14"/>
        <v>#N/A</v>
      </c>
      <c r="X33" s="707"/>
      <c r="Y33" s="3752"/>
      <c r="Z33" s="708" t="str">
        <f t="shared" si="15"/>
        <v>项目建筑规模</v>
      </c>
      <c r="AA33" s="1347" t="e">
        <f t="shared" si="3"/>
        <v>#N/A</v>
      </c>
      <c r="AB33" s="1347" t="e">
        <f t="shared" si="4"/>
        <v>#N/A</v>
      </c>
      <c r="AC33" s="1347"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6"/>
      <c r="M34" s="2710"/>
      <c r="N34" s="2710"/>
      <c r="O34" s="2710"/>
      <c r="P34" s="3750"/>
      <c r="Q34" s="1346" t="str">
        <f t="shared" si="11"/>
        <v>建筑结构</v>
      </c>
      <c r="R34" s="702" t="s">
        <v>14</v>
      </c>
      <c r="S34" s="703">
        <f t="shared" si="12"/>
        <v>100</v>
      </c>
      <c r="T34" s="702" t="s">
        <v>14</v>
      </c>
      <c r="U34" s="703">
        <f t="shared" si="13"/>
        <v>100</v>
      </c>
      <c r="V34" s="702" t="s">
        <v>14</v>
      </c>
      <c r="W34" s="703">
        <f t="shared" si="14"/>
        <v>100</v>
      </c>
      <c r="X34" s="1349"/>
      <c r="Y34" s="3752"/>
      <c r="Z34" s="1350" t="str">
        <f t="shared" si="15"/>
        <v>建筑结构</v>
      </c>
      <c r="AA34" s="1347">
        <f t="shared" si="3"/>
        <v>1</v>
      </c>
      <c r="AB34" s="1347">
        <f t="shared" si="4"/>
        <v>1</v>
      </c>
      <c r="AC34" s="1347">
        <f t="shared" si="5"/>
        <v>1</v>
      </c>
    </row>
    <row r="35" spans="1:29" ht="15">
      <c r="A35" s="420"/>
      <c r="B35" s="372" t="s">
        <v>1785</v>
      </c>
      <c r="C35" s="1900"/>
      <c r="D35" s="383">
        <v>100</v>
      </c>
      <c r="E35" s="1900"/>
      <c r="F35" s="409">
        <f>SUMIF(107:107,E35,108:108)-SUMIF(107:107,C35,108:108)+100</f>
        <v>100</v>
      </c>
      <c r="G35" s="1900"/>
      <c r="H35" s="383">
        <f>SUMIF(107:107,G35,108:108)-SUMIF(107:107,C35,108:108)+100</f>
        <v>100</v>
      </c>
      <c r="I35" s="1900"/>
      <c r="J35" s="383">
        <f>SUMIF(107:107,I35,108:108)-SUMIF(107:107,C35,108:108)+100</f>
        <v>100</v>
      </c>
      <c r="K35" s="558"/>
      <c r="L35" s="2716"/>
      <c r="M35" s="2710"/>
      <c r="N35" s="2710"/>
      <c r="O35" s="2710"/>
      <c r="P35" s="3750"/>
      <c r="Q35" s="1346" t="str">
        <f t="shared" si="11"/>
        <v>公共部分装修</v>
      </c>
      <c r="R35" s="702" t="s">
        <v>14</v>
      </c>
      <c r="S35" s="703">
        <f t="shared" si="12"/>
        <v>100</v>
      </c>
      <c r="T35" s="702" t="s">
        <v>14</v>
      </c>
      <c r="U35" s="703">
        <f t="shared" si="13"/>
        <v>100</v>
      </c>
      <c r="V35" s="702" t="s">
        <v>14</v>
      </c>
      <c r="W35" s="703">
        <f t="shared" si="14"/>
        <v>100</v>
      </c>
      <c r="X35" s="1349"/>
      <c r="Y35" s="3752"/>
      <c r="Z35" s="1350" t="str">
        <f t="shared" si="15"/>
        <v>公共部分装修</v>
      </c>
      <c r="AA35" s="1347">
        <f t="shared" si="3"/>
        <v>1</v>
      </c>
      <c r="AB35" s="1347">
        <f t="shared" si="4"/>
        <v>1</v>
      </c>
      <c r="AC35" s="1347">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6"/>
      <c r="M36" s="2710"/>
      <c r="N36" s="2710"/>
      <c r="O36" s="2710"/>
      <c r="P36" s="3750"/>
      <c r="Q36" s="1346" t="str">
        <f t="shared" si="11"/>
        <v>成新度</v>
      </c>
      <c r="R36" s="702" t="s">
        <v>14</v>
      </c>
      <c r="S36" s="703" t="e">
        <f t="shared" si="12"/>
        <v>#N/A</v>
      </c>
      <c r="T36" s="702" t="s">
        <v>14</v>
      </c>
      <c r="U36" s="703" t="e">
        <f t="shared" si="13"/>
        <v>#N/A</v>
      </c>
      <c r="V36" s="702" t="s">
        <v>14</v>
      </c>
      <c r="W36" s="703" t="e">
        <f t="shared" si="14"/>
        <v>#N/A</v>
      </c>
      <c r="X36" s="1349"/>
      <c r="Y36" s="3752"/>
      <c r="Z36" s="1350" t="str">
        <f t="shared" si="15"/>
        <v>成新度</v>
      </c>
      <c r="AA36" s="1347" t="e">
        <f t="shared" si="3"/>
        <v>#N/A</v>
      </c>
      <c r="AB36" s="1347" t="e">
        <f t="shared" si="4"/>
        <v>#N/A</v>
      </c>
      <c r="AC36" s="1347" t="e">
        <f t="shared" si="5"/>
        <v>#N/A</v>
      </c>
    </row>
    <row r="37" spans="1:29" s="105" customFormat="1" ht="15">
      <c r="A37" s="421"/>
      <c r="B37" s="372" t="s">
        <v>1787</v>
      </c>
      <c r="C37" s="1900"/>
      <c r="D37" s="124">
        <v>100</v>
      </c>
      <c r="E37" s="1900"/>
      <c r="F37" s="409">
        <f>SUMIF(112:112,E37,113:113)-SUMIF(112:112,C37,113:113)+100</f>
        <v>100</v>
      </c>
      <c r="G37" s="1900"/>
      <c r="H37" s="383">
        <f>SUMIF(112:112,G37,113:113)-SUMIF(112:112,C37,113:113)+100</f>
        <v>100</v>
      </c>
      <c r="I37" s="1900"/>
      <c r="J37" s="383">
        <f>SUMIF(112:112,I37,113:113)-SUMIF(112:112,C37,113:113)+100</f>
        <v>100</v>
      </c>
      <c r="K37" s="558"/>
      <c r="L37" s="2711"/>
      <c r="M37" s="2712"/>
      <c r="N37" s="2712"/>
      <c r="O37" s="2712"/>
      <c r="P37" s="3750"/>
      <c r="Q37" s="1337" t="str">
        <f t="shared" si="11"/>
        <v>市政基础设施</v>
      </c>
      <c r="R37" s="698" t="s">
        <v>14</v>
      </c>
      <c r="S37" s="699">
        <f t="shared" si="12"/>
        <v>100</v>
      </c>
      <c r="T37" s="698" t="s">
        <v>14</v>
      </c>
      <c r="U37" s="699">
        <f t="shared" si="13"/>
        <v>100</v>
      </c>
      <c r="V37" s="698" t="s">
        <v>14</v>
      </c>
      <c r="W37" s="699">
        <f t="shared" si="14"/>
        <v>100</v>
      </c>
      <c r="X37" s="700"/>
      <c r="Y37" s="3752"/>
      <c r="Z37" s="52" t="str">
        <f t="shared" si="15"/>
        <v>市政基础设施</v>
      </c>
      <c r="AA37" s="701">
        <f t="shared" si="3"/>
        <v>1</v>
      </c>
      <c r="AB37" s="701">
        <f t="shared" si="4"/>
        <v>1</v>
      </c>
      <c r="AC37" s="701">
        <f t="shared" si="5"/>
        <v>1</v>
      </c>
    </row>
    <row r="38" spans="1:29" ht="15">
      <c r="A38" s="420"/>
      <c r="B38" s="372" t="s">
        <v>1788</v>
      </c>
      <c r="C38" s="1900"/>
      <c r="D38" s="383">
        <v>100</v>
      </c>
      <c r="E38" s="1900"/>
      <c r="F38" s="409">
        <f>SUMIF(114:114,E38,115:115)-SUMIF(114:114,C38,115:115)+100</f>
        <v>100</v>
      </c>
      <c r="G38" s="1900"/>
      <c r="H38" s="383">
        <f>SUMIF(114:114,G38,115:115)-SUMIF(114:114,C38,115:115)+100</f>
        <v>100</v>
      </c>
      <c r="I38" s="1900"/>
      <c r="J38" s="383">
        <f>SUMIF(114:114,I38,115:115)-SUMIF(114:114,C38,115:115)+100</f>
        <v>100</v>
      </c>
      <c r="K38" s="558"/>
      <c r="L38" s="2716"/>
      <c r="M38" s="2710"/>
      <c r="N38" s="2710"/>
      <c r="O38" s="2710"/>
      <c r="P38" s="3750" t="s">
        <v>1696</v>
      </c>
      <c r="Q38" s="1346" t="str">
        <f t="shared" si="11"/>
        <v>业态</v>
      </c>
      <c r="R38" s="702" t="s">
        <v>14</v>
      </c>
      <c r="S38" s="703">
        <f t="shared" si="12"/>
        <v>100</v>
      </c>
      <c r="T38" s="702" t="s">
        <v>14</v>
      </c>
      <c r="U38" s="703">
        <f t="shared" si="13"/>
        <v>100</v>
      </c>
      <c r="V38" s="702" t="s">
        <v>14</v>
      </c>
      <c r="W38" s="703">
        <f t="shared" si="14"/>
        <v>100</v>
      </c>
      <c r="X38" s="1349"/>
      <c r="Y38" s="3752" t="s">
        <v>1696</v>
      </c>
      <c r="Z38" s="1350" t="str">
        <f t="shared" si="15"/>
        <v>业态</v>
      </c>
      <c r="AA38" s="1347">
        <f t="shared" si="3"/>
        <v>1</v>
      </c>
      <c r="AB38" s="1347">
        <f t="shared" si="4"/>
        <v>1</v>
      </c>
      <c r="AC38" s="1347">
        <f t="shared" si="5"/>
        <v>1</v>
      </c>
    </row>
    <row r="39" spans="1:29" ht="15">
      <c r="A39" s="420"/>
      <c r="B39" s="372" t="s">
        <v>1789</v>
      </c>
      <c r="C39" s="1900"/>
      <c r="D39" s="383">
        <v>100</v>
      </c>
      <c r="E39" s="1900"/>
      <c r="F39" s="409">
        <f>SUMIF(116:116,E39,117:117)-SUMIF(116:116,C39,117:117)+100</f>
        <v>100</v>
      </c>
      <c r="G39" s="1900"/>
      <c r="H39" s="383">
        <f>SUMIF(116:116,G39,117:117)-SUMIF(116:116,C39,117:117)+100</f>
        <v>100</v>
      </c>
      <c r="I39" s="1900"/>
      <c r="J39" s="383">
        <f>SUMIF(116:116,I39,117:117)-SUMIF(116:116,C39,117:117)+100</f>
        <v>100</v>
      </c>
      <c r="K39" s="558"/>
      <c r="L39" s="2716"/>
      <c r="M39" s="2710"/>
      <c r="N39" s="2710"/>
      <c r="O39" s="2710"/>
      <c r="P39" s="3750"/>
      <c r="Q39" s="1346" t="str">
        <f t="shared" si="11"/>
        <v>层高</v>
      </c>
      <c r="R39" s="702" t="s">
        <v>14</v>
      </c>
      <c r="S39" s="703">
        <f t="shared" si="12"/>
        <v>100</v>
      </c>
      <c r="T39" s="702" t="s">
        <v>14</v>
      </c>
      <c r="U39" s="703">
        <f t="shared" si="13"/>
        <v>100</v>
      </c>
      <c r="V39" s="702" t="s">
        <v>14</v>
      </c>
      <c r="W39" s="703">
        <f t="shared" si="14"/>
        <v>100</v>
      </c>
      <c r="X39" s="1349"/>
      <c r="Y39" s="3752"/>
      <c r="Z39" s="1350" t="str">
        <f t="shared" si="15"/>
        <v>层高</v>
      </c>
      <c r="AA39" s="1347">
        <f t="shared" si="3"/>
        <v>1</v>
      </c>
      <c r="AB39" s="1347">
        <f t="shared" si="4"/>
        <v>1</v>
      </c>
      <c r="AC39" s="1347">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6"/>
      <c r="M40" s="2710"/>
      <c r="N40" s="2710"/>
      <c r="O40" s="2710"/>
      <c r="P40" s="3750"/>
      <c r="Q40" s="1346" t="str">
        <f t="shared" si="11"/>
        <v>单套建筑面积</v>
      </c>
      <c r="R40" s="702" t="s">
        <v>14</v>
      </c>
      <c r="S40" s="703">
        <f t="shared" si="12"/>
        <v>100</v>
      </c>
      <c r="T40" s="702" t="s">
        <v>14</v>
      </c>
      <c r="U40" s="703">
        <f t="shared" si="13"/>
        <v>100</v>
      </c>
      <c r="V40" s="702" t="s">
        <v>14</v>
      </c>
      <c r="W40" s="703">
        <f t="shared" si="14"/>
        <v>100</v>
      </c>
      <c r="X40" s="1349"/>
      <c r="Y40" s="3752"/>
      <c r="Z40" s="1350" t="str">
        <f t="shared" si="15"/>
        <v>单套建筑面积</v>
      </c>
      <c r="AA40" s="1347">
        <f t="shared" si="3"/>
        <v>1</v>
      </c>
      <c r="AB40" s="1347">
        <f t="shared" si="4"/>
        <v>1</v>
      </c>
      <c r="AC40" s="1347">
        <f t="shared" si="5"/>
        <v>1</v>
      </c>
    </row>
    <row r="41" spans="1:29" s="419" customFormat="1" ht="15">
      <c r="A41" s="416"/>
      <c r="B41" s="1348"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5"/>
      <c r="M41" s="2717"/>
      <c r="N41" s="2717"/>
      <c r="O41" s="2717"/>
      <c r="P41" s="3750"/>
      <c r="Q41" s="704" t="str">
        <f t="shared" si="11"/>
        <v>进深比</v>
      </c>
      <c r="R41" s="705" t="s">
        <v>14</v>
      </c>
      <c r="S41" s="706">
        <f t="shared" si="12"/>
        <v>100</v>
      </c>
      <c r="T41" s="705" t="s">
        <v>14</v>
      </c>
      <c r="U41" s="706">
        <f t="shared" si="13"/>
        <v>100</v>
      </c>
      <c r="V41" s="705" t="s">
        <v>14</v>
      </c>
      <c r="W41" s="706">
        <f t="shared" si="14"/>
        <v>100</v>
      </c>
      <c r="X41" s="707"/>
      <c r="Y41" s="3752"/>
      <c r="Z41" s="708" t="str">
        <f t="shared" si="15"/>
        <v>进深比</v>
      </c>
      <c r="AA41" s="1347">
        <f t="shared" si="3"/>
        <v>1</v>
      </c>
      <c r="AB41" s="1347">
        <f t="shared" si="4"/>
        <v>1</v>
      </c>
      <c r="AC41" s="1347">
        <f t="shared" si="5"/>
        <v>1</v>
      </c>
    </row>
    <row r="42" spans="1:29" ht="15">
      <c r="A42" s="420"/>
      <c r="B42" s="372" t="s">
        <v>1792</v>
      </c>
      <c r="C42" s="1900"/>
      <c r="D42" s="383">
        <v>100</v>
      </c>
      <c r="E42" s="1900"/>
      <c r="F42" s="409">
        <f>SUMIF(122:122,E42,123:123)-SUMIF(122:122,C42,123:123)+100</f>
        <v>100</v>
      </c>
      <c r="G42" s="1900"/>
      <c r="H42" s="383">
        <f>SUMIF(122:122,G42,123:123)-SUMIF(122:122,C42,123:123)+100</f>
        <v>100</v>
      </c>
      <c r="I42" s="1900"/>
      <c r="J42" s="383">
        <f>SUMIF(122:122,I42,123:123)-SUMIF(122:122,C42,123:123)+100</f>
        <v>100</v>
      </c>
      <c r="K42" s="558"/>
      <c r="L42" s="2716"/>
      <c r="M42" s="2710"/>
      <c r="N42" s="2710"/>
      <c r="O42" s="2710"/>
      <c r="P42" s="3750"/>
      <c r="Q42" s="1346" t="str">
        <f t="shared" si="11"/>
        <v>内部装修</v>
      </c>
      <c r="R42" s="702" t="s">
        <v>14</v>
      </c>
      <c r="S42" s="703">
        <f t="shared" si="12"/>
        <v>100</v>
      </c>
      <c r="T42" s="702" t="s">
        <v>14</v>
      </c>
      <c r="U42" s="703">
        <f t="shared" si="13"/>
        <v>100</v>
      </c>
      <c r="V42" s="702" t="s">
        <v>14</v>
      </c>
      <c r="W42" s="703">
        <f t="shared" si="14"/>
        <v>100</v>
      </c>
      <c r="X42" s="1349"/>
      <c r="Y42" s="3752"/>
      <c r="Z42" s="1350" t="str">
        <f t="shared" si="15"/>
        <v>内部装修</v>
      </c>
      <c r="AA42" s="1347">
        <f t="shared" si="3"/>
        <v>1</v>
      </c>
      <c r="AB42" s="1347">
        <f t="shared" si="4"/>
        <v>1</v>
      </c>
      <c r="AC42" s="1347">
        <f t="shared" si="5"/>
        <v>1</v>
      </c>
    </row>
    <row r="43" spans="1:29" ht="15">
      <c r="A43" s="420"/>
      <c r="B43" s="372" t="s">
        <v>1707</v>
      </c>
      <c r="C43" s="1900"/>
      <c r="D43" s="383">
        <v>100</v>
      </c>
      <c r="E43" s="1900"/>
      <c r="F43" s="409">
        <f>SUMIF(124:124,E43,125:125)-SUMIF(124:124,C43,125:125)+100</f>
        <v>100</v>
      </c>
      <c r="G43" s="1900"/>
      <c r="H43" s="383">
        <f>SUMIF(124:124,G43,125:125)-SUMIF(124:124,C43,125:125)+100</f>
        <v>100</v>
      </c>
      <c r="I43" s="1900"/>
      <c r="J43" s="383">
        <f>SUMIF(124:124,I43,125:125)-SUMIF(124:124,C43,125:125)+100</f>
        <v>100</v>
      </c>
      <c r="K43" s="558"/>
      <c r="L43" s="2716"/>
      <c r="M43" s="2710"/>
      <c r="N43" s="2710"/>
      <c r="O43" s="2710"/>
      <c r="P43" s="3750"/>
      <c r="Q43" s="1346" t="str">
        <f t="shared" si="11"/>
        <v>内部装修维护情况</v>
      </c>
      <c r="R43" s="702" t="s">
        <v>14</v>
      </c>
      <c r="S43" s="703">
        <f t="shared" si="12"/>
        <v>100</v>
      </c>
      <c r="T43" s="702" t="s">
        <v>14</v>
      </c>
      <c r="U43" s="703">
        <f t="shared" si="13"/>
        <v>100</v>
      </c>
      <c r="V43" s="702" t="s">
        <v>14</v>
      </c>
      <c r="W43" s="703">
        <f t="shared" si="14"/>
        <v>100</v>
      </c>
      <c r="X43" s="1349"/>
      <c r="Y43" s="3752"/>
      <c r="Z43" s="1350" t="str">
        <f t="shared" si="15"/>
        <v>内部装修维护情况</v>
      </c>
      <c r="AA43" s="1347">
        <f t="shared" si="3"/>
        <v>1</v>
      </c>
      <c r="AB43" s="1347">
        <f t="shared" si="4"/>
        <v>1</v>
      </c>
      <c r="AC43" s="1347">
        <f t="shared" si="5"/>
        <v>1</v>
      </c>
    </row>
    <row r="44" spans="1:29" s="105" customFormat="1" ht="15">
      <c r="A44" s="421"/>
      <c r="B44" s="1127">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1"/>
      <c r="M44" s="2712"/>
      <c r="N44" s="2712"/>
      <c r="O44" s="2712"/>
      <c r="P44" s="3750"/>
      <c r="Q44" s="1337">
        <f t="shared" si="11"/>
        <v>111</v>
      </c>
      <c r="R44" s="698" t="s">
        <v>14</v>
      </c>
      <c r="S44" s="699">
        <f t="shared" si="12"/>
        <v>100</v>
      </c>
      <c r="T44" s="698" t="s">
        <v>14</v>
      </c>
      <c r="U44" s="699">
        <f t="shared" si="13"/>
        <v>100</v>
      </c>
      <c r="V44" s="698" t="s">
        <v>14</v>
      </c>
      <c r="W44" s="699">
        <f t="shared" si="14"/>
        <v>100</v>
      </c>
      <c r="X44" s="700"/>
      <c r="Y44" s="3752"/>
      <c r="Z44" s="52">
        <f t="shared" si="15"/>
        <v>111</v>
      </c>
      <c r="AA44" s="701">
        <f t="shared" si="3"/>
        <v>1</v>
      </c>
      <c r="AB44" s="701">
        <f t="shared" si="4"/>
        <v>1</v>
      </c>
      <c r="AC44" s="701">
        <f t="shared" si="5"/>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6"/>
      <c r="M45" s="2710"/>
      <c r="N45" s="2710"/>
      <c r="O45" s="2710"/>
      <c r="P45" s="3750"/>
      <c r="Q45" s="1346">
        <f t="shared" si="11"/>
        <v>111</v>
      </c>
      <c r="R45" s="702" t="s">
        <v>14</v>
      </c>
      <c r="S45" s="703">
        <f t="shared" si="12"/>
        <v>100</v>
      </c>
      <c r="T45" s="702" t="s">
        <v>14</v>
      </c>
      <c r="U45" s="703">
        <f t="shared" si="13"/>
        <v>100</v>
      </c>
      <c r="V45" s="702" t="s">
        <v>14</v>
      </c>
      <c r="W45" s="703">
        <f t="shared" si="14"/>
        <v>100</v>
      </c>
      <c r="X45" s="1349"/>
      <c r="Y45" s="3752"/>
      <c r="Z45" s="1350">
        <f t="shared" si="15"/>
        <v>111</v>
      </c>
      <c r="AA45" s="1347">
        <f t="shared" si="3"/>
        <v>1</v>
      </c>
      <c r="AB45" s="1347">
        <f t="shared" si="4"/>
        <v>1</v>
      </c>
      <c r="AC45" s="1347">
        <f t="shared" si="5"/>
        <v>1</v>
      </c>
    </row>
    <row r="46" spans="1:29" ht="15.75" thickBot="1">
      <c r="A46" s="426"/>
      <c r="B46" s="1889">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6"/>
      <c r="M46" s="2710"/>
      <c r="N46" s="2710"/>
      <c r="O46" s="2710"/>
      <c r="P46" s="3751"/>
      <c r="Q46" s="1346">
        <f t="shared" si="11"/>
        <v>111</v>
      </c>
      <c r="R46" s="702" t="s">
        <v>14</v>
      </c>
      <c r="S46" s="703">
        <f t="shared" si="12"/>
        <v>100</v>
      </c>
      <c r="T46" s="702" t="s">
        <v>14</v>
      </c>
      <c r="U46" s="703">
        <f t="shared" si="13"/>
        <v>100</v>
      </c>
      <c r="V46" s="702" t="s">
        <v>14</v>
      </c>
      <c r="W46" s="703">
        <f t="shared" si="14"/>
        <v>100</v>
      </c>
      <c r="X46" s="1349"/>
      <c r="Y46" s="3753"/>
      <c r="Z46" s="1350">
        <f t="shared" si="15"/>
        <v>111</v>
      </c>
      <c r="AA46" s="1347">
        <f t="shared" si="3"/>
        <v>1</v>
      </c>
      <c r="AB46" s="1347">
        <f t="shared" si="4"/>
        <v>1</v>
      </c>
      <c r="AC46" s="1347">
        <f t="shared" si="5"/>
        <v>1</v>
      </c>
    </row>
    <row r="47" spans="1:29" ht="15">
      <c r="A47" s="427" t="s">
        <v>1708</v>
      </c>
      <c r="B47" s="428"/>
      <c r="C47" s="1148" t="s">
        <v>0</v>
      </c>
      <c r="D47" s="1149"/>
      <c r="E47" s="1150"/>
      <c r="F47" s="1151"/>
      <c r="G47" s="1152"/>
      <c r="H47" s="1153"/>
      <c r="I47" s="1150"/>
      <c r="J47" s="1153"/>
      <c r="K47" s="711"/>
      <c r="L47" s="2718"/>
      <c r="M47" s="2719"/>
      <c r="N47" s="2710"/>
      <c r="O47" s="2719"/>
      <c r="P47" s="3745" t="str">
        <f>A47</f>
        <v>成交单价（元/平方米）</v>
      </c>
      <c r="Q47" s="3745"/>
      <c r="R47" s="3740">
        <f>E47</f>
        <v>0</v>
      </c>
      <c r="S47" s="3740"/>
      <c r="T47" s="3740">
        <f>G47</f>
        <v>0</v>
      </c>
      <c r="U47" s="3740"/>
      <c r="V47" s="3740">
        <f>I47</f>
        <v>0</v>
      </c>
      <c r="W47" s="3740"/>
      <c r="X47" s="687"/>
      <c r="Y47" s="709"/>
      <c r="Z47" s="687"/>
      <c r="AA47" s="687"/>
      <c r="AB47" s="687"/>
      <c r="AC47" s="687"/>
    </row>
    <row r="48" spans="1:29" ht="15.75" thickBot="1">
      <c r="A48" s="434" t="s">
        <v>1793</v>
      </c>
      <c r="B48" s="435"/>
      <c r="C48" s="1154" t="e">
        <f>R49</f>
        <v>#DIV/0!</v>
      </c>
      <c r="D48" s="2311" t="s">
        <v>2138</v>
      </c>
      <c r="E48" s="1155" t="e">
        <f>R48</f>
        <v>#DIV/0!</v>
      </c>
      <c r="F48" s="2312"/>
      <c r="G48" s="1154" t="e">
        <f>T48</f>
        <v>#DIV/0!</v>
      </c>
      <c r="H48" s="2312"/>
      <c r="I48" s="1155" t="e">
        <f>V48</f>
        <v>#DIV/0!</v>
      </c>
      <c r="J48" s="2312"/>
      <c r="K48" s="2314">
        <f>F48+H48+J48</f>
        <v>0</v>
      </c>
      <c r="L48" s="2718"/>
      <c r="M48" s="2719"/>
      <c r="N48" s="2710"/>
      <c r="O48" s="2719"/>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87"/>
      <c r="Y48" s="687"/>
      <c r="Z48" s="687"/>
      <c r="AA48" s="687"/>
      <c r="AB48" s="687"/>
      <c r="AC48" s="687"/>
    </row>
    <row r="49" spans="1:29" ht="15.75" thickBot="1">
      <c r="A49" s="438" t="s">
        <v>1794</v>
      </c>
      <c r="B49" s="439"/>
      <c r="C49" s="1157" t="e">
        <f>R49</f>
        <v>#DIV/0!</v>
      </c>
      <c r="D49" s="1157"/>
      <c r="E49" s="1157"/>
      <c r="F49" s="1157"/>
      <c r="G49" s="1157"/>
      <c r="H49" s="1157"/>
      <c r="I49" s="1157"/>
      <c r="J49" s="1157"/>
      <c r="K49" s="712"/>
      <c r="L49" s="2718"/>
      <c r="M49" s="2719"/>
      <c r="N49" s="2710"/>
      <c r="O49" s="2719"/>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87"/>
      <c r="Y49" s="687"/>
      <c r="Z49" s="687"/>
      <c r="AA49" s="687"/>
      <c r="AB49" s="687"/>
      <c r="AC49" s="687"/>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8" customFormat="1" ht="13.5" customHeight="1">
      <c r="A54" s="2722"/>
      <c r="B54" s="2722"/>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8"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1" t="s">
        <v>1798</v>
      </c>
      <c r="B57" s="687"/>
      <c r="C57" s="692"/>
      <c r="D57" s="692"/>
      <c r="E57" s="692"/>
      <c r="F57" s="693"/>
      <c r="G57" s="693"/>
      <c r="H57" s="692"/>
      <c r="I57" s="692"/>
      <c r="J57" s="692"/>
      <c r="K57" s="694"/>
      <c r="L57" s="936"/>
      <c r="M57" s="934"/>
      <c r="N57" s="934"/>
      <c r="O57" s="934"/>
      <c r="P57" s="2732"/>
      <c r="Q57" s="2733"/>
      <c r="R57" s="2719"/>
      <c r="S57" s="2719"/>
      <c r="T57" s="2719"/>
      <c r="U57" s="2719"/>
      <c r="V57" s="2719"/>
      <c r="W57" s="2719"/>
      <c r="X57" s="2719"/>
      <c r="Y57" s="2719"/>
      <c r="Z57" s="2719"/>
      <c r="AA57" s="2719"/>
      <c r="AB57" s="2719"/>
      <c r="AC57" s="2719"/>
    </row>
    <row r="58" spans="1:29" s="454" customFormat="1" ht="15">
      <c r="A58" s="451" t="s">
        <v>1679</v>
      </c>
      <c r="B58" s="452"/>
      <c r="C58" s="1178" t="str">
        <f>YEAR(C7)&amp;"-"&amp;MONTH(C7)</f>
        <v>2024-9</v>
      </c>
      <c r="D58" s="1179">
        <f>EDATE(C58,-1)</f>
        <v>45505</v>
      </c>
      <c r="E58" s="1179">
        <f t="shared" ref="E58:N58" si="16">EDATE(D58,-1)</f>
        <v>45474</v>
      </c>
      <c r="F58" s="1179">
        <f t="shared" si="16"/>
        <v>45444</v>
      </c>
      <c r="G58" s="1179">
        <f t="shared" si="16"/>
        <v>45413</v>
      </c>
      <c r="H58" s="1179">
        <f t="shared" si="16"/>
        <v>45383</v>
      </c>
      <c r="I58" s="1179">
        <f t="shared" si="16"/>
        <v>45352</v>
      </c>
      <c r="J58" s="1179">
        <f t="shared" si="16"/>
        <v>45323</v>
      </c>
      <c r="K58" s="1179">
        <f t="shared" si="16"/>
        <v>45292</v>
      </c>
      <c r="L58" s="1179">
        <f t="shared" si="16"/>
        <v>45261</v>
      </c>
      <c r="M58" s="1179">
        <f t="shared" si="16"/>
        <v>45231</v>
      </c>
      <c r="N58" s="1179">
        <f t="shared" si="16"/>
        <v>45200</v>
      </c>
      <c r="O58" s="1179">
        <f>EDATE(N58,-1)</f>
        <v>45170</v>
      </c>
      <c r="P58" s="2734"/>
      <c r="Q58" s="2735"/>
      <c r="R58" s="2735"/>
      <c r="S58" s="2735"/>
      <c r="T58" s="2735"/>
      <c r="U58" s="2735"/>
      <c r="V58" s="2735"/>
      <c r="W58" s="2735"/>
      <c r="X58" s="2735"/>
      <c r="Y58" s="2735"/>
      <c r="Z58" s="2735"/>
      <c r="AA58" s="2735"/>
      <c r="AB58" s="2735"/>
      <c r="AC58" s="2735"/>
    </row>
    <row r="59" spans="1:29" s="105" customFormat="1" ht="15">
      <c r="A59" s="455"/>
      <c r="B59" s="456"/>
      <c r="C59" s="1177">
        <v>100</v>
      </c>
      <c r="D59" s="458"/>
      <c r="E59" s="458"/>
      <c r="F59" s="458"/>
      <c r="G59" s="458"/>
      <c r="H59" s="458"/>
      <c r="I59" s="458"/>
      <c r="J59" s="458"/>
      <c r="K59" s="458"/>
      <c r="L59" s="458"/>
      <c r="M59" s="459"/>
      <c r="N59" s="458"/>
      <c r="O59" s="459"/>
      <c r="P59" s="2736"/>
      <c r="Q59" s="2655"/>
      <c r="R59" s="2655"/>
      <c r="S59" s="2655"/>
      <c r="T59" s="2655"/>
      <c r="U59" s="2655"/>
      <c r="V59" s="2655"/>
      <c r="W59" s="2655"/>
      <c r="X59" s="2655"/>
      <c r="Y59" s="2655"/>
      <c r="Z59" s="2655"/>
      <c r="AA59" s="2655"/>
      <c r="AB59" s="2655"/>
      <c r="AC59" s="2655"/>
    </row>
    <row r="60" spans="1:29" s="105" customFormat="1" ht="15.75" thickBot="1">
      <c r="A60" s="461" t="s">
        <v>1716</v>
      </c>
      <c r="B60" s="462"/>
      <c r="C60" s="463"/>
      <c r="D60" s="464"/>
      <c r="E60" s="464"/>
      <c r="F60" s="464"/>
      <c r="G60" s="464"/>
      <c r="H60" s="464"/>
      <c r="I60" s="464"/>
      <c r="J60" s="464"/>
      <c r="K60" s="464"/>
      <c r="L60" s="464"/>
      <c r="M60" s="465"/>
      <c r="N60" s="464"/>
      <c r="O60" s="465"/>
      <c r="P60" s="2736"/>
      <c r="Q60" s="2733"/>
      <c r="R60" s="2655"/>
      <c r="S60" s="2655"/>
      <c r="T60" s="2655"/>
      <c r="U60" s="2655"/>
      <c r="V60" s="2655"/>
      <c r="W60" s="2655"/>
      <c r="X60" s="2655"/>
      <c r="Y60" s="2655"/>
      <c r="Z60" s="2655"/>
      <c r="AA60" s="2655"/>
      <c r="AB60" s="2655"/>
      <c r="AC60" s="2655"/>
    </row>
    <row r="61" spans="1:29" s="105" customFormat="1" ht="15">
      <c r="A61" s="467" t="s">
        <v>1681</v>
      </c>
      <c r="B61" s="456"/>
      <c r="C61" s="468" t="s">
        <v>1776</v>
      </c>
      <c r="D61" s="469"/>
      <c r="E61" s="469"/>
      <c r="F61" s="469"/>
      <c r="G61" s="469"/>
      <c r="H61" s="469"/>
      <c r="I61" s="469"/>
      <c r="J61" s="469"/>
      <c r="K61" s="469"/>
      <c r="L61" s="470"/>
      <c r="M61" s="471"/>
      <c r="N61" s="2746"/>
      <c r="O61" s="2746"/>
      <c r="P61" s="2737"/>
      <c r="Q61" s="2733"/>
      <c r="R61" s="2655"/>
      <c r="S61" s="2655"/>
      <c r="T61" s="2655"/>
      <c r="U61" s="2655"/>
      <c r="V61" s="2655"/>
      <c r="W61" s="2655"/>
      <c r="X61" s="2655"/>
      <c r="Y61" s="2655"/>
      <c r="Z61" s="2655"/>
      <c r="AA61" s="2655"/>
      <c r="AB61" s="2655"/>
      <c r="AC61" s="2655"/>
    </row>
    <row r="62" spans="1:29" s="105" customFormat="1" ht="15.75" thickBot="1">
      <c r="A62" s="467"/>
      <c r="B62" s="456"/>
      <c r="C62" s="457">
        <v>100</v>
      </c>
      <c r="D62" s="458"/>
      <c r="E62" s="458"/>
      <c r="F62" s="458"/>
      <c r="G62" s="458"/>
      <c r="H62" s="458"/>
      <c r="I62" s="458"/>
      <c r="J62" s="458"/>
      <c r="K62" s="458"/>
      <c r="L62" s="458"/>
      <c r="M62" s="460"/>
      <c r="N62" s="2746"/>
      <c r="O62" s="2746"/>
      <c r="P62" s="2736"/>
      <c r="Q62" s="2733"/>
      <c r="R62" s="2655"/>
      <c r="S62" s="2655"/>
      <c r="T62" s="2655"/>
      <c r="U62" s="2655"/>
      <c r="V62" s="2655"/>
      <c r="W62" s="2655"/>
      <c r="X62" s="2655"/>
      <c r="Y62" s="2655"/>
      <c r="Z62" s="2655"/>
      <c r="AA62" s="2655"/>
      <c r="AB62" s="2655"/>
      <c r="AC62" s="2655"/>
    </row>
    <row r="63" spans="1:29">
      <c r="A63" s="473" t="s">
        <v>1719</v>
      </c>
      <c r="B63" s="474" t="s">
        <v>1685</v>
      </c>
      <c r="C63" s="475">
        <f>C9</f>
        <v>0</v>
      </c>
      <c r="D63" s="476"/>
      <c r="E63" s="476"/>
      <c r="F63" s="476"/>
      <c r="G63" s="476"/>
      <c r="H63" s="476"/>
      <c r="I63" s="476"/>
      <c r="J63" s="476"/>
      <c r="K63" s="477"/>
      <c r="L63" s="478"/>
      <c r="M63" s="479"/>
      <c r="N63" s="2747"/>
      <c r="O63" s="2747"/>
      <c r="P63" s="2738"/>
      <c r="Q63" s="2733"/>
      <c r="R63" s="2719"/>
      <c r="S63" s="2719"/>
      <c r="T63" s="2719"/>
      <c r="U63" s="2719"/>
      <c r="V63" s="2719"/>
      <c r="W63" s="2719"/>
      <c r="X63" s="2719"/>
      <c r="Y63" s="2719"/>
      <c r="Z63" s="2719"/>
      <c r="AA63" s="2719"/>
      <c r="AB63" s="2719"/>
      <c r="AC63" s="2719"/>
    </row>
    <row r="64" spans="1:29" ht="15.75" thickBot="1">
      <c r="A64" s="480"/>
      <c r="B64" s="481"/>
      <c r="C64" s="482">
        <v>100</v>
      </c>
      <c r="D64" s="482"/>
      <c r="E64" s="482"/>
      <c r="F64" s="482"/>
      <c r="G64" s="482"/>
      <c r="H64" s="482"/>
      <c r="I64" s="482"/>
      <c r="J64" s="482"/>
      <c r="K64" s="482"/>
      <c r="L64" s="482"/>
      <c r="M64" s="483"/>
      <c r="N64" s="2748"/>
      <c r="O64" s="2748"/>
      <c r="P64" s="2738"/>
      <c r="Q64" s="2733"/>
      <c r="R64" s="2719"/>
      <c r="S64" s="2719"/>
      <c r="T64" s="2719"/>
      <c r="U64" s="2719"/>
      <c r="V64" s="2719"/>
      <c r="W64" s="2719"/>
      <c r="X64" s="2719"/>
      <c r="Y64" s="2719"/>
      <c r="Z64" s="2719"/>
      <c r="AA64" s="2719"/>
      <c r="AB64" s="2719"/>
      <c r="AC64" s="2719"/>
    </row>
    <row r="65" spans="1:29" ht="27.75" thickTop="1">
      <c r="A65" s="480"/>
      <c r="B65" s="484" t="s">
        <v>1688</v>
      </c>
      <c r="C65" s="529"/>
      <c r="D65" s="529"/>
      <c r="E65" s="529"/>
      <c r="F65" s="529"/>
      <c r="G65" s="529"/>
      <c r="H65" s="529"/>
      <c r="I65" s="529"/>
      <c r="J65" s="529"/>
      <c r="K65" s="530"/>
      <c r="L65" s="531"/>
      <c r="M65" s="532"/>
      <c r="N65" s="2747"/>
      <c r="O65" s="2747"/>
      <c r="P65" s="2738"/>
      <c r="Q65" s="2733"/>
      <c r="R65" s="2719"/>
      <c r="S65" s="2719"/>
      <c r="T65" s="2719"/>
      <c r="U65" s="2719"/>
      <c r="V65" s="2719"/>
      <c r="W65" s="2719"/>
      <c r="X65" s="2719"/>
      <c r="Y65" s="2719"/>
      <c r="Z65" s="2719"/>
      <c r="AA65" s="2719"/>
      <c r="AB65" s="2719"/>
      <c r="AC65" s="2719"/>
    </row>
    <row r="66" spans="1:29" ht="15.75" thickBot="1">
      <c r="A66" s="480"/>
      <c r="B66" s="489"/>
      <c r="C66" s="482"/>
      <c r="D66" s="482"/>
      <c r="E66" s="482"/>
      <c r="F66" s="482"/>
      <c r="G66" s="482"/>
      <c r="H66" s="482"/>
      <c r="I66" s="482"/>
      <c r="J66" s="482"/>
      <c r="K66" s="482"/>
      <c r="L66" s="482"/>
      <c r="M66" s="483"/>
      <c r="N66" s="2748"/>
      <c r="O66" s="2748"/>
      <c r="P66" s="2738"/>
      <c r="Q66" s="2733"/>
      <c r="R66" s="2719"/>
      <c r="S66" s="2719"/>
      <c r="T66" s="2719"/>
      <c r="U66" s="2719"/>
      <c r="V66" s="2719"/>
      <c r="W66" s="2719"/>
      <c r="X66" s="2719"/>
      <c r="Y66" s="2719"/>
      <c r="Z66" s="2719"/>
      <c r="AA66" s="2719"/>
      <c r="AB66" s="2719"/>
      <c r="AC66" s="2719"/>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0"/>
      <c r="B68" s="494"/>
      <c r="C68" s="495"/>
      <c r="D68" s="495"/>
      <c r="E68" s="495"/>
      <c r="F68" s="495"/>
      <c r="G68" s="495"/>
      <c r="H68" s="495"/>
      <c r="I68" s="495"/>
      <c r="J68" s="495"/>
      <c r="K68" s="496"/>
      <c r="L68" s="497"/>
      <c r="M68" s="498"/>
      <c r="N68" s="2747"/>
      <c r="O68" s="2747"/>
      <c r="P68" s="2738"/>
      <c r="Q68" s="2733"/>
      <c r="R68" s="2719"/>
      <c r="S68" s="2719"/>
      <c r="T68" s="2719"/>
      <c r="U68" s="2719"/>
      <c r="V68" s="2719"/>
      <c r="W68" s="2719"/>
      <c r="X68" s="2719"/>
      <c r="Y68" s="2719"/>
      <c r="Z68" s="2719"/>
      <c r="AA68" s="2719"/>
      <c r="AB68" s="2719"/>
      <c r="AC68" s="2719"/>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8"/>
      <c r="O69" s="2748"/>
      <c r="P69" s="2738"/>
      <c r="Q69" s="2733"/>
      <c r="R69" s="2719"/>
      <c r="S69" s="2719"/>
      <c r="T69" s="2719"/>
      <c r="U69" s="2719"/>
      <c r="V69" s="2719"/>
      <c r="W69" s="2719"/>
      <c r="X69" s="2719"/>
      <c r="Y69" s="2719"/>
      <c r="Z69" s="2719"/>
      <c r="AA69" s="2719"/>
      <c r="AB69" s="2719"/>
      <c r="AC69" s="2719"/>
    </row>
    <row r="70" spans="1:29" s="419" customFormat="1" ht="15.75" thickTop="1">
      <c r="A70" s="499"/>
      <c r="B70" s="484">
        <f>B12</f>
        <v>111</v>
      </c>
      <c r="C70" s="500"/>
      <c r="D70" s="500"/>
      <c r="E70" s="500"/>
      <c r="F70" s="500"/>
      <c r="G70" s="500"/>
      <c r="H70" s="501"/>
      <c r="I70" s="501"/>
      <c r="J70" s="501"/>
      <c r="K70" s="501"/>
      <c r="L70" s="502"/>
      <c r="M70" s="503"/>
      <c r="N70" s="2749"/>
      <c r="O70" s="2749"/>
      <c r="P70" s="2739"/>
      <c r="Q70" s="2740"/>
      <c r="R70" s="2741"/>
      <c r="S70" s="2741"/>
      <c r="T70" s="2741"/>
      <c r="U70" s="2741"/>
      <c r="V70" s="2741"/>
      <c r="W70" s="2741"/>
      <c r="X70" s="2741"/>
      <c r="Y70" s="2741"/>
      <c r="Z70" s="2741"/>
      <c r="AA70" s="2741"/>
      <c r="AB70" s="2741"/>
      <c r="AC70" s="2741"/>
    </row>
    <row r="71" spans="1:29" s="419" customFormat="1" ht="15.75" thickBot="1">
      <c r="A71" s="499"/>
      <c r="B71" s="489"/>
      <c r="C71" s="506"/>
      <c r="D71" s="482"/>
      <c r="E71" s="482"/>
      <c r="F71" s="482"/>
      <c r="G71" s="482"/>
      <c r="H71" s="482"/>
      <c r="I71" s="482"/>
      <c r="J71" s="482"/>
      <c r="K71" s="482"/>
      <c r="L71" s="482"/>
      <c r="M71" s="483"/>
      <c r="N71" s="2748"/>
      <c r="O71" s="2748"/>
      <c r="P71" s="2739"/>
      <c r="Q71" s="2740"/>
      <c r="R71" s="2741"/>
      <c r="S71" s="2741"/>
      <c r="T71" s="2741"/>
      <c r="U71" s="2741"/>
      <c r="V71" s="2741"/>
      <c r="W71" s="2741"/>
      <c r="X71" s="2741"/>
      <c r="Y71" s="2741"/>
      <c r="Z71" s="2741"/>
      <c r="AA71" s="2741"/>
      <c r="AB71" s="2741"/>
      <c r="AC71" s="2741"/>
    </row>
    <row r="72" spans="1:29" s="419" customFormat="1" ht="15.75" thickTop="1">
      <c r="A72" s="499"/>
      <c r="B72" s="484">
        <f>B13</f>
        <v>111</v>
      </c>
      <c r="C72" s="500"/>
      <c r="D72" s="500"/>
      <c r="E72" s="500"/>
      <c r="F72" s="500"/>
      <c r="G72" s="500"/>
      <c r="H72" s="501"/>
      <c r="I72" s="501"/>
      <c r="J72" s="501"/>
      <c r="K72" s="501"/>
      <c r="L72" s="502"/>
      <c r="M72" s="503"/>
      <c r="N72" s="2749"/>
      <c r="O72" s="2749"/>
      <c r="P72" s="2742"/>
      <c r="Q72" s="2743"/>
      <c r="R72" s="2741"/>
      <c r="S72" s="2741"/>
      <c r="T72" s="2741"/>
      <c r="U72" s="2741"/>
      <c r="V72" s="2741"/>
      <c r="W72" s="2741"/>
      <c r="X72" s="2741"/>
      <c r="Y72" s="2741"/>
      <c r="Z72" s="2741"/>
      <c r="AA72" s="2741"/>
      <c r="AB72" s="2741"/>
      <c r="AC72" s="2741"/>
    </row>
    <row r="73" spans="1:29" s="419" customFormat="1" ht="15.75" thickBot="1">
      <c r="A73" s="499"/>
      <c r="B73" s="489"/>
      <c r="C73" s="506"/>
      <c r="D73" s="482"/>
      <c r="E73" s="482"/>
      <c r="F73" s="482"/>
      <c r="G73" s="506"/>
      <c r="H73" s="508"/>
      <c r="I73" s="508"/>
      <c r="J73" s="508"/>
      <c r="K73" s="508"/>
      <c r="L73" s="508"/>
      <c r="M73" s="509"/>
      <c r="N73" s="2749"/>
      <c r="O73" s="2749"/>
      <c r="P73" s="2739"/>
      <c r="Q73" s="2740"/>
      <c r="R73" s="2741"/>
      <c r="S73" s="2741"/>
      <c r="T73" s="2741"/>
      <c r="U73" s="2741"/>
      <c r="V73" s="2741"/>
      <c r="W73" s="2741"/>
      <c r="X73" s="2741"/>
      <c r="Y73" s="2741"/>
      <c r="Z73" s="2741"/>
      <c r="AA73" s="2741"/>
      <c r="AB73" s="2741"/>
      <c r="AC73" s="2741"/>
    </row>
    <row r="74" spans="1:29" s="419" customFormat="1" ht="15.75" thickTop="1">
      <c r="A74" s="499"/>
      <c r="B74" s="492">
        <f>B14</f>
        <v>111</v>
      </c>
      <c r="C74" s="500"/>
      <c r="D74" s="500"/>
      <c r="E74" s="500"/>
      <c r="F74" s="500"/>
      <c r="G74" s="469"/>
      <c r="H74" s="510"/>
      <c r="I74" s="510"/>
      <c r="J74" s="510"/>
      <c r="K74" s="510"/>
      <c r="L74" s="511"/>
      <c r="M74" s="512"/>
      <c r="N74" s="2749"/>
      <c r="O74" s="2749"/>
      <c r="P74" s="2744"/>
      <c r="Q74" s="2740"/>
      <c r="R74" s="2741"/>
      <c r="S74" s="2741"/>
      <c r="T74" s="2741"/>
      <c r="U74" s="2741"/>
      <c r="V74" s="2741"/>
      <c r="W74" s="2741"/>
      <c r="X74" s="2741"/>
      <c r="Y74" s="2741"/>
      <c r="Z74" s="2741"/>
      <c r="AA74" s="2741"/>
      <c r="AB74" s="2741"/>
      <c r="AC74" s="2741"/>
    </row>
    <row r="75" spans="1:29" s="419" customFormat="1" ht="15.75" thickBot="1">
      <c r="A75" s="514"/>
      <c r="B75" s="515"/>
      <c r="C75" s="516"/>
      <c r="D75" s="516"/>
      <c r="E75" s="516"/>
      <c r="F75" s="516"/>
      <c r="G75" s="516"/>
      <c r="H75" s="517"/>
      <c r="I75" s="517"/>
      <c r="J75" s="517"/>
      <c r="K75" s="517"/>
      <c r="L75" s="517"/>
      <c r="M75" s="518"/>
      <c r="N75" s="2749"/>
      <c r="O75" s="2749"/>
      <c r="P75" s="2739"/>
      <c r="Q75" s="2740"/>
      <c r="R75" s="2741"/>
      <c r="S75" s="2741"/>
      <c r="T75" s="2741"/>
      <c r="U75" s="2741"/>
      <c r="V75" s="2741"/>
      <c r="W75" s="2741"/>
      <c r="X75" s="2741"/>
      <c r="Y75" s="2741"/>
      <c r="Z75" s="2741"/>
      <c r="AA75" s="2741"/>
      <c r="AB75" s="2741"/>
      <c r="AC75" s="2741"/>
    </row>
    <row r="76" spans="1:29">
      <c r="A76" s="473" t="s">
        <v>1690</v>
      </c>
      <c r="B76" s="474" t="s">
        <v>1720</v>
      </c>
      <c r="C76" s="519" t="s">
        <v>1721</v>
      </c>
      <c r="D76" s="519" t="s">
        <v>1722</v>
      </c>
      <c r="E76" s="519" t="s">
        <v>1723</v>
      </c>
      <c r="F76" s="519" t="s">
        <v>1724</v>
      </c>
      <c r="G76" s="519" t="s">
        <v>1725</v>
      </c>
      <c r="H76" s="475"/>
      <c r="I76" s="475"/>
      <c r="J76" s="475"/>
      <c r="K76" s="520"/>
      <c r="L76" s="521"/>
      <c r="M76" s="522"/>
      <c r="N76" s="2747"/>
      <c r="O76" s="2747"/>
      <c r="P76" s="2745"/>
      <c r="Q76" s="2733"/>
      <c r="R76" s="2719"/>
      <c r="S76" s="2719"/>
      <c r="T76" s="2719"/>
      <c r="U76" s="2719"/>
      <c r="V76" s="2719"/>
      <c r="W76" s="2719"/>
      <c r="X76" s="2719"/>
      <c r="Y76" s="2719"/>
      <c r="Z76" s="2719"/>
      <c r="AA76" s="2719"/>
      <c r="AB76" s="2719"/>
      <c r="AC76" s="2719"/>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8"/>
      <c r="O77" s="2748"/>
      <c r="P77" s="2738"/>
      <c r="Q77" s="2733"/>
      <c r="R77" s="2719"/>
      <c r="S77" s="2719"/>
      <c r="T77" s="2719"/>
      <c r="U77" s="2719"/>
      <c r="V77" s="2719"/>
      <c r="W77" s="2719"/>
      <c r="X77" s="2719"/>
      <c r="Y77" s="2719"/>
      <c r="Z77" s="2719"/>
      <c r="AA77" s="2719"/>
      <c r="AB77" s="2719"/>
      <c r="AC77" s="2719"/>
    </row>
    <row r="78" spans="1:29" ht="15.75" thickTop="1">
      <c r="A78" s="480"/>
      <c r="B78" s="484" t="s">
        <v>1726</v>
      </c>
      <c r="C78" s="524" t="s">
        <v>1721</v>
      </c>
      <c r="D78" s="524" t="s">
        <v>1722</v>
      </c>
      <c r="E78" s="524" t="s">
        <v>1723</v>
      </c>
      <c r="F78" s="524" t="s">
        <v>1724</v>
      </c>
      <c r="G78" s="524" t="s">
        <v>1725</v>
      </c>
      <c r="H78" s="485"/>
      <c r="I78" s="485"/>
      <c r="J78" s="485"/>
      <c r="K78" s="486"/>
      <c r="L78" s="487"/>
      <c r="M78" s="488"/>
      <c r="N78" s="2747"/>
      <c r="O78" s="2747"/>
      <c r="P78" s="2738"/>
      <c r="Q78" s="2733"/>
      <c r="R78" s="2719"/>
      <c r="S78" s="2719"/>
      <c r="T78" s="2719"/>
      <c r="U78" s="2719"/>
      <c r="V78" s="2719"/>
      <c r="W78" s="2719"/>
      <c r="X78" s="2719"/>
      <c r="Y78" s="2719"/>
      <c r="Z78" s="2719"/>
      <c r="AA78" s="2719"/>
      <c r="AB78" s="2719"/>
      <c r="AC78" s="2719"/>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8"/>
      <c r="O79" s="2748"/>
      <c r="P79" s="2738"/>
      <c r="Q79" s="2733"/>
      <c r="R79" s="2719"/>
      <c r="S79" s="2719"/>
      <c r="T79" s="2719"/>
      <c r="U79" s="2719"/>
      <c r="V79" s="2719"/>
      <c r="W79" s="2719"/>
      <c r="X79" s="2719"/>
      <c r="Y79" s="2719"/>
      <c r="Z79" s="2719"/>
      <c r="AA79" s="2719"/>
      <c r="AB79" s="2719"/>
      <c r="AC79" s="2719"/>
    </row>
    <row r="80" spans="1:29" ht="15.75" thickTop="1">
      <c r="A80" s="480"/>
      <c r="B80" s="484" t="s">
        <v>1727</v>
      </c>
      <c r="C80" s="524" t="s">
        <v>1721</v>
      </c>
      <c r="D80" s="524" t="s">
        <v>1722</v>
      </c>
      <c r="E80" s="524" t="s">
        <v>1723</v>
      </c>
      <c r="F80" s="524" t="s">
        <v>1724</v>
      </c>
      <c r="G80" s="524" t="s">
        <v>1725</v>
      </c>
      <c r="H80" s="485"/>
      <c r="I80" s="485"/>
      <c r="J80" s="485"/>
      <c r="K80" s="486"/>
      <c r="L80" s="487"/>
      <c r="M80" s="488"/>
      <c r="N80" s="2747"/>
      <c r="O80" s="2747"/>
      <c r="P80" s="2738"/>
      <c r="Q80" s="2733"/>
      <c r="R80" s="2719"/>
      <c r="S80" s="2719"/>
      <c r="T80" s="2719"/>
      <c r="U80" s="2719"/>
      <c r="V80" s="2719"/>
      <c r="W80" s="2719"/>
      <c r="X80" s="2719"/>
      <c r="Y80" s="2719"/>
      <c r="Z80" s="2719"/>
      <c r="AA80" s="2719"/>
      <c r="AB80" s="2719"/>
      <c r="AC80" s="2719"/>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8"/>
      <c r="O81" s="2748"/>
      <c r="P81" s="2738"/>
      <c r="Q81" s="2733"/>
      <c r="R81" s="2719"/>
      <c r="S81" s="2719"/>
      <c r="T81" s="2719"/>
      <c r="U81" s="2719"/>
      <c r="V81" s="2719"/>
      <c r="W81" s="2719"/>
      <c r="X81" s="2719"/>
      <c r="Y81" s="2719"/>
      <c r="Z81" s="2719"/>
      <c r="AA81" s="2719"/>
      <c r="AB81" s="2719"/>
      <c r="AC81" s="2719"/>
    </row>
    <row r="82" spans="1:29" ht="15.75" thickTop="1">
      <c r="A82" s="480"/>
      <c r="B82" s="492" t="s">
        <v>1779</v>
      </c>
      <c r="C82" s="605" t="s">
        <v>1799</v>
      </c>
      <c r="D82" s="605" t="s">
        <v>1800</v>
      </c>
      <c r="E82" s="605" t="s">
        <v>1801</v>
      </c>
      <c r="F82" s="605" t="s">
        <v>1802</v>
      </c>
      <c r="G82" s="605" t="s">
        <v>1803</v>
      </c>
      <c r="H82" s="485"/>
      <c r="I82" s="485"/>
      <c r="J82" s="485"/>
      <c r="K82" s="485"/>
      <c r="L82" s="485"/>
      <c r="M82" s="1123"/>
      <c r="N82" s="2748"/>
      <c r="O82" s="2748"/>
      <c r="P82" s="2738"/>
      <c r="Q82" s="2733"/>
      <c r="R82" s="2719"/>
      <c r="S82" s="2719"/>
      <c r="T82" s="2719"/>
      <c r="U82" s="2719"/>
      <c r="V82" s="2719"/>
      <c r="W82" s="2719"/>
      <c r="X82" s="2719"/>
      <c r="Y82" s="2719"/>
      <c r="Z82" s="2719"/>
      <c r="AA82" s="2719"/>
      <c r="AB82" s="2719"/>
      <c r="AC82" s="2719"/>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8"/>
      <c r="O83" s="2748"/>
      <c r="P83" s="2738"/>
      <c r="Q83" s="2733"/>
      <c r="R83" s="2719"/>
      <c r="S83" s="2719"/>
      <c r="T83" s="2719"/>
      <c r="U83" s="2719"/>
      <c r="V83" s="2719"/>
      <c r="W83" s="2719"/>
      <c r="X83" s="2719"/>
      <c r="Y83" s="2719"/>
      <c r="Z83" s="2719"/>
      <c r="AA83" s="2719"/>
      <c r="AB83" s="2719"/>
      <c r="AC83" s="2719"/>
    </row>
    <row r="84" spans="1:29" ht="15.75" thickTop="1">
      <c r="A84" s="480"/>
      <c r="B84" s="484" t="s">
        <v>1733</v>
      </c>
      <c r="C84" s="524" t="s">
        <v>1721</v>
      </c>
      <c r="D84" s="524" t="s">
        <v>1722</v>
      </c>
      <c r="E84" s="524" t="s">
        <v>1723</v>
      </c>
      <c r="F84" s="524" t="s">
        <v>1724</v>
      </c>
      <c r="G84" s="524" t="s">
        <v>1725</v>
      </c>
      <c r="H84" s="485"/>
      <c r="I84" s="485"/>
      <c r="J84" s="485"/>
      <c r="K84" s="486"/>
      <c r="L84" s="487"/>
      <c r="M84" s="488"/>
      <c r="N84" s="2747"/>
      <c r="O84" s="2747"/>
      <c r="P84" s="2738"/>
      <c r="Q84" s="2733"/>
      <c r="R84" s="2719"/>
      <c r="S84" s="2719"/>
      <c r="T84" s="2719"/>
      <c r="U84" s="2719"/>
      <c r="V84" s="2719"/>
      <c r="W84" s="2719"/>
      <c r="X84" s="2719"/>
      <c r="Y84" s="2719"/>
      <c r="Z84" s="2719"/>
      <c r="AA84" s="2719"/>
      <c r="AB84" s="2719"/>
      <c r="AC84" s="2719"/>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8"/>
      <c r="O85" s="2748"/>
      <c r="P85" s="2738"/>
      <c r="Q85" s="2733"/>
      <c r="R85" s="2719"/>
      <c r="S85" s="2719"/>
      <c r="T85" s="2719"/>
      <c r="U85" s="2719"/>
      <c r="V85" s="2719"/>
      <c r="W85" s="2719"/>
      <c r="X85" s="2719"/>
      <c r="Y85" s="2719"/>
      <c r="Z85" s="2719"/>
      <c r="AA85" s="2719"/>
      <c r="AB85" s="2719"/>
      <c r="AC85" s="2719"/>
    </row>
    <row r="86" spans="1:29" s="105" customFormat="1" ht="15.75" thickTop="1">
      <c r="A86" s="525"/>
      <c r="B86" s="484" t="s">
        <v>1804</v>
      </c>
      <c r="C86" s="500"/>
      <c r="D86" s="500"/>
      <c r="E86" s="500"/>
      <c r="F86" s="500"/>
      <c r="G86" s="500"/>
      <c r="H86" s="500"/>
      <c r="I86" s="500"/>
      <c r="J86" s="500"/>
      <c r="K86" s="500"/>
      <c r="L86" s="526"/>
      <c r="M86" s="527"/>
      <c r="N86" s="2746"/>
      <c r="O86" s="2746"/>
      <c r="P86" s="2738"/>
      <c r="Q86" s="2733"/>
      <c r="R86" s="2655"/>
      <c r="S86" s="2655"/>
      <c r="T86" s="2655"/>
      <c r="U86" s="2655"/>
      <c r="V86" s="2655"/>
      <c r="W86" s="2655"/>
      <c r="X86" s="2655"/>
      <c r="Y86" s="2655"/>
      <c r="Z86" s="2655"/>
      <c r="AA86" s="2655"/>
      <c r="AB86" s="2655"/>
      <c r="AC86" s="2655"/>
    </row>
    <row r="87" spans="1:29" s="105"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8"/>
      <c r="O87" s="2748"/>
      <c r="P87" s="2738"/>
      <c r="Q87" s="2733"/>
      <c r="R87" s="2655"/>
      <c r="S87" s="2655"/>
      <c r="T87" s="2655"/>
      <c r="U87" s="2655"/>
      <c r="V87" s="2655"/>
      <c r="W87" s="2655"/>
      <c r="X87" s="2655"/>
      <c r="Y87" s="2655"/>
      <c r="Z87" s="2655"/>
      <c r="AA87" s="2655"/>
      <c r="AB87" s="2655"/>
      <c r="AC87" s="2655"/>
    </row>
    <row r="88" spans="1:29" s="105" customFormat="1" ht="15.75" thickTop="1">
      <c r="A88" s="525"/>
      <c r="B88" s="484" t="str">
        <f>B26</f>
        <v>平面位置/可视性</v>
      </c>
      <c r="C88" s="500"/>
      <c r="D88" s="500"/>
      <c r="E88" s="500"/>
      <c r="F88" s="1921"/>
      <c r="G88" s="500"/>
      <c r="H88" s="500"/>
      <c r="I88" s="500"/>
      <c r="J88" s="500"/>
      <c r="K88" s="500"/>
      <c r="L88" s="500"/>
      <c r="M88" s="527"/>
      <c r="N88" s="2746"/>
      <c r="O88" s="2746"/>
      <c r="P88" s="2738"/>
      <c r="Q88" s="2733"/>
      <c r="R88" s="2655"/>
      <c r="S88" s="2655"/>
      <c r="T88" s="2655"/>
      <c r="U88" s="2655"/>
      <c r="V88" s="2655"/>
      <c r="W88" s="2655"/>
      <c r="X88" s="2655"/>
      <c r="Y88" s="2655"/>
      <c r="Z88" s="2655"/>
      <c r="AA88" s="2655"/>
      <c r="AB88" s="2655"/>
      <c r="AC88" s="2655"/>
    </row>
    <row r="89" spans="1:29" s="105" customFormat="1" ht="15.75" thickBot="1">
      <c r="A89" s="525"/>
      <c r="B89" s="489"/>
      <c r="C89" s="506"/>
      <c r="D89" s="482"/>
      <c r="E89" s="482"/>
      <c r="F89" s="482"/>
      <c r="G89" s="482"/>
      <c r="H89" s="482"/>
      <c r="I89" s="482"/>
      <c r="J89" s="482"/>
      <c r="K89" s="482"/>
      <c r="L89" s="482"/>
      <c r="M89" s="482"/>
      <c r="N89" s="2748"/>
      <c r="O89" s="2748"/>
      <c r="P89" s="2738"/>
      <c r="Q89" s="2733"/>
      <c r="R89" s="2655"/>
      <c r="S89" s="2655"/>
      <c r="T89" s="2655"/>
      <c r="U89" s="2655"/>
      <c r="V89" s="2655"/>
      <c r="W89" s="2655"/>
      <c r="X89" s="2655"/>
      <c r="Y89" s="2655"/>
      <c r="Z89" s="2655"/>
      <c r="AA89" s="2655"/>
      <c r="AB89" s="2655"/>
      <c r="AC89" s="2655"/>
    </row>
    <row r="90" spans="1:29" s="419" customFormat="1" ht="15.75" thickTop="1">
      <c r="A90" s="499"/>
      <c r="B90" s="484" t="str">
        <f>B27</f>
        <v>人流量</v>
      </c>
      <c r="C90" s="500"/>
      <c r="D90" s="500"/>
      <c r="E90" s="500"/>
      <c r="F90" s="500"/>
      <c r="G90" s="500"/>
      <c r="H90" s="501"/>
      <c r="I90" s="501"/>
      <c r="J90" s="501"/>
      <c r="K90" s="501"/>
      <c r="L90" s="502"/>
      <c r="M90" s="503"/>
      <c r="N90" s="2749"/>
      <c r="O90" s="2749"/>
      <c r="P90" s="2739"/>
      <c r="Q90" s="2740"/>
      <c r="R90" s="2741"/>
      <c r="S90" s="2741"/>
      <c r="T90" s="2741"/>
      <c r="U90" s="2741"/>
      <c r="V90" s="2741"/>
      <c r="W90" s="2741"/>
      <c r="X90" s="2741"/>
      <c r="Y90" s="2741"/>
      <c r="Z90" s="2741"/>
      <c r="AA90" s="2741"/>
      <c r="AB90" s="2741"/>
      <c r="AC90" s="2741"/>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0"/>
      <c r="B92" s="484" t="str">
        <f>B28</f>
        <v>楼层</v>
      </c>
      <c r="C92" s="500"/>
      <c r="D92" s="500"/>
      <c r="E92" s="500"/>
      <c r="F92" s="500"/>
      <c r="G92" s="500"/>
      <c r="H92" s="500"/>
      <c r="I92" s="500"/>
      <c r="J92" s="500"/>
      <c r="K92" s="500"/>
      <c r="L92" s="526"/>
      <c r="M92" s="527"/>
      <c r="N92" s="2747"/>
      <c r="O92" s="2747"/>
      <c r="P92" s="2738"/>
      <c r="Q92" s="2733"/>
      <c r="R92" s="2719"/>
      <c r="S92" s="2719"/>
      <c r="T92" s="2719"/>
      <c r="U92" s="2719"/>
      <c r="V92" s="2719"/>
      <c r="W92" s="2719"/>
      <c r="X92" s="2719"/>
      <c r="Y92" s="2719"/>
      <c r="Z92" s="2719"/>
      <c r="AA92" s="2719"/>
      <c r="AB92" s="2719"/>
      <c r="AC92" s="2719"/>
    </row>
    <row r="93" spans="1:29" ht="15.75" thickBot="1">
      <c r="A93" s="480"/>
      <c r="B93" s="489"/>
      <c r="C93" s="482"/>
      <c r="D93" s="482"/>
      <c r="E93" s="482"/>
      <c r="F93" s="482"/>
      <c r="G93" s="482"/>
      <c r="H93" s="482"/>
      <c r="I93" s="482"/>
      <c r="J93" s="482"/>
      <c r="K93" s="482"/>
      <c r="L93" s="482"/>
      <c r="M93" s="483"/>
      <c r="N93" s="2748"/>
      <c r="O93" s="2748"/>
      <c r="P93" s="2738"/>
      <c r="Q93" s="2733"/>
      <c r="R93" s="2719"/>
      <c r="S93" s="2719"/>
      <c r="T93" s="2719"/>
      <c r="U93" s="2719"/>
      <c r="V93" s="2719"/>
      <c r="W93" s="2719"/>
      <c r="X93" s="2719"/>
      <c r="Y93" s="2719"/>
      <c r="Z93" s="2719"/>
      <c r="AA93" s="2719"/>
      <c r="AB93" s="2719"/>
      <c r="AC93" s="2719"/>
    </row>
    <row r="94" spans="1:29" ht="15.75" thickTop="1">
      <c r="A94" s="480"/>
      <c r="B94" s="484">
        <f>B29</f>
        <v>111</v>
      </c>
      <c r="C94" s="500"/>
      <c r="D94" s="500"/>
      <c r="E94" s="500"/>
      <c r="F94" s="500"/>
      <c r="G94" s="529"/>
      <c r="H94" s="529"/>
      <c r="I94" s="529"/>
      <c r="J94" s="529"/>
      <c r="K94" s="530"/>
      <c r="L94" s="531"/>
      <c r="M94" s="532"/>
      <c r="N94" s="2747"/>
      <c r="O94" s="2747"/>
      <c r="P94" s="2738"/>
      <c r="Q94" s="2733"/>
      <c r="R94" s="2719"/>
      <c r="S94" s="2719"/>
      <c r="T94" s="2719"/>
      <c r="U94" s="2719"/>
      <c r="V94" s="2719"/>
      <c r="W94" s="2719"/>
      <c r="X94" s="2719"/>
      <c r="Y94" s="2719"/>
      <c r="Z94" s="2719"/>
      <c r="AA94" s="2719"/>
      <c r="AB94" s="2719"/>
      <c r="AC94" s="2719"/>
    </row>
    <row r="95" spans="1:29" ht="15.75" thickBot="1">
      <c r="A95" s="480"/>
      <c r="B95" s="489"/>
      <c r="C95" s="506"/>
      <c r="D95" s="482"/>
      <c r="E95" s="482"/>
      <c r="F95" s="482"/>
      <c r="G95" s="482"/>
      <c r="H95" s="482"/>
      <c r="I95" s="482"/>
      <c r="J95" s="482"/>
      <c r="K95" s="482"/>
      <c r="L95" s="482"/>
      <c r="M95" s="483"/>
      <c r="N95" s="2748"/>
      <c r="O95" s="2748"/>
      <c r="P95" s="2738"/>
      <c r="Q95" s="2733"/>
      <c r="R95" s="2719"/>
      <c r="S95" s="2719"/>
      <c r="T95" s="2719"/>
      <c r="U95" s="2719"/>
      <c r="V95" s="2719"/>
      <c r="W95" s="2719"/>
      <c r="X95" s="2719"/>
      <c r="Y95" s="2719"/>
      <c r="Z95" s="2719"/>
      <c r="AA95" s="2719"/>
      <c r="AB95" s="2719"/>
      <c r="AC95" s="2719"/>
    </row>
    <row r="96" spans="1:29" ht="15.75" thickTop="1">
      <c r="A96" s="480"/>
      <c r="B96" s="484">
        <f>B30</f>
        <v>111</v>
      </c>
      <c r="C96" s="500"/>
      <c r="D96" s="500"/>
      <c r="E96" s="500"/>
      <c r="F96" s="500"/>
      <c r="G96" s="529"/>
      <c r="H96" s="529"/>
      <c r="I96" s="529"/>
      <c r="J96" s="529"/>
      <c r="K96" s="530"/>
      <c r="L96" s="531"/>
      <c r="M96" s="532"/>
      <c r="N96" s="2747"/>
      <c r="O96" s="2747"/>
      <c r="P96" s="2738"/>
      <c r="Q96" s="2733"/>
      <c r="R96" s="2719"/>
      <c r="S96" s="2719"/>
      <c r="T96" s="2719"/>
      <c r="U96" s="2719"/>
      <c r="V96" s="2719"/>
      <c r="W96" s="2719"/>
      <c r="X96" s="2719"/>
      <c r="Y96" s="2719"/>
      <c r="Z96" s="2719"/>
      <c r="AA96" s="2719"/>
      <c r="AB96" s="2719"/>
      <c r="AC96" s="2719"/>
    </row>
    <row r="97" spans="1:29" ht="15.75" thickBot="1">
      <c r="A97" s="480"/>
      <c r="B97" s="489"/>
      <c r="C97" s="506"/>
      <c r="D97" s="482"/>
      <c r="E97" s="482"/>
      <c r="F97" s="482"/>
      <c r="G97" s="482"/>
      <c r="H97" s="482"/>
      <c r="I97" s="482"/>
      <c r="J97" s="482"/>
      <c r="K97" s="482"/>
      <c r="L97" s="482"/>
      <c r="M97" s="483"/>
      <c r="N97" s="2748"/>
      <c r="O97" s="2748"/>
      <c r="P97" s="2738"/>
      <c r="Q97" s="2733"/>
      <c r="R97" s="2719"/>
      <c r="S97" s="2719"/>
      <c r="T97" s="2719"/>
      <c r="U97" s="2719"/>
      <c r="V97" s="2719"/>
      <c r="W97" s="2719"/>
      <c r="X97" s="2719"/>
      <c r="Y97" s="2719"/>
      <c r="Z97" s="2719"/>
      <c r="AA97" s="2719"/>
      <c r="AB97" s="2719"/>
      <c r="AC97" s="2719"/>
    </row>
    <row r="98" spans="1:29" ht="15.75" thickTop="1">
      <c r="A98" s="480"/>
      <c r="B98" s="492">
        <f>B31</f>
        <v>111</v>
      </c>
      <c r="C98" s="500"/>
      <c r="D98" s="500"/>
      <c r="E98" s="500"/>
      <c r="F98" s="500"/>
      <c r="G98" s="533"/>
      <c r="H98" s="533"/>
      <c r="I98" s="533"/>
      <c r="J98" s="533"/>
      <c r="K98" s="534"/>
      <c r="L98" s="535"/>
      <c r="M98" s="536"/>
      <c r="N98" s="2747"/>
      <c r="O98" s="2747"/>
      <c r="P98" s="2738"/>
      <c r="Q98" s="2733"/>
      <c r="R98" s="2719"/>
      <c r="S98" s="2719"/>
      <c r="T98" s="2719"/>
      <c r="U98" s="2719"/>
      <c r="V98" s="2719"/>
      <c r="W98" s="2719"/>
      <c r="X98" s="2719"/>
      <c r="Y98" s="2719"/>
      <c r="Z98" s="2719"/>
      <c r="AA98" s="2719"/>
      <c r="AB98" s="2719"/>
      <c r="AC98" s="2719"/>
    </row>
    <row r="99" spans="1:29" ht="15.75" thickBot="1">
      <c r="A99" s="1922"/>
      <c r="B99" s="515"/>
      <c r="C99" s="516"/>
      <c r="D99" s="516"/>
      <c r="E99" s="516"/>
      <c r="F99" s="516"/>
      <c r="G99" s="537"/>
      <c r="H99" s="537"/>
      <c r="I99" s="537"/>
      <c r="J99" s="537"/>
      <c r="K99" s="537"/>
      <c r="L99" s="537"/>
      <c r="M99" s="538"/>
      <c r="N99" s="2748"/>
      <c r="O99" s="2748"/>
      <c r="P99" s="2738"/>
      <c r="Q99" s="2733"/>
      <c r="R99" s="2719"/>
      <c r="S99" s="2719"/>
      <c r="T99" s="2719"/>
      <c r="U99" s="2719"/>
      <c r="V99" s="2719"/>
      <c r="W99" s="2719"/>
      <c r="X99" s="2719"/>
      <c r="Y99" s="2719"/>
      <c r="Z99" s="2719"/>
      <c r="AA99" s="2719"/>
      <c r="AB99" s="2719"/>
      <c r="AC99" s="2719"/>
    </row>
    <row r="100" spans="1:29">
      <c r="A100" s="473" t="s">
        <v>1694</v>
      </c>
      <c r="B100" s="474" t="s">
        <v>1805</v>
      </c>
      <c r="C100" s="476"/>
      <c r="D100" s="476"/>
      <c r="E100" s="476"/>
      <c r="F100" s="476"/>
      <c r="G100" s="476"/>
      <c r="H100" s="476"/>
      <c r="I100" s="476"/>
      <c r="J100" s="476"/>
      <c r="K100" s="477"/>
      <c r="L100" s="478"/>
      <c r="M100" s="479"/>
      <c r="N100" s="2747"/>
      <c r="O100" s="2747"/>
      <c r="P100" s="2738"/>
      <c r="Q100" s="2733"/>
      <c r="R100" s="2719"/>
      <c r="S100" s="2719"/>
      <c r="T100" s="2719"/>
      <c r="U100" s="2719"/>
      <c r="V100" s="2719"/>
      <c r="W100" s="2719"/>
      <c r="X100" s="2719"/>
      <c r="Y100" s="2719"/>
      <c r="Z100" s="2719"/>
      <c r="AA100" s="2719"/>
      <c r="AB100" s="2719"/>
      <c r="AC100" s="2719"/>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9" customFormat="1">
      <c r="A103" s="539"/>
      <c r="B103" s="540"/>
      <c r="C103" s="541"/>
      <c r="D103" s="541"/>
      <c r="E103" s="541"/>
      <c r="F103" s="541"/>
      <c r="G103" s="541"/>
      <c r="H103" s="541"/>
      <c r="I103" s="541"/>
      <c r="J103" s="542"/>
      <c r="K103" s="542"/>
      <c r="L103" s="543"/>
      <c r="M103" s="544"/>
      <c r="N103" s="2749"/>
      <c r="O103" s="2749"/>
      <c r="P103" s="2739"/>
      <c r="Q103" s="2740"/>
      <c r="R103" s="2741"/>
      <c r="S103" s="2741"/>
      <c r="T103" s="2741"/>
      <c r="U103" s="2741"/>
      <c r="V103" s="2741"/>
      <c r="W103" s="2741"/>
      <c r="X103" s="2741"/>
      <c r="Y103" s="2741"/>
      <c r="Z103" s="2741"/>
      <c r="AA103" s="2741"/>
      <c r="AB103" s="2741"/>
      <c r="AC103" s="2741"/>
    </row>
    <row r="104" spans="1:29" s="419" customFormat="1" ht="15.75" thickBot="1">
      <c r="A104" s="499"/>
      <c r="B104" s="489"/>
      <c r="C104" s="506"/>
      <c r="D104" s="482"/>
      <c r="E104" s="482"/>
      <c r="F104" s="482"/>
      <c r="G104" s="482"/>
      <c r="H104" s="482"/>
      <c r="I104" s="482"/>
      <c r="J104" s="482"/>
      <c r="K104" s="482"/>
      <c r="L104" s="482"/>
      <c r="M104" s="483"/>
      <c r="N104" s="2748"/>
      <c r="O104" s="2748"/>
      <c r="P104" s="2739"/>
      <c r="Q104" s="2740"/>
      <c r="R104" s="2741"/>
      <c r="S104" s="2741"/>
      <c r="T104" s="2741"/>
      <c r="U104" s="2741"/>
      <c r="V104" s="2741"/>
      <c r="W104" s="2741"/>
      <c r="X104" s="2741"/>
      <c r="Y104" s="2741"/>
      <c r="Z104" s="2741"/>
      <c r="AA104" s="2741"/>
      <c r="AB104" s="2741"/>
      <c r="AC104" s="2741"/>
    </row>
    <row r="105" spans="1:29" ht="15" thickTop="1">
      <c r="A105" s="545"/>
      <c r="B105" s="484" t="s">
        <v>1738</v>
      </c>
      <c r="C105" s="500"/>
      <c r="D105" s="500"/>
      <c r="E105" s="529"/>
      <c r="F105" s="529"/>
      <c r="G105" s="529"/>
      <c r="H105" s="529"/>
      <c r="I105" s="529"/>
      <c r="J105" s="529"/>
      <c r="K105" s="530"/>
      <c r="L105" s="531"/>
      <c r="M105" s="532"/>
      <c r="N105" s="2747"/>
      <c r="O105" s="2747"/>
      <c r="P105" s="2738"/>
      <c r="Q105" s="2733"/>
      <c r="R105" s="2719"/>
      <c r="S105" s="2719"/>
      <c r="T105" s="2719"/>
      <c r="U105" s="2719"/>
      <c r="V105" s="2719"/>
      <c r="W105" s="2719"/>
      <c r="X105" s="2719"/>
      <c r="Y105" s="2719"/>
      <c r="Z105" s="2719"/>
      <c r="AA105" s="2719"/>
      <c r="AB105" s="2719"/>
      <c r="AC105" s="2719"/>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5"/>
      <c r="B107" s="484" t="s">
        <v>1740</v>
      </c>
      <c r="C107" s="500"/>
      <c r="D107" s="500"/>
      <c r="E107" s="500"/>
      <c r="F107" s="529"/>
      <c r="G107" s="529"/>
      <c r="H107" s="529"/>
      <c r="I107" s="529"/>
      <c r="J107" s="529"/>
      <c r="K107" s="530"/>
      <c r="L107" s="531"/>
      <c r="M107" s="532"/>
      <c r="N107" s="2747"/>
      <c r="O107" s="2747"/>
      <c r="P107" s="2738"/>
      <c r="Q107" s="2733"/>
      <c r="R107" s="2719"/>
      <c r="S107" s="2719"/>
      <c r="T107" s="2719"/>
      <c r="U107" s="2719"/>
      <c r="V107" s="2719"/>
      <c r="W107" s="2719"/>
      <c r="X107" s="2719"/>
      <c r="Y107" s="2719"/>
      <c r="Z107" s="2719"/>
      <c r="AA107" s="2719"/>
      <c r="AB107" s="2719"/>
      <c r="AC107" s="2719"/>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7"/>
      <c r="O109" s="2747"/>
      <c r="P109" s="2738"/>
      <c r="Q109" s="2733"/>
      <c r="R109" s="2719"/>
      <c r="S109" s="2719"/>
      <c r="T109" s="2719"/>
      <c r="U109" s="2719"/>
      <c r="V109" s="2719"/>
      <c r="W109" s="2719"/>
      <c r="X109" s="2719"/>
      <c r="Y109" s="2719"/>
      <c r="Z109" s="2719"/>
      <c r="AA109" s="2719"/>
      <c r="AB109" s="2719"/>
      <c r="AC109" s="2719"/>
    </row>
    <row r="110" spans="1:29">
      <c r="A110" s="545"/>
      <c r="B110" s="492"/>
      <c r="C110" s="549">
        <v>0.5</v>
      </c>
      <c r="D110" s="549">
        <v>0.6</v>
      </c>
      <c r="E110" s="549">
        <v>0.7</v>
      </c>
      <c r="F110" s="549">
        <v>0.8</v>
      </c>
      <c r="G110" s="549">
        <v>0.9</v>
      </c>
      <c r="H110" s="549">
        <v>1.0001</v>
      </c>
      <c r="I110" s="568"/>
      <c r="J110" s="568"/>
      <c r="K110" s="569"/>
      <c r="L110" s="570"/>
      <c r="M110" s="571"/>
      <c r="N110" s="2747"/>
      <c r="O110" s="2747"/>
      <c r="P110" s="2738"/>
      <c r="Q110" s="2733"/>
      <c r="R110" s="2719"/>
      <c r="S110" s="2719"/>
      <c r="T110" s="2719"/>
      <c r="U110" s="2719"/>
      <c r="V110" s="2719"/>
      <c r="W110" s="2719"/>
      <c r="X110" s="2719"/>
      <c r="Y110" s="2719"/>
      <c r="Z110" s="2719"/>
      <c r="AA110" s="2719"/>
      <c r="AB110" s="2719"/>
      <c r="AC110" s="2719"/>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8"/>
      <c r="O111" s="2748"/>
      <c r="P111" s="2738"/>
      <c r="Q111" s="2733"/>
      <c r="R111" s="2719"/>
      <c r="S111" s="2719"/>
      <c r="T111" s="2719"/>
      <c r="U111" s="2719"/>
      <c r="V111" s="2719"/>
      <c r="W111" s="2719"/>
      <c r="X111" s="2719"/>
      <c r="Y111" s="2719"/>
      <c r="Z111" s="2719"/>
      <c r="AA111" s="2719"/>
      <c r="AB111" s="2719"/>
      <c r="AC111" s="2719"/>
    </row>
    <row r="112" spans="1:29" s="419" customFormat="1" ht="15" thickTop="1">
      <c r="A112" s="539"/>
      <c r="B112" s="484" t="s">
        <v>1742</v>
      </c>
      <c r="C112" s="500"/>
      <c r="D112" s="500"/>
      <c r="E112" s="500"/>
      <c r="F112" s="500"/>
      <c r="G112" s="500"/>
      <c r="H112" s="529"/>
      <c r="I112" s="529"/>
      <c r="J112" s="529"/>
      <c r="K112" s="530"/>
      <c r="L112" s="531"/>
      <c r="M112" s="532"/>
      <c r="N112" s="2749"/>
      <c r="O112" s="2749"/>
      <c r="P112" s="2739"/>
      <c r="Q112" s="2740"/>
      <c r="R112" s="2741"/>
      <c r="S112" s="2741"/>
      <c r="T112" s="2741"/>
      <c r="U112" s="2741"/>
      <c r="V112" s="2741"/>
      <c r="W112" s="2741"/>
      <c r="X112" s="2741"/>
      <c r="Y112" s="2741"/>
      <c r="Z112" s="2741"/>
      <c r="AA112" s="2741"/>
      <c r="AB112" s="2741"/>
      <c r="AC112" s="2741"/>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5"/>
      <c r="B114" s="484" t="s">
        <v>1806</v>
      </c>
      <c r="C114" s="500"/>
      <c r="D114" s="500"/>
      <c r="E114" s="529"/>
      <c r="F114" s="529"/>
      <c r="G114" s="529"/>
      <c r="H114" s="529"/>
      <c r="I114" s="529"/>
      <c r="J114" s="529"/>
      <c r="K114" s="530"/>
      <c r="L114" s="531"/>
      <c r="M114" s="532"/>
      <c r="N114" s="2747"/>
      <c r="O114" s="2747"/>
      <c r="P114" s="2738"/>
      <c r="Q114" s="2733"/>
      <c r="R114" s="2719"/>
      <c r="S114" s="2719"/>
      <c r="T114" s="2719"/>
      <c r="U114" s="2719"/>
      <c r="V114" s="2719"/>
      <c r="W114" s="2719"/>
      <c r="X114" s="2719"/>
      <c r="Y114" s="2719"/>
      <c r="Z114" s="2719"/>
      <c r="AA114" s="2719"/>
      <c r="AB114" s="2719"/>
      <c r="AC114" s="2719"/>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5"/>
      <c r="B116" s="484" t="s">
        <v>1807</v>
      </c>
      <c r="C116" s="500"/>
      <c r="D116" s="500"/>
      <c r="E116" s="500"/>
      <c r="F116" s="500"/>
      <c r="G116" s="500"/>
      <c r="H116" s="529"/>
      <c r="I116" s="529"/>
      <c r="J116" s="529"/>
      <c r="K116" s="530"/>
      <c r="L116" s="531"/>
      <c r="M116" s="532"/>
      <c r="N116" s="2747"/>
      <c r="O116" s="2747"/>
      <c r="P116" s="2738"/>
      <c r="Q116" s="2733"/>
      <c r="R116" s="2719"/>
      <c r="S116" s="2719"/>
      <c r="T116" s="2719"/>
      <c r="U116" s="2719"/>
      <c r="V116" s="2719"/>
      <c r="W116" s="2719"/>
      <c r="X116" s="2719"/>
      <c r="Y116" s="2719"/>
      <c r="Z116" s="2719"/>
      <c r="AA116" s="2719"/>
      <c r="AB116" s="2719"/>
      <c r="AC116" s="2719"/>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8"/>
      <c r="O117" s="2748"/>
      <c r="P117" s="2738"/>
      <c r="Q117" s="2733"/>
      <c r="R117" s="2719"/>
      <c r="S117" s="2719"/>
      <c r="T117" s="2719"/>
      <c r="U117" s="2719"/>
      <c r="V117" s="2719"/>
      <c r="W117" s="2719"/>
      <c r="X117" s="2719"/>
      <c r="Y117" s="2719"/>
      <c r="Z117" s="2719"/>
      <c r="AA117" s="2719"/>
      <c r="AB117" s="2719"/>
      <c r="AC117" s="2719"/>
    </row>
    <row r="118" spans="1:29" ht="15" thickTop="1">
      <c r="A118" s="545"/>
      <c r="B118" s="484" t="s">
        <v>1808</v>
      </c>
      <c r="C118" s="572"/>
      <c r="D118" s="572"/>
      <c r="E118" s="572"/>
      <c r="F118" s="572"/>
      <c r="G118" s="572"/>
      <c r="H118" s="501"/>
      <c r="I118" s="501"/>
      <c r="J118" s="501"/>
      <c r="K118" s="501"/>
      <c r="L118" s="502"/>
      <c r="M118" s="503"/>
      <c r="N118" s="2747"/>
      <c r="O118" s="2747"/>
      <c r="P118" s="2738"/>
      <c r="Q118" s="2733"/>
      <c r="R118" s="2719"/>
      <c r="S118" s="2719"/>
      <c r="T118" s="2719"/>
      <c r="U118" s="2719"/>
      <c r="V118" s="2719"/>
      <c r="W118" s="2719"/>
      <c r="X118" s="2719"/>
      <c r="Y118" s="2719"/>
      <c r="Z118" s="2719"/>
      <c r="AA118" s="2719"/>
      <c r="AB118" s="2719"/>
      <c r="AC118" s="2719"/>
    </row>
    <row r="119" spans="1:29" ht="15.75" thickBot="1">
      <c r="A119" s="480"/>
      <c r="B119" s="489"/>
      <c r="C119" s="506"/>
      <c r="D119" s="482"/>
      <c r="E119" s="482"/>
      <c r="F119" s="482"/>
      <c r="G119" s="482"/>
      <c r="H119" s="482"/>
      <c r="I119" s="482"/>
      <c r="J119" s="482"/>
      <c r="K119" s="482"/>
      <c r="L119" s="482"/>
      <c r="M119" s="483"/>
      <c r="N119" s="2748"/>
      <c r="O119" s="2748"/>
      <c r="P119" s="2738"/>
      <c r="Q119" s="2733"/>
      <c r="R119" s="2719"/>
      <c r="S119" s="2719"/>
      <c r="T119" s="2719"/>
      <c r="U119" s="2719"/>
      <c r="V119" s="2719"/>
      <c r="W119" s="2719"/>
      <c r="X119" s="2719"/>
      <c r="Y119" s="2719"/>
      <c r="Z119" s="2719"/>
      <c r="AA119" s="2719"/>
      <c r="AB119" s="2719"/>
      <c r="AC119" s="2719"/>
    </row>
    <row r="120" spans="1:29" s="419" customFormat="1" ht="15" thickTop="1">
      <c r="A120" s="539"/>
      <c r="B120" s="484" t="s">
        <v>1809</v>
      </c>
      <c r="C120" s="529"/>
      <c r="D120" s="529"/>
      <c r="E120" s="529"/>
      <c r="F120" s="529"/>
      <c r="G120" s="501"/>
      <c r="H120" s="501"/>
      <c r="I120" s="501"/>
      <c r="J120" s="501"/>
      <c r="K120" s="501"/>
      <c r="L120" s="502"/>
      <c r="M120" s="503"/>
      <c r="N120" s="2749"/>
      <c r="O120" s="2749"/>
      <c r="P120" s="2739"/>
      <c r="Q120" s="2740"/>
      <c r="R120" s="2741"/>
      <c r="S120" s="2741"/>
      <c r="T120" s="2741"/>
      <c r="U120" s="2741"/>
      <c r="V120" s="2741"/>
      <c r="W120" s="2741"/>
      <c r="X120" s="2741"/>
      <c r="Y120" s="2741"/>
      <c r="Z120" s="2741"/>
      <c r="AA120" s="2741"/>
      <c r="AB120" s="2741"/>
      <c r="AC120" s="2741"/>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5"/>
      <c r="B122" s="484" t="s">
        <v>1744</v>
      </c>
      <c r="C122" s="500"/>
      <c r="D122" s="500"/>
      <c r="E122" s="500"/>
      <c r="F122" s="529"/>
      <c r="G122" s="529"/>
      <c r="H122" s="529"/>
      <c r="I122" s="529"/>
      <c r="J122" s="529"/>
      <c r="K122" s="530"/>
      <c r="L122" s="531"/>
      <c r="M122" s="532"/>
      <c r="N122" s="2747"/>
      <c r="O122" s="2747"/>
      <c r="P122" s="2738"/>
      <c r="Q122" s="2733"/>
      <c r="R122" s="2719"/>
      <c r="S122" s="2719"/>
      <c r="T122" s="2719"/>
      <c r="U122" s="2719"/>
      <c r="V122" s="2719"/>
      <c r="W122" s="2719"/>
      <c r="X122" s="2719"/>
      <c r="Y122" s="2719"/>
      <c r="Z122" s="2719"/>
      <c r="AA122" s="2719"/>
      <c r="AB122" s="2719"/>
      <c r="AC122" s="2719"/>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7"/>
      <c r="O124" s="2747"/>
      <c r="P124" s="2739"/>
      <c r="Q124" s="2733"/>
      <c r="R124" s="2719"/>
      <c r="S124" s="2719"/>
      <c r="T124" s="2719"/>
      <c r="U124" s="2719"/>
      <c r="V124" s="2719"/>
      <c r="W124" s="2719"/>
      <c r="X124" s="2719"/>
      <c r="Y124" s="2719"/>
      <c r="Z124" s="2719"/>
      <c r="AA124" s="2719"/>
      <c r="AB124" s="2719"/>
      <c r="AC124" s="2719"/>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8"/>
      <c r="O125" s="2748"/>
      <c r="P125" s="2738"/>
      <c r="Q125" s="2733"/>
      <c r="R125" s="2719"/>
      <c r="S125" s="2719"/>
      <c r="T125" s="2719"/>
      <c r="U125" s="2719"/>
      <c r="V125" s="2719"/>
      <c r="W125" s="2719"/>
      <c r="X125" s="2719"/>
      <c r="Y125" s="2719"/>
      <c r="Z125" s="2719"/>
      <c r="AA125" s="2719"/>
      <c r="AB125" s="2719"/>
      <c r="AC125" s="2719"/>
    </row>
    <row r="126" spans="1:29" s="419" customFormat="1" ht="15" thickTop="1">
      <c r="A126" s="539"/>
      <c r="B126" s="484">
        <f>B44</f>
        <v>111</v>
      </c>
      <c r="C126" s="500"/>
      <c r="D126" s="500"/>
      <c r="E126" s="500"/>
      <c r="F126" s="500"/>
      <c r="G126" s="500"/>
      <c r="H126" s="501"/>
      <c r="I126" s="501"/>
      <c r="J126" s="501"/>
      <c r="K126" s="501"/>
      <c r="L126" s="502"/>
      <c r="M126" s="503"/>
      <c r="N126" s="2749"/>
      <c r="O126" s="2749"/>
      <c r="P126" s="2739"/>
      <c r="Q126" s="2740"/>
      <c r="R126" s="2741"/>
      <c r="S126" s="2741"/>
      <c r="T126" s="2741"/>
      <c r="U126" s="2741"/>
      <c r="V126" s="2741"/>
      <c r="W126" s="2741"/>
      <c r="X126" s="2741"/>
      <c r="Y126" s="2741"/>
      <c r="Z126" s="2741"/>
      <c r="AA126" s="2741"/>
      <c r="AB126" s="2741"/>
      <c r="AC126" s="2741"/>
    </row>
    <row r="127" spans="1:29" s="419" customFormat="1" ht="15.75" thickBot="1">
      <c r="A127" s="499"/>
      <c r="B127" s="489"/>
      <c r="C127" s="506"/>
      <c r="D127" s="482"/>
      <c r="E127" s="482"/>
      <c r="F127" s="482"/>
      <c r="G127" s="506"/>
      <c r="H127" s="508"/>
      <c r="I127" s="508"/>
      <c r="J127" s="508"/>
      <c r="K127" s="508"/>
      <c r="L127" s="508"/>
      <c r="M127" s="509"/>
      <c r="N127" s="2749"/>
      <c r="O127" s="2749"/>
      <c r="P127" s="2739"/>
      <c r="Q127" s="2740"/>
      <c r="R127" s="2741"/>
      <c r="S127" s="2741"/>
      <c r="T127" s="2741"/>
      <c r="U127" s="2741"/>
      <c r="V127" s="2741"/>
      <c r="W127" s="2741"/>
      <c r="X127" s="2741"/>
      <c r="Y127" s="2741"/>
      <c r="Z127" s="2741"/>
      <c r="AA127" s="2741"/>
      <c r="AB127" s="2741"/>
      <c r="AC127" s="2741"/>
    </row>
    <row r="128" spans="1:29" ht="15" thickTop="1">
      <c r="A128" s="545"/>
      <c r="B128" s="484">
        <f>B45</f>
        <v>111</v>
      </c>
      <c r="C128" s="500"/>
      <c r="D128" s="500"/>
      <c r="E128" s="500"/>
      <c r="F128" s="500"/>
      <c r="G128" s="529"/>
      <c r="H128" s="529"/>
      <c r="I128" s="529"/>
      <c r="J128" s="529"/>
      <c r="K128" s="530"/>
      <c r="L128" s="531"/>
      <c r="M128" s="532"/>
      <c r="N128" s="2747"/>
      <c r="O128" s="2747"/>
      <c r="P128" s="2738"/>
      <c r="Q128" s="2733"/>
      <c r="R128" s="2719"/>
      <c r="S128" s="2719"/>
      <c r="T128" s="2719"/>
      <c r="U128" s="2719"/>
      <c r="V128" s="2719"/>
      <c r="W128" s="2719"/>
      <c r="X128" s="2719"/>
      <c r="Y128" s="2719"/>
      <c r="Z128" s="2719"/>
      <c r="AA128" s="2719"/>
      <c r="AB128" s="2719"/>
      <c r="AC128" s="2719"/>
    </row>
    <row r="129" spans="1:29" ht="15.75" thickBot="1">
      <c r="A129" s="480"/>
      <c r="B129" s="489"/>
      <c r="C129" s="506"/>
      <c r="D129" s="482"/>
      <c r="E129" s="482"/>
      <c r="F129" s="482"/>
      <c r="G129" s="482"/>
      <c r="H129" s="482"/>
      <c r="I129" s="482"/>
      <c r="J129" s="482"/>
      <c r="K129" s="482"/>
      <c r="L129" s="482"/>
      <c r="M129" s="483"/>
      <c r="N129" s="2748"/>
      <c r="O129" s="2748"/>
      <c r="P129" s="2738"/>
      <c r="Q129" s="2733"/>
      <c r="R129" s="2719"/>
      <c r="S129" s="2719"/>
      <c r="T129" s="2719"/>
      <c r="U129" s="2719"/>
      <c r="V129" s="2719"/>
      <c r="W129" s="2719"/>
      <c r="X129" s="2719"/>
      <c r="Y129" s="2719"/>
      <c r="Z129" s="2719"/>
      <c r="AA129" s="2719"/>
      <c r="AB129" s="2719"/>
      <c r="AC129" s="2719"/>
    </row>
    <row r="130" spans="1:29" ht="15" thickTop="1">
      <c r="A130" s="545"/>
      <c r="B130" s="492">
        <f>B46</f>
        <v>111</v>
      </c>
      <c r="C130" s="500"/>
      <c r="D130" s="500"/>
      <c r="E130" s="500"/>
      <c r="F130" s="500"/>
      <c r="G130" s="533"/>
      <c r="H130" s="533"/>
      <c r="I130" s="533"/>
      <c r="J130" s="533"/>
      <c r="K130" s="469"/>
      <c r="L130" s="470"/>
      <c r="M130" s="536"/>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5"/>
      <c r="C131" s="516"/>
      <c r="D131" s="516"/>
      <c r="E131" s="516"/>
      <c r="F131" s="516"/>
      <c r="G131" s="537"/>
      <c r="H131" s="537"/>
      <c r="I131" s="537"/>
      <c r="J131" s="537"/>
      <c r="K131" s="537"/>
      <c r="L131" s="537"/>
      <c r="M131" s="538"/>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1831</v>
      </c>
      <c r="B1" s="1217" t="s">
        <v>3326</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6"/>
      <c r="R2" s="696"/>
      <c r="S2" s="696"/>
      <c r="T2" s="696"/>
      <c r="U2" s="696"/>
      <c r="V2" s="696"/>
      <c r="W2" s="696"/>
      <c r="X2" s="696"/>
      <c r="Y2" s="696"/>
      <c r="Z2" s="696"/>
      <c r="AA2" s="696"/>
      <c r="AB2" s="696"/>
      <c r="AC2" s="697"/>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6"/>
      <c r="R3" s="696"/>
      <c r="S3" s="696"/>
      <c r="T3" s="696"/>
      <c r="U3" s="696"/>
      <c r="V3" s="696"/>
      <c r="W3" s="696"/>
      <c r="X3" s="696"/>
      <c r="Y3" s="696"/>
      <c r="Z3" s="696"/>
      <c r="AA3" s="696"/>
      <c r="AB3" s="713"/>
      <c r="AC3" s="710"/>
    </row>
    <row r="4" spans="1:29" ht="15">
      <c r="A4" s="352" t="s">
        <v>1769</v>
      </c>
      <c r="B4" s="353"/>
      <c r="C4" s="3728" t="s">
        <v>1770</v>
      </c>
      <c r="D4" s="3729"/>
      <c r="E4" s="3730" t="s">
        <v>1771</v>
      </c>
      <c r="F4" s="3731"/>
      <c r="G4" s="3728" t="s">
        <v>1772</v>
      </c>
      <c r="H4" s="3729"/>
      <c r="I4" s="3728" t="s">
        <v>1773</v>
      </c>
      <c r="J4" s="3729"/>
      <c r="K4" s="556" t="s">
        <v>1774</v>
      </c>
      <c r="L4" s="2709"/>
      <c r="M4" s="2710"/>
      <c r="N4" s="2710"/>
      <c r="O4" s="2710"/>
      <c r="P4" s="3732" t="s">
        <v>1775</v>
      </c>
      <c r="Q4" s="3733"/>
      <c r="R4" s="3715" t="s">
        <v>1771</v>
      </c>
      <c r="S4" s="3716"/>
      <c r="T4" s="3715" t="s">
        <v>1772</v>
      </c>
      <c r="U4" s="3716"/>
      <c r="V4" s="3740" t="s">
        <v>1773</v>
      </c>
      <c r="W4" s="3740"/>
      <c r="X4" s="1349"/>
      <c r="Y4" s="3715" t="s">
        <v>1775</v>
      </c>
      <c r="Z4" s="3716"/>
      <c r="AA4" s="3710" t="s">
        <v>1771</v>
      </c>
      <c r="AB4" s="3711" t="s">
        <v>1772</v>
      </c>
      <c r="AC4" s="3710" t="s">
        <v>1773</v>
      </c>
    </row>
    <row r="5" spans="1:29" ht="15">
      <c r="A5" s="355"/>
      <c r="B5" s="356"/>
      <c r="C5" s="3721" t="s">
        <v>1673</v>
      </c>
      <c r="D5" s="3722"/>
      <c r="E5" s="3719" t="s">
        <v>1674</v>
      </c>
      <c r="F5" s="3720"/>
      <c r="G5" s="3721" t="s">
        <v>1675</v>
      </c>
      <c r="H5" s="3722"/>
      <c r="I5" s="3721" t="s">
        <v>1676</v>
      </c>
      <c r="J5" s="3722"/>
      <c r="K5" s="556"/>
      <c r="L5" s="2709"/>
      <c r="M5" s="2710"/>
      <c r="N5" s="2710"/>
      <c r="O5" s="2710"/>
      <c r="P5" s="3734"/>
      <c r="Q5" s="3735"/>
      <c r="R5" s="3717"/>
      <c r="S5" s="3718"/>
      <c r="T5" s="3717"/>
      <c r="U5" s="3718"/>
      <c r="V5" s="3740"/>
      <c r="W5" s="3740"/>
      <c r="X5" s="1349"/>
      <c r="Y5" s="3717"/>
      <c r="Z5" s="3718"/>
      <c r="AA5" s="3711"/>
      <c r="AB5" s="3711"/>
      <c r="AC5" s="3711"/>
    </row>
    <row r="6" spans="1:29" ht="15.75" thickBot="1">
      <c r="A6" s="357"/>
      <c r="B6" s="358"/>
      <c r="C6" s="3723" t="s">
        <v>1677</v>
      </c>
      <c r="D6" s="3724"/>
      <c r="E6" s="3725" t="s">
        <v>1677</v>
      </c>
      <c r="F6" s="3726"/>
      <c r="G6" s="3723" t="s">
        <v>1677</v>
      </c>
      <c r="H6" s="3724"/>
      <c r="I6" s="3723" t="s">
        <v>1677</v>
      </c>
      <c r="J6" s="3724"/>
      <c r="K6" s="556" t="s">
        <v>1678</v>
      </c>
      <c r="L6" s="2709"/>
      <c r="M6" s="2710"/>
      <c r="N6" s="2710"/>
      <c r="O6" s="2710"/>
      <c r="P6" s="3736"/>
      <c r="Q6" s="3737"/>
      <c r="R6" s="3717"/>
      <c r="S6" s="3718"/>
      <c r="T6" s="3738"/>
      <c r="U6" s="3739"/>
      <c r="V6" s="3740"/>
      <c r="W6" s="3740"/>
      <c r="X6" s="1349"/>
      <c r="Y6" s="3738"/>
      <c r="Z6" s="3739"/>
      <c r="AA6" s="3712"/>
      <c r="AB6" s="3712"/>
      <c r="AC6" s="3712"/>
    </row>
    <row r="7" spans="1:29" s="105" customFormat="1" ht="15.75" thickBot="1">
      <c r="A7" s="359" t="s">
        <v>1679</v>
      </c>
      <c r="B7" s="360"/>
      <c r="C7" s="361">
        <f>'数据-取费表'!B2</f>
        <v>45539</v>
      </c>
      <c r="D7" s="362">
        <v>100</v>
      </c>
      <c r="E7" s="363"/>
      <c r="F7" s="364">
        <f>SUMIF(48:48,YEAR(E7)&amp;"-"&amp;MONTH(E7),49:49)</f>
        <v>0</v>
      </c>
      <c r="G7" s="363"/>
      <c r="H7" s="362">
        <f>SUMIF(48:48,YEAR(G7)&amp;"-"&amp;MONTH(G7),49:49)</f>
        <v>0</v>
      </c>
      <c r="I7" s="363"/>
      <c r="J7" s="362">
        <f>SUMIF(48:48,YEAR(I7)&amp;"-"&amp;MONTH(I7),49:49)</f>
        <v>0</v>
      </c>
      <c r="K7" s="557"/>
      <c r="L7" s="2711"/>
      <c r="M7" s="2712"/>
      <c r="N7" s="2712"/>
      <c r="O7" s="2712"/>
      <c r="P7" s="3713" t="s">
        <v>1680</v>
      </c>
      <c r="Q7" s="3741"/>
      <c r="R7" s="698" t="s">
        <v>14</v>
      </c>
      <c r="S7" s="699">
        <f t="shared" ref="S7:S14" si="0">F7</f>
        <v>0</v>
      </c>
      <c r="T7" s="698" t="s">
        <v>14</v>
      </c>
      <c r="U7" s="699">
        <f t="shared" ref="U7:U14" si="1">H7</f>
        <v>0</v>
      </c>
      <c r="V7" s="698" t="s">
        <v>14</v>
      </c>
      <c r="W7" s="699">
        <f t="shared" ref="W7:W14" si="2">J7</f>
        <v>0</v>
      </c>
      <c r="X7" s="700"/>
      <c r="Y7" s="3713" t="s">
        <v>1680</v>
      </c>
      <c r="Z7" s="3714"/>
      <c r="AA7" s="701" t="e">
        <f>D7/F7</f>
        <v>#DIV/0!</v>
      </c>
      <c r="AB7" s="701" t="e">
        <f>D7/H7</f>
        <v>#DIV/0!</v>
      </c>
      <c r="AC7" s="701" t="e">
        <f>D7/J7</f>
        <v>#DIV/0!</v>
      </c>
    </row>
    <row r="8" spans="1:29" s="105"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11"/>
      <c r="M8" s="2712"/>
      <c r="N8" s="2712"/>
      <c r="O8" s="2712"/>
      <c r="P8" s="3713" t="s">
        <v>1683</v>
      </c>
      <c r="Q8" s="3714"/>
      <c r="R8" s="698" t="s">
        <v>14</v>
      </c>
      <c r="S8" s="699">
        <f t="shared" si="0"/>
        <v>100</v>
      </c>
      <c r="T8" s="698" t="s">
        <v>14</v>
      </c>
      <c r="U8" s="699">
        <f t="shared" si="1"/>
        <v>100</v>
      </c>
      <c r="V8" s="698" t="s">
        <v>14</v>
      </c>
      <c r="W8" s="699">
        <f t="shared" si="2"/>
        <v>100</v>
      </c>
      <c r="X8" s="700"/>
      <c r="Y8" s="3713" t="s">
        <v>1683</v>
      </c>
      <c r="Z8" s="3714"/>
      <c r="AA8" s="701">
        <f t="shared" ref="AA8:AA36" si="3">D8/F8</f>
        <v>1</v>
      </c>
      <c r="AB8" s="701">
        <f t="shared" ref="AB8:AB36" si="4">D8/H8</f>
        <v>1</v>
      </c>
      <c r="AC8" s="701">
        <f t="shared" ref="AC8:AC36" si="5">D8/J8</f>
        <v>1</v>
      </c>
    </row>
    <row r="9" spans="1:29" s="105" customFormat="1">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11"/>
      <c r="M9" s="2712"/>
      <c r="N9" s="2712"/>
      <c r="O9" s="2712"/>
      <c r="P9" s="3745" t="s">
        <v>1686</v>
      </c>
      <c r="Q9" s="1337" t="str">
        <f t="shared" ref="Q9:Q14" si="6">B9</f>
        <v>用途</v>
      </c>
      <c r="R9" s="698" t="s">
        <v>14</v>
      </c>
      <c r="S9" s="699">
        <f t="shared" si="0"/>
        <v>100</v>
      </c>
      <c r="T9" s="698" t="s">
        <v>14</v>
      </c>
      <c r="U9" s="699">
        <f t="shared" si="1"/>
        <v>100</v>
      </c>
      <c r="V9" s="698" t="s">
        <v>14</v>
      </c>
      <c r="W9" s="699">
        <f t="shared" si="2"/>
        <v>100</v>
      </c>
      <c r="X9" s="700"/>
      <c r="Y9" s="3659" t="s">
        <v>1687</v>
      </c>
      <c r="Z9" s="52" t="str">
        <f t="shared" ref="Z9:Z14" si="7">Q9</f>
        <v>用途</v>
      </c>
      <c r="AA9" s="701">
        <f t="shared" si="3"/>
        <v>1</v>
      </c>
      <c r="AB9" s="701">
        <f t="shared" si="4"/>
        <v>1</v>
      </c>
      <c r="AC9" s="701">
        <f t="shared" si="5"/>
        <v>1</v>
      </c>
    </row>
    <row r="10" spans="1:29" s="375" customFormat="1" ht="27">
      <c r="A10" s="586"/>
      <c r="B10" s="587" t="s">
        <v>1688</v>
      </c>
      <c r="C10" s="3428"/>
      <c r="D10" s="124">
        <v>100</v>
      </c>
      <c r="E10" s="3428"/>
      <c r="F10" s="124">
        <f>SUMIF(55:55,E10,56:56)-SUMIF(55:55,C10,56:56)+100</f>
        <v>100</v>
      </c>
      <c r="G10" s="3429"/>
      <c r="H10" s="124">
        <f>SUMIF(55:55,G10,56:56)-SUMIF(55:55,C10,56:56)+100</f>
        <v>100</v>
      </c>
      <c r="I10" s="3428"/>
      <c r="J10" s="124">
        <f>SUMIF(55:55,I10,56:56)-SUMIF(55:55,C10,56:56)+100</f>
        <v>100</v>
      </c>
      <c r="K10" s="557"/>
      <c r="L10" s="2713"/>
      <c r="M10" s="2714"/>
      <c r="N10" s="2714"/>
      <c r="O10" s="2714"/>
      <c r="P10" s="3745"/>
      <c r="Q10" s="1337" t="str">
        <f t="shared" si="6"/>
        <v>土地使用年限（年）</v>
      </c>
      <c r="R10" s="698" t="s">
        <v>14</v>
      </c>
      <c r="S10" s="699">
        <f t="shared" si="0"/>
        <v>100</v>
      </c>
      <c r="T10" s="698" t="s">
        <v>14</v>
      </c>
      <c r="U10" s="699">
        <f t="shared" si="1"/>
        <v>100</v>
      </c>
      <c r="V10" s="698" t="s">
        <v>14</v>
      </c>
      <c r="W10" s="699">
        <f t="shared" si="2"/>
        <v>100</v>
      </c>
      <c r="X10" s="700"/>
      <c r="Y10" s="3659"/>
      <c r="Z10" s="52" t="str">
        <f t="shared" si="7"/>
        <v>土地使用年限（年）</v>
      </c>
      <c r="AA10" s="701">
        <f t="shared" si="3"/>
        <v>1</v>
      </c>
      <c r="AB10" s="701">
        <f t="shared" si="4"/>
        <v>1</v>
      </c>
      <c r="AC10" s="701">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5"/>
      <c r="M11" s="2710"/>
      <c r="N11" s="2710"/>
      <c r="O11" s="2710"/>
      <c r="P11" s="3745"/>
      <c r="Q11" s="1337">
        <f t="shared" si="6"/>
        <v>111</v>
      </c>
      <c r="R11" s="698" t="s">
        <v>14</v>
      </c>
      <c r="S11" s="699">
        <f t="shared" si="0"/>
        <v>100</v>
      </c>
      <c r="T11" s="698" t="s">
        <v>14</v>
      </c>
      <c r="U11" s="699">
        <f t="shared" si="1"/>
        <v>100</v>
      </c>
      <c r="V11" s="698" t="s">
        <v>14</v>
      </c>
      <c r="W11" s="699">
        <f t="shared" si="2"/>
        <v>100</v>
      </c>
      <c r="X11" s="700"/>
      <c r="Y11" s="3659"/>
      <c r="Z11" s="52">
        <f t="shared" si="7"/>
        <v>111</v>
      </c>
      <c r="AA11" s="701">
        <f t="shared" si="3"/>
        <v>1</v>
      </c>
      <c r="AB11" s="701">
        <f t="shared" si="4"/>
        <v>1</v>
      </c>
      <c r="AC11" s="701">
        <f t="shared" si="5"/>
        <v>1</v>
      </c>
    </row>
    <row r="12" spans="1:29" s="105"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1"/>
      <c r="M12" s="2712"/>
      <c r="N12" s="2712"/>
      <c r="O12" s="2712"/>
      <c r="P12" s="3745"/>
      <c r="Q12" s="1337">
        <f t="shared" si="6"/>
        <v>111</v>
      </c>
      <c r="R12" s="698" t="s">
        <v>14</v>
      </c>
      <c r="S12" s="699">
        <f t="shared" si="0"/>
        <v>100</v>
      </c>
      <c r="T12" s="698" t="s">
        <v>14</v>
      </c>
      <c r="U12" s="699">
        <f t="shared" si="1"/>
        <v>100</v>
      </c>
      <c r="V12" s="698" t="s">
        <v>14</v>
      </c>
      <c r="W12" s="699">
        <f t="shared" si="2"/>
        <v>100</v>
      </c>
      <c r="X12" s="700"/>
      <c r="Y12" s="3659"/>
      <c r="Z12" s="52">
        <f t="shared" si="7"/>
        <v>111</v>
      </c>
      <c r="AA12" s="701">
        <f>D12/F12</f>
        <v>1</v>
      </c>
      <c r="AB12" s="701">
        <f>D12/H12</f>
        <v>1</v>
      </c>
      <c r="AC12" s="701">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6"/>
      <c r="M13" s="2710"/>
      <c r="N13" s="2710"/>
      <c r="O13" s="2710"/>
      <c r="P13" s="3745"/>
      <c r="Q13" s="1337">
        <f t="shared" si="6"/>
        <v>111</v>
      </c>
      <c r="R13" s="698" t="s">
        <v>14</v>
      </c>
      <c r="S13" s="699">
        <f t="shared" si="0"/>
        <v>100</v>
      </c>
      <c r="T13" s="698" t="s">
        <v>14</v>
      </c>
      <c r="U13" s="699">
        <f t="shared" si="1"/>
        <v>100</v>
      </c>
      <c r="V13" s="698" t="s">
        <v>14</v>
      </c>
      <c r="W13" s="699">
        <f t="shared" si="2"/>
        <v>100</v>
      </c>
      <c r="X13" s="700"/>
      <c r="Y13" s="3659"/>
      <c r="Z13" s="52">
        <f t="shared" si="7"/>
        <v>111</v>
      </c>
      <c r="AA13" s="701">
        <f t="shared" si="3"/>
        <v>1</v>
      </c>
      <c r="AB13" s="701">
        <f t="shared" si="4"/>
        <v>1</v>
      </c>
      <c r="AC13" s="701">
        <f t="shared" si="5"/>
        <v>1</v>
      </c>
    </row>
    <row r="14" spans="1:29" ht="15">
      <c r="A14" s="352" t="s">
        <v>1690</v>
      </c>
      <c r="B14" s="574" t="s">
        <v>1833</v>
      </c>
      <c r="C14" s="1965">
        <f>IF(B1="工业",估价对象房地状况!G4,估价对象房地状况!C6)</f>
        <v>0</v>
      </c>
      <c r="D14" s="389">
        <v>100</v>
      </c>
      <c r="E14" s="390"/>
      <c r="F14" s="391">
        <f>SUMIF(63:63,E15,64:64)-SUMIF(63:63,C15,64:64)+100</f>
        <v>100</v>
      </c>
      <c r="G14" s="392"/>
      <c r="H14" s="389">
        <f>SUMIF(63:63,G15,64:64)-SUMIF(63:63,C15,64:64)+100</f>
        <v>100</v>
      </c>
      <c r="I14" s="390"/>
      <c r="J14" s="389">
        <f>SUMIF(63:63,I15,64:64)-SUMIF(63:63,C15,64:64)+100</f>
        <v>100</v>
      </c>
      <c r="K14" s="560"/>
      <c r="L14" s="2716"/>
      <c r="M14" s="2710"/>
      <c r="N14" s="2710"/>
      <c r="O14" s="2710"/>
      <c r="P14" s="3747" t="s">
        <v>1691</v>
      </c>
      <c r="Q14" s="1346" t="str">
        <f t="shared" si="6"/>
        <v>交通便捷度</v>
      </c>
      <c r="R14" s="702" t="s">
        <v>14</v>
      </c>
      <c r="S14" s="703">
        <f t="shared" si="0"/>
        <v>100</v>
      </c>
      <c r="T14" s="702" t="s">
        <v>14</v>
      </c>
      <c r="U14" s="703">
        <f t="shared" si="1"/>
        <v>100</v>
      </c>
      <c r="V14" s="702" t="s">
        <v>14</v>
      </c>
      <c r="W14" s="703">
        <f t="shared" si="2"/>
        <v>100</v>
      </c>
      <c r="X14" s="1349"/>
      <c r="Y14" s="3747" t="s">
        <v>1691</v>
      </c>
      <c r="Z14" s="1350" t="str">
        <f t="shared" si="7"/>
        <v>交通便捷度</v>
      </c>
      <c r="AA14" s="1347">
        <f t="shared" si="3"/>
        <v>1</v>
      </c>
      <c r="AB14" s="1347">
        <f t="shared" si="4"/>
        <v>1</v>
      </c>
      <c r="AC14" s="1347">
        <f t="shared" si="5"/>
        <v>1</v>
      </c>
    </row>
    <row r="15" spans="1:29" ht="15">
      <c r="A15" s="355"/>
      <c r="B15" s="592"/>
      <c r="C15" s="395"/>
      <c r="D15" s="396"/>
      <c r="E15" s="395"/>
      <c r="F15" s="397"/>
      <c r="G15" s="395"/>
      <c r="H15" s="398"/>
      <c r="I15" s="395"/>
      <c r="J15" s="396"/>
      <c r="K15" s="561"/>
      <c r="L15" s="2716"/>
      <c r="M15" s="2710"/>
      <c r="N15" s="2710"/>
      <c r="O15" s="2710"/>
      <c r="P15" s="3748"/>
      <c r="Q15" s="1346"/>
      <c r="R15" s="702"/>
      <c r="S15" s="703"/>
      <c r="T15" s="702"/>
      <c r="U15" s="703"/>
      <c r="V15" s="702"/>
      <c r="W15" s="703"/>
      <c r="X15" s="1349"/>
      <c r="Y15" s="3748"/>
      <c r="Z15" s="1350"/>
      <c r="AA15" s="1347">
        <v>1</v>
      </c>
      <c r="AB15" s="1347">
        <v>1</v>
      </c>
      <c r="AC15" s="1347">
        <v>1</v>
      </c>
    </row>
    <row r="16" spans="1:29" ht="15">
      <c r="A16" s="355"/>
      <c r="B16" s="576" t="s">
        <v>1812</v>
      </c>
      <c r="C16" s="1894">
        <f>IF(B1="工业",估价对象房地状况!G5,估价对象房地状况!C7)</f>
        <v>0</v>
      </c>
      <c r="D16" s="403">
        <v>100</v>
      </c>
      <c r="E16" s="405"/>
      <c r="F16" s="406">
        <f>SUMIF(65:65,E17,66:66)-SUMIF(65:65,C17,66:66)+100</f>
        <v>100</v>
      </c>
      <c r="G16" s="407"/>
      <c r="H16" s="403">
        <f>SUMIF(65:65,G17,66:66)-SUMIF(65:65,C17,66:66)+100</f>
        <v>100</v>
      </c>
      <c r="I16" s="405"/>
      <c r="J16" s="403">
        <f>SUMIF(65:65,I17,66:66)-SUMIF(65:65,C17,66:66)+100</f>
        <v>100</v>
      </c>
      <c r="K16" s="560"/>
      <c r="L16" s="2716"/>
      <c r="M16" s="2710"/>
      <c r="N16" s="2710"/>
      <c r="O16" s="2710"/>
      <c r="P16" s="3748"/>
      <c r="Q16" s="1346" t="str">
        <f>B16</f>
        <v>公共配套设施</v>
      </c>
      <c r="R16" s="702" t="s">
        <v>14</v>
      </c>
      <c r="S16" s="703">
        <f>F16</f>
        <v>100</v>
      </c>
      <c r="T16" s="702" t="s">
        <v>14</v>
      </c>
      <c r="U16" s="703">
        <f>H16</f>
        <v>100</v>
      </c>
      <c r="V16" s="702" t="s">
        <v>14</v>
      </c>
      <c r="W16" s="703">
        <f>J16</f>
        <v>100</v>
      </c>
      <c r="X16" s="1349"/>
      <c r="Y16" s="3748"/>
      <c r="Z16" s="1350" t="str">
        <f>Q16</f>
        <v>公共配套设施</v>
      </c>
      <c r="AA16" s="1347">
        <f t="shared" si="3"/>
        <v>1</v>
      </c>
      <c r="AB16" s="1347">
        <f t="shared" si="4"/>
        <v>1</v>
      </c>
      <c r="AC16" s="1347">
        <f t="shared" si="5"/>
        <v>1</v>
      </c>
    </row>
    <row r="17" spans="1:29" ht="15">
      <c r="A17" s="355"/>
      <c r="B17" s="577"/>
      <c r="C17" s="1895"/>
      <c r="D17" s="396"/>
      <c r="E17" s="395"/>
      <c r="F17" s="397"/>
      <c r="G17" s="395"/>
      <c r="H17" s="396"/>
      <c r="I17" s="395"/>
      <c r="J17" s="396"/>
      <c r="K17" s="561"/>
      <c r="L17" s="2716"/>
      <c r="M17" s="2710"/>
      <c r="N17" s="2710"/>
      <c r="O17" s="2710"/>
      <c r="P17" s="3748"/>
      <c r="Q17" s="1346"/>
      <c r="R17" s="702"/>
      <c r="S17" s="703"/>
      <c r="T17" s="702"/>
      <c r="U17" s="703"/>
      <c r="V17" s="702"/>
      <c r="W17" s="703"/>
      <c r="X17" s="1349"/>
      <c r="Y17" s="3748"/>
      <c r="Z17" s="1350"/>
      <c r="AA17" s="1347">
        <v>1</v>
      </c>
      <c r="AB17" s="1347">
        <v>1</v>
      </c>
      <c r="AC17" s="1347">
        <v>1</v>
      </c>
    </row>
    <row r="18" spans="1:29" ht="15">
      <c r="A18" s="355"/>
      <c r="B18" s="578" t="s">
        <v>1813</v>
      </c>
      <c r="C18" s="1894">
        <f>IF(B1="工业",估价对象房地状况!G6,估价对象房地状况!C8)</f>
        <v>0</v>
      </c>
      <c r="D18" s="398">
        <v>100</v>
      </c>
      <c r="E18" s="400"/>
      <c r="F18" s="406">
        <f>SUMIF(67:67,E19,68:68)-SUMIF(67:67,C19,68:68)+100</f>
        <v>100</v>
      </c>
      <c r="G18" s="402"/>
      <c r="H18" s="403">
        <f>SUMIF(67:67,G19,68:68)-SUMIF(67:67,C19,68:68)+100</f>
        <v>100</v>
      </c>
      <c r="I18" s="400"/>
      <c r="J18" s="403">
        <f>SUMIF(67:67,I19,68:68)-SUMIF(67:67,C19,68:68)+100</f>
        <v>100</v>
      </c>
      <c r="K18" s="560"/>
      <c r="L18" s="2716"/>
      <c r="M18" s="2710"/>
      <c r="N18" s="2710"/>
      <c r="O18" s="2710"/>
      <c r="P18" s="3748"/>
      <c r="Q18" s="1346" t="str">
        <f>B18</f>
        <v>基础设施水平</v>
      </c>
      <c r="R18" s="702" t="s">
        <v>14</v>
      </c>
      <c r="S18" s="703">
        <f>F18</f>
        <v>100</v>
      </c>
      <c r="T18" s="702" t="s">
        <v>14</v>
      </c>
      <c r="U18" s="703">
        <f>H18</f>
        <v>100</v>
      </c>
      <c r="V18" s="702" t="s">
        <v>14</v>
      </c>
      <c r="W18" s="703">
        <f>J18</f>
        <v>100</v>
      </c>
      <c r="X18" s="1349"/>
      <c r="Y18" s="3748"/>
      <c r="Z18" s="1350" t="str">
        <f>Q18</f>
        <v>基础设施水平</v>
      </c>
      <c r="AA18" s="1347">
        <f t="shared" ref="AA18" si="8">D18/F18</f>
        <v>1</v>
      </c>
      <c r="AB18" s="1347">
        <f t="shared" ref="AB18" si="9">D18/H18</f>
        <v>1</v>
      </c>
      <c r="AC18" s="1347">
        <f t="shared" ref="AC18" si="10">D18/J18</f>
        <v>1</v>
      </c>
    </row>
    <row r="19" spans="1:29" ht="15">
      <c r="A19" s="355"/>
      <c r="B19" s="578"/>
      <c r="C19" s="1895"/>
      <c r="D19" s="398"/>
      <c r="E19" s="1895"/>
      <c r="F19" s="401"/>
      <c r="G19" s="1895"/>
      <c r="H19" s="396"/>
      <c r="I19" s="395"/>
      <c r="J19" s="396"/>
      <c r="K19" s="1124"/>
      <c r="L19" s="2716"/>
      <c r="M19" s="2710"/>
      <c r="N19" s="2710"/>
      <c r="O19" s="2710"/>
      <c r="P19" s="3748"/>
      <c r="Q19" s="1346"/>
      <c r="R19" s="702"/>
      <c r="S19" s="703"/>
      <c r="T19" s="702"/>
      <c r="U19" s="703"/>
      <c r="V19" s="702"/>
      <c r="W19" s="703"/>
      <c r="X19" s="1349"/>
      <c r="Y19" s="3748"/>
      <c r="Z19" s="1350"/>
      <c r="AA19" s="1347">
        <v>1</v>
      </c>
      <c r="AB19" s="1347">
        <v>1</v>
      </c>
      <c r="AC19" s="1347">
        <v>1</v>
      </c>
    </row>
    <row r="20" spans="1:29" ht="15">
      <c r="A20" s="355"/>
      <c r="B20" s="576" t="s">
        <v>1834</v>
      </c>
      <c r="C20" s="1894">
        <f>IF(B1="工业",估价对象房地状况!G7,估价对象房地状况!C9)</f>
        <v>0</v>
      </c>
      <c r="D20" s="403">
        <v>100</v>
      </c>
      <c r="E20" s="405"/>
      <c r="F20" s="406">
        <f>SUMIF(69:69,E21,70:70)-SUMIF(69:69,C21,70:70)+100</f>
        <v>100</v>
      </c>
      <c r="G20" s="407"/>
      <c r="H20" s="398">
        <f>SUMIF(69:69,G21,70:70)-SUMIF(69:69,C21,70:70)+100</f>
        <v>100</v>
      </c>
      <c r="I20" s="400"/>
      <c r="J20" s="398">
        <f>SUMIF(69:69,I21,70:70)-SUMIF(69:69,C21,70:70)+100</f>
        <v>100</v>
      </c>
      <c r="K20" s="560"/>
      <c r="L20" s="2716"/>
      <c r="M20" s="2710"/>
      <c r="N20" s="2710"/>
      <c r="O20" s="2710"/>
      <c r="P20" s="3748"/>
      <c r="Q20" s="1346" t="str">
        <f>B20</f>
        <v>自然及人文环境</v>
      </c>
      <c r="R20" s="702" t="s">
        <v>14</v>
      </c>
      <c r="S20" s="703">
        <f>F20</f>
        <v>100</v>
      </c>
      <c r="T20" s="702" t="s">
        <v>14</v>
      </c>
      <c r="U20" s="703">
        <f>H20</f>
        <v>100</v>
      </c>
      <c r="V20" s="702" t="s">
        <v>14</v>
      </c>
      <c r="W20" s="703">
        <f>J20</f>
        <v>100</v>
      </c>
      <c r="X20" s="1349"/>
      <c r="Y20" s="3748"/>
      <c r="Z20" s="1350" t="str">
        <f>Q20</f>
        <v>自然及人文环境</v>
      </c>
      <c r="AA20" s="1347">
        <f t="shared" si="3"/>
        <v>1</v>
      </c>
      <c r="AB20" s="1347">
        <f t="shared" si="4"/>
        <v>1</v>
      </c>
      <c r="AC20" s="1347">
        <f t="shared" si="5"/>
        <v>1</v>
      </c>
    </row>
    <row r="21" spans="1:29" ht="15">
      <c r="A21" s="355"/>
      <c r="B21" s="577"/>
      <c r="C21" s="395"/>
      <c r="D21" s="396"/>
      <c r="E21" s="395"/>
      <c r="F21" s="397"/>
      <c r="G21" s="395"/>
      <c r="H21" s="396"/>
      <c r="I21" s="395"/>
      <c r="J21" s="396"/>
      <c r="K21" s="561"/>
      <c r="L21" s="2716"/>
      <c r="M21" s="2710"/>
      <c r="N21" s="2710"/>
      <c r="O21" s="2710"/>
      <c r="P21" s="3748"/>
      <c r="Q21" s="1346"/>
      <c r="R21" s="702"/>
      <c r="S21" s="703"/>
      <c r="T21" s="702"/>
      <c r="U21" s="703"/>
      <c r="V21" s="702"/>
      <c r="W21" s="703"/>
      <c r="X21" s="1349"/>
      <c r="Y21" s="3748"/>
      <c r="Z21" s="1350"/>
      <c r="AA21" s="1347">
        <v>1</v>
      </c>
      <c r="AB21" s="1347">
        <v>1</v>
      </c>
      <c r="AC21" s="1347">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6"/>
      <c r="M22" s="2710"/>
      <c r="N22" s="2710"/>
      <c r="O22" s="2710"/>
      <c r="P22" s="3748"/>
      <c r="Q22" s="1346" t="str">
        <f>B22</f>
        <v>楼层</v>
      </c>
      <c r="R22" s="702" t="s">
        <v>14</v>
      </c>
      <c r="S22" s="703">
        <f>F22</f>
        <v>100</v>
      </c>
      <c r="T22" s="702" t="s">
        <v>14</v>
      </c>
      <c r="U22" s="703">
        <f>H22</f>
        <v>100</v>
      </c>
      <c r="V22" s="702" t="s">
        <v>14</v>
      </c>
      <c r="W22" s="703">
        <f>J22</f>
        <v>100</v>
      </c>
      <c r="X22" s="1349"/>
      <c r="Y22" s="3748"/>
      <c r="Z22" s="1350" t="str">
        <f>Q22</f>
        <v>楼层</v>
      </c>
      <c r="AA22" s="1347">
        <f t="shared" si="3"/>
        <v>1</v>
      </c>
      <c r="AB22" s="1347">
        <f t="shared" si="4"/>
        <v>1</v>
      </c>
      <c r="AC22" s="1347">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6"/>
      <c r="M23" s="2710"/>
      <c r="N23" s="2710"/>
      <c r="O23" s="2710"/>
      <c r="P23" s="3748"/>
      <c r="Q23" s="1346">
        <f>B23</f>
        <v>111</v>
      </c>
      <c r="R23" s="702" t="s">
        <v>14</v>
      </c>
      <c r="S23" s="703">
        <f>F23</f>
        <v>100</v>
      </c>
      <c r="T23" s="702" t="s">
        <v>14</v>
      </c>
      <c r="U23" s="703">
        <f>H23</f>
        <v>100</v>
      </c>
      <c r="V23" s="702" t="s">
        <v>14</v>
      </c>
      <c r="W23" s="703">
        <f>J23</f>
        <v>100</v>
      </c>
      <c r="X23" s="1349"/>
      <c r="Y23" s="3748"/>
      <c r="Z23" s="1350">
        <f>Q23</f>
        <v>111</v>
      </c>
      <c r="AA23" s="1347">
        <f t="shared" si="3"/>
        <v>1</v>
      </c>
      <c r="AB23" s="1347">
        <f t="shared" si="4"/>
        <v>1</v>
      </c>
      <c r="AC23" s="1347">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6"/>
      <c r="M24" s="2710"/>
      <c r="N24" s="2710"/>
      <c r="O24" s="2710"/>
      <c r="P24" s="3748"/>
      <c r="Q24" s="1346">
        <f t="shared" ref="Q24:Q36" si="11">B24</f>
        <v>111</v>
      </c>
      <c r="R24" s="702" t="s">
        <v>14</v>
      </c>
      <c r="S24" s="703">
        <f>F24</f>
        <v>100</v>
      </c>
      <c r="T24" s="702" t="s">
        <v>14</v>
      </c>
      <c r="U24" s="703">
        <f>H24</f>
        <v>100</v>
      </c>
      <c r="V24" s="702" t="s">
        <v>14</v>
      </c>
      <c r="W24" s="703">
        <f>J24</f>
        <v>100</v>
      </c>
      <c r="X24" s="1349"/>
      <c r="Y24" s="3748"/>
      <c r="Z24" s="1350">
        <f>Q24</f>
        <v>111</v>
      </c>
      <c r="AA24" s="1347">
        <f t="shared" si="3"/>
        <v>1</v>
      </c>
      <c r="AB24" s="1347">
        <f t="shared" si="4"/>
        <v>1</v>
      </c>
      <c r="AC24" s="1347">
        <f t="shared" si="5"/>
        <v>1</v>
      </c>
    </row>
    <row r="25" spans="1:29" s="105"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1"/>
      <c r="M25" s="2712"/>
      <c r="N25" s="2712"/>
      <c r="O25" s="2712"/>
      <c r="P25" s="3748"/>
      <c r="Q25" s="1337">
        <f t="shared" si="11"/>
        <v>111</v>
      </c>
      <c r="R25" s="698" t="s">
        <v>14</v>
      </c>
      <c r="S25" s="699">
        <f>F25</f>
        <v>100</v>
      </c>
      <c r="T25" s="698" t="s">
        <v>14</v>
      </c>
      <c r="U25" s="699">
        <f>H25</f>
        <v>100</v>
      </c>
      <c r="V25" s="698" t="s">
        <v>14</v>
      </c>
      <c r="W25" s="699">
        <f>J25</f>
        <v>100</v>
      </c>
      <c r="X25" s="700"/>
      <c r="Y25" s="3748"/>
      <c r="Z25" s="52">
        <f>Q25</f>
        <v>111</v>
      </c>
      <c r="AA25" s="1347">
        <f>D25/F25</f>
        <v>1</v>
      </c>
      <c r="AB25" s="1347">
        <f>D25/H25</f>
        <v>1</v>
      </c>
      <c r="AC25" s="1347">
        <f>D25/J25</f>
        <v>1</v>
      </c>
    </row>
    <row r="26" spans="1:29" ht="28.5">
      <c r="A26" s="597" t="s">
        <v>1694</v>
      </c>
      <c r="B26" s="62" t="s">
        <v>1836</v>
      </c>
      <c r="C26" s="1966" t="str">
        <f>B1</f>
        <v>车库</v>
      </c>
      <c r="D26" s="396">
        <v>100</v>
      </c>
      <c r="E26" s="395"/>
      <c r="F26" s="397">
        <f>SUMIF(79:79,E26,80:80)-SUMIF(79:79,C26,80:80)+100</f>
        <v>0</v>
      </c>
      <c r="G26" s="395"/>
      <c r="H26" s="396">
        <f>SUMIF(79:79,G26,80:80)-SUMIF(79:79,C26,80:80)+100</f>
        <v>0</v>
      </c>
      <c r="I26" s="395"/>
      <c r="J26" s="396">
        <f>SUMIF(79:79,I26,80:80)-SUMIF(79:79,C26,80:80)+100</f>
        <v>0</v>
      </c>
      <c r="K26" s="558"/>
      <c r="L26" s="2716"/>
      <c r="M26" s="2710"/>
      <c r="N26" s="2710"/>
      <c r="O26" s="2710"/>
      <c r="P26" s="3756" t="s">
        <v>1696</v>
      </c>
      <c r="Q26" s="1346" t="str">
        <f t="shared" si="11"/>
        <v>配套类型</v>
      </c>
      <c r="R26" s="702" t="s">
        <v>14</v>
      </c>
      <c r="S26" s="703">
        <f t="shared" ref="S26:S36" si="12">F26</f>
        <v>0</v>
      </c>
      <c r="T26" s="702" t="s">
        <v>14</v>
      </c>
      <c r="U26" s="703">
        <f t="shared" ref="U26:U36" si="13">H26</f>
        <v>0</v>
      </c>
      <c r="V26" s="702" t="s">
        <v>14</v>
      </c>
      <c r="W26" s="703">
        <f t="shared" ref="W26:W36" si="14">J26</f>
        <v>0</v>
      </c>
      <c r="X26" s="1349"/>
      <c r="Y26" s="3752" t="s">
        <v>1696</v>
      </c>
      <c r="Z26" s="1350" t="str">
        <f t="shared" ref="Z26:Z36" si="15">Q26</f>
        <v>配套类型</v>
      </c>
      <c r="AA26" s="1347" t="e">
        <f t="shared" si="3"/>
        <v>#DIV/0!</v>
      </c>
      <c r="AB26" s="1347" t="e">
        <f t="shared" si="4"/>
        <v>#DIV/0!</v>
      </c>
      <c r="AC26" s="1347"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5"/>
      <c r="M27" s="2717"/>
      <c r="N27" s="2717"/>
      <c r="O27" s="2717"/>
      <c r="P27" s="3752"/>
      <c r="Q27" s="704" t="str">
        <f t="shared" si="11"/>
        <v>项目停车位配比</v>
      </c>
      <c r="R27" s="705" t="s">
        <v>14</v>
      </c>
      <c r="S27" s="706">
        <f t="shared" si="12"/>
        <v>100</v>
      </c>
      <c r="T27" s="705" t="s">
        <v>14</v>
      </c>
      <c r="U27" s="706">
        <f t="shared" si="13"/>
        <v>100</v>
      </c>
      <c r="V27" s="705" t="s">
        <v>14</v>
      </c>
      <c r="W27" s="706">
        <f t="shared" si="14"/>
        <v>100</v>
      </c>
      <c r="X27" s="707"/>
      <c r="Y27" s="3752"/>
      <c r="Z27" s="708" t="str">
        <f t="shared" si="15"/>
        <v>项目停车位配比</v>
      </c>
      <c r="AA27" s="1347">
        <f t="shared" si="3"/>
        <v>1</v>
      </c>
      <c r="AB27" s="1347">
        <f t="shared" si="4"/>
        <v>1</v>
      </c>
      <c r="AC27" s="1347">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6"/>
      <c r="M28" s="2710"/>
      <c r="N28" s="2710"/>
      <c r="O28" s="2710"/>
      <c r="P28" s="3752"/>
      <c r="Q28" s="1346" t="str">
        <f t="shared" si="11"/>
        <v>公共部分装修</v>
      </c>
      <c r="R28" s="702" t="s">
        <v>14</v>
      </c>
      <c r="S28" s="703">
        <f t="shared" si="12"/>
        <v>100</v>
      </c>
      <c r="T28" s="702" t="s">
        <v>14</v>
      </c>
      <c r="U28" s="703">
        <f t="shared" si="13"/>
        <v>100</v>
      </c>
      <c r="V28" s="702" t="s">
        <v>14</v>
      </c>
      <c r="W28" s="703">
        <f t="shared" si="14"/>
        <v>100</v>
      </c>
      <c r="X28" s="1349"/>
      <c r="Y28" s="3752"/>
      <c r="Z28" s="1350" t="str">
        <f t="shared" si="15"/>
        <v>公共部分装修</v>
      </c>
      <c r="AA28" s="1347">
        <f t="shared" si="3"/>
        <v>1</v>
      </c>
      <c r="AB28" s="1347">
        <f t="shared" si="4"/>
        <v>1</v>
      </c>
      <c r="AC28" s="1347">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6"/>
      <c r="M29" s="2710"/>
      <c r="N29" s="2710"/>
      <c r="O29" s="2710"/>
      <c r="P29" s="3752"/>
      <c r="Q29" s="1346" t="str">
        <f t="shared" si="11"/>
        <v>成新率</v>
      </c>
      <c r="R29" s="702" t="s">
        <v>14</v>
      </c>
      <c r="S29" s="703" t="e">
        <f t="shared" si="12"/>
        <v>#N/A</v>
      </c>
      <c r="T29" s="702" t="s">
        <v>14</v>
      </c>
      <c r="U29" s="703" t="e">
        <f t="shared" si="13"/>
        <v>#N/A</v>
      </c>
      <c r="V29" s="702" t="s">
        <v>14</v>
      </c>
      <c r="W29" s="703" t="e">
        <f t="shared" si="14"/>
        <v>#N/A</v>
      </c>
      <c r="X29" s="1349"/>
      <c r="Y29" s="3752"/>
      <c r="Z29" s="1350" t="str">
        <f t="shared" si="15"/>
        <v>成新率</v>
      </c>
      <c r="AA29" s="1347" t="e">
        <f t="shared" si="3"/>
        <v>#N/A</v>
      </c>
      <c r="AB29" s="1347" t="e">
        <f t="shared" si="4"/>
        <v>#N/A</v>
      </c>
      <c r="AC29" s="1347"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6"/>
      <c r="M30" s="2710"/>
      <c r="N30" s="2710"/>
      <c r="O30" s="2710"/>
      <c r="P30" s="3752"/>
      <c r="Q30" s="1346" t="str">
        <f t="shared" si="11"/>
        <v>物业等级</v>
      </c>
      <c r="R30" s="702" t="s">
        <v>14</v>
      </c>
      <c r="S30" s="703">
        <f t="shared" si="12"/>
        <v>100</v>
      </c>
      <c r="T30" s="702" t="s">
        <v>14</v>
      </c>
      <c r="U30" s="703">
        <f t="shared" si="13"/>
        <v>100</v>
      </c>
      <c r="V30" s="702" t="s">
        <v>14</v>
      </c>
      <c r="W30" s="703">
        <f t="shared" si="14"/>
        <v>100</v>
      </c>
      <c r="X30" s="1349"/>
      <c r="Y30" s="3752"/>
      <c r="Z30" s="1350" t="str">
        <f t="shared" si="15"/>
        <v>物业等级</v>
      </c>
      <c r="AA30" s="1347">
        <f t="shared" si="3"/>
        <v>1</v>
      </c>
      <c r="AB30" s="1347">
        <f t="shared" si="4"/>
        <v>1</v>
      </c>
      <c r="AC30" s="1347">
        <f t="shared" si="5"/>
        <v>1</v>
      </c>
    </row>
    <row r="31" spans="1:29" s="105"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1"/>
      <c r="M31" s="2712"/>
      <c r="N31" s="2712"/>
      <c r="O31" s="2712"/>
      <c r="P31" s="3752"/>
      <c r="Q31" s="1337" t="str">
        <f t="shared" si="11"/>
        <v>停车位面积</v>
      </c>
      <c r="R31" s="698" t="s">
        <v>14</v>
      </c>
      <c r="S31" s="699" t="e">
        <f t="shared" si="12"/>
        <v>#N/A</v>
      </c>
      <c r="T31" s="698" t="s">
        <v>14</v>
      </c>
      <c r="U31" s="699" t="e">
        <f t="shared" si="13"/>
        <v>#N/A</v>
      </c>
      <c r="V31" s="698" t="s">
        <v>14</v>
      </c>
      <c r="W31" s="699" t="e">
        <f t="shared" si="14"/>
        <v>#N/A</v>
      </c>
      <c r="X31" s="700"/>
      <c r="Y31" s="3752"/>
      <c r="Z31" s="52" t="str">
        <f t="shared" si="15"/>
        <v>停车位面积</v>
      </c>
      <c r="AA31" s="701" t="e">
        <f t="shared" si="3"/>
        <v>#N/A</v>
      </c>
      <c r="AB31" s="701" t="e">
        <f t="shared" si="4"/>
        <v>#N/A</v>
      </c>
      <c r="AC31" s="701"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6"/>
      <c r="M32" s="2710"/>
      <c r="N32" s="2710"/>
      <c r="O32" s="2710"/>
      <c r="P32" s="3752" t="s">
        <v>1696</v>
      </c>
      <c r="Q32" s="1346" t="str">
        <f t="shared" si="11"/>
        <v>车位类型</v>
      </c>
      <c r="R32" s="702" t="s">
        <v>14</v>
      </c>
      <c r="S32" s="703">
        <f t="shared" si="12"/>
        <v>100</v>
      </c>
      <c r="T32" s="702" t="s">
        <v>14</v>
      </c>
      <c r="U32" s="703">
        <f t="shared" si="13"/>
        <v>100</v>
      </c>
      <c r="V32" s="702" t="s">
        <v>14</v>
      </c>
      <c r="W32" s="703">
        <f t="shared" si="14"/>
        <v>100</v>
      </c>
      <c r="X32" s="1349"/>
      <c r="Y32" s="3752" t="s">
        <v>1696</v>
      </c>
      <c r="Z32" s="1350" t="str">
        <f t="shared" si="15"/>
        <v>车位类型</v>
      </c>
      <c r="AA32" s="1347">
        <f t="shared" si="3"/>
        <v>1</v>
      </c>
      <c r="AB32" s="1347">
        <f t="shared" si="4"/>
        <v>1</v>
      </c>
      <c r="AC32" s="1347">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6"/>
      <c r="M33" s="2710"/>
      <c r="N33" s="2710"/>
      <c r="O33" s="2710"/>
      <c r="P33" s="3752"/>
      <c r="Q33" s="1346" t="str">
        <f t="shared" si="11"/>
        <v>是否直接入户</v>
      </c>
      <c r="R33" s="702" t="s">
        <v>14</v>
      </c>
      <c r="S33" s="703">
        <f t="shared" si="12"/>
        <v>100</v>
      </c>
      <c r="T33" s="702" t="s">
        <v>14</v>
      </c>
      <c r="U33" s="703">
        <f t="shared" si="13"/>
        <v>100</v>
      </c>
      <c r="V33" s="702" t="s">
        <v>14</v>
      </c>
      <c r="W33" s="703">
        <f t="shared" si="14"/>
        <v>100</v>
      </c>
      <c r="X33" s="1349"/>
      <c r="Y33" s="3752"/>
      <c r="Z33" s="1350" t="str">
        <f t="shared" si="15"/>
        <v>是否直接入户</v>
      </c>
      <c r="AA33" s="1347">
        <f t="shared" si="3"/>
        <v>1</v>
      </c>
      <c r="AB33" s="1347">
        <f t="shared" si="4"/>
        <v>1</v>
      </c>
      <c r="AC33" s="1347">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6"/>
      <c r="M34" s="2710"/>
      <c r="N34" s="2710"/>
      <c r="O34" s="2710"/>
      <c r="P34" s="3752"/>
      <c r="Q34" s="1346">
        <f t="shared" si="11"/>
        <v>111</v>
      </c>
      <c r="R34" s="702" t="s">
        <v>14</v>
      </c>
      <c r="S34" s="703">
        <f t="shared" si="12"/>
        <v>100</v>
      </c>
      <c r="T34" s="702" t="s">
        <v>14</v>
      </c>
      <c r="U34" s="703">
        <f t="shared" si="13"/>
        <v>100</v>
      </c>
      <c r="V34" s="702" t="s">
        <v>14</v>
      </c>
      <c r="W34" s="703">
        <f t="shared" si="14"/>
        <v>100</v>
      </c>
      <c r="X34" s="1349"/>
      <c r="Y34" s="3752"/>
      <c r="Z34" s="1350">
        <f t="shared" si="15"/>
        <v>111</v>
      </c>
      <c r="AA34" s="1347">
        <f t="shared" si="3"/>
        <v>1</v>
      </c>
      <c r="AB34" s="1347">
        <f t="shared" si="4"/>
        <v>1</v>
      </c>
      <c r="AC34" s="1347">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5"/>
      <c r="M35" s="2717"/>
      <c r="N35" s="2717"/>
      <c r="O35" s="2717"/>
      <c r="P35" s="3752"/>
      <c r="Q35" s="704">
        <f t="shared" si="11"/>
        <v>111</v>
      </c>
      <c r="R35" s="705" t="s">
        <v>14</v>
      </c>
      <c r="S35" s="706">
        <f t="shared" si="12"/>
        <v>100</v>
      </c>
      <c r="T35" s="705" t="s">
        <v>14</v>
      </c>
      <c r="U35" s="706">
        <f t="shared" si="13"/>
        <v>100</v>
      </c>
      <c r="V35" s="705" t="s">
        <v>14</v>
      </c>
      <c r="W35" s="706">
        <f t="shared" si="14"/>
        <v>100</v>
      </c>
      <c r="X35" s="707"/>
      <c r="Y35" s="3752"/>
      <c r="Z35" s="708">
        <f t="shared" si="15"/>
        <v>111</v>
      </c>
      <c r="AA35" s="1347">
        <f t="shared" si="3"/>
        <v>1</v>
      </c>
      <c r="AB35" s="1347">
        <f t="shared" si="4"/>
        <v>1</v>
      </c>
      <c r="AC35" s="1347">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6"/>
      <c r="M36" s="2710"/>
      <c r="N36" s="2710"/>
      <c r="O36" s="2710"/>
      <c r="P36" s="3752"/>
      <c r="Q36" s="1346">
        <f t="shared" si="11"/>
        <v>111</v>
      </c>
      <c r="R36" s="702" t="s">
        <v>14</v>
      </c>
      <c r="S36" s="703">
        <f t="shared" si="12"/>
        <v>100</v>
      </c>
      <c r="T36" s="702" t="s">
        <v>14</v>
      </c>
      <c r="U36" s="703">
        <f t="shared" si="13"/>
        <v>100</v>
      </c>
      <c r="V36" s="702" t="s">
        <v>14</v>
      </c>
      <c r="W36" s="703">
        <f t="shared" si="14"/>
        <v>100</v>
      </c>
      <c r="X36" s="1349"/>
      <c r="Y36" s="3752"/>
      <c r="Z36" s="1350">
        <f t="shared" si="15"/>
        <v>111</v>
      </c>
      <c r="AA36" s="1347">
        <f t="shared" si="3"/>
        <v>1</v>
      </c>
      <c r="AB36" s="1347">
        <f t="shared" si="4"/>
        <v>1</v>
      </c>
      <c r="AC36" s="1347">
        <f t="shared" si="5"/>
        <v>1</v>
      </c>
    </row>
    <row r="37" spans="1:29" ht="15">
      <c r="A37" s="427" t="s">
        <v>1844</v>
      </c>
      <c r="B37" s="1967" t="s">
        <v>3347</v>
      </c>
      <c r="C37" s="1148" t="s">
        <v>0</v>
      </c>
      <c r="D37" s="1149"/>
      <c r="E37" s="1150"/>
      <c r="F37" s="1151"/>
      <c r="G37" s="1152"/>
      <c r="H37" s="1153"/>
      <c r="I37" s="1150"/>
      <c r="J37" s="1153"/>
      <c r="K37" s="565"/>
      <c r="L37" s="2718"/>
      <c r="M37" s="2719"/>
      <c r="N37" s="2710"/>
      <c r="O37" s="2719"/>
      <c r="P37" s="3745" t="str">
        <f>A37</f>
        <v>成交单价</v>
      </c>
      <c r="Q37" s="3745"/>
      <c r="R37" s="3746">
        <f>E37</f>
        <v>0</v>
      </c>
      <c r="S37" s="3746"/>
      <c r="T37" s="3746">
        <f>G37</f>
        <v>0</v>
      </c>
      <c r="U37" s="3746"/>
      <c r="V37" s="3746">
        <f>I37</f>
        <v>0</v>
      </c>
      <c r="W37" s="3746"/>
      <c r="X37" s="687"/>
      <c r="Y37" s="709"/>
      <c r="Z37" s="687"/>
      <c r="AA37" s="687"/>
      <c r="AB37" s="687"/>
      <c r="AC37" s="687"/>
    </row>
    <row r="38" spans="1:29" ht="15.75" thickBot="1">
      <c r="A38" s="434" t="s">
        <v>1845</v>
      </c>
      <c r="B38" s="435" t="str">
        <f>B37</f>
        <v>元/平方米</v>
      </c>
      <c r="C38" s="1154" t="e">
        <f>R39</f>
        <v>#DIV/0!</v>
      </c>
      <c r="D38" s="2311" t="s">
        <v>2138</v>
      </c>
      <c r="E38" s="1155" t="e">
        <f>R38</f>
        <v>#DIV/0!</v>
      </c>
      <c r="F38" s="2312"/>
      <c r="G38" s="1154" t="e">
        <f>T38</f>
        <v>#DIV/0!</v>
      </c>
      <c r="H38" s="2312"/>
      <c r="I38" s="1155" t="e">
        <f>V38</f>
        <v>#DIV/0!</v>
      </c>
      <c r="J38" s="2312"/>
      <c r="K38" s="2314">
        <f>F38+H38+J38</f>
        <v>0</v>
      </c>
      <c r="L38" s="2718"/>
      <c r="M38" s="2719"/>
      <c r="N38" s="2719"/>
      <c r="O38" s="2719"/>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87"/>
      <c r="Y38" s="687"/>
      <c r="Z38" s="687"/>
      <c r="AA38" s="687"/>
      <c r="AB38" s="687"/>
      <c r="AC38" s="687"/>
    </row>
    <row r="39" spans="1:29" ht="15.75" thickBot="1">
      <c r="A39" s="438" t="s">
        <v>1846</v>
      </c>
      <c r="B39" s="439"/>
      <c r="C39" s="1157" t="e">
        <f>R39</f>
        <v>#DIV/0!</v>
      </c>
      <c r="D39" s="1157"/>
      <c r="E39" s="1157"/>
      <c r="F39" s="1157"/>
      <c r="G39" s="1157"/>
      <c r="H39" s="1157"/>
      <c r="I39" s="1157"/>
      <c r="J39" s="1157"/>
      <c r="K39" s="566"/>
      <c r="L39" s="2718"/>
      <c r="M39" s="2719"/>
      <c r="N39" s="2719"/>
      <c r="O39" s="2719"/>
      <c r="P39" s="3742" t="str">
        <f>A39</f>
        <v>估价对象XX用房的比较价值（楼面单价，元/平方米）</v>
      </c>
      <c r="Q39" s="3743"/>
      <c r="R39" s="3757" t="e">
        <f>IF(F1="售价",ROUND(IF(D38="简单平均",AVERAGE(R38:W38),R38*F38+T38*H38+V38*J38),0),ROUND(IF(D38="简单平均",AVERAGE(R38:V38),R38*F38+T38*H38+V38*J38),1))</f>
        <v>#DIV/0!</v>
      </c>
      <c r="S39" s="3757"/>
      <c r="T39" s="3757"/>
      <c r="U39" s="3757"/>
      <c r="V39" s="3757"/>
      <c r="W39" s="3757"/>
      <c r="X39" s="687"/>
      <c r="Y39" s="687"/>
      <c r="Z39" s="687"/>
      <c r="AA39" s="687"/>
      <c r="AB39" s="687"/>
      <c r="AC39" s="687"/>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8" customFormat="1" ht="13.5" customHeight="1">
      <c r="A44" s="2722"/>
      <c r="B44" s="2722"/>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8"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4" customFormat="1" ht="15">
      <c r="A48" s="451" t="s">
        <v>1851</v>
      </c>
      <c r="B48" s="452"/>
      <c r="C48" s="1178" t="str">
        <f>YEAR(C7)&amp;"-"&amp;MONTH(C7)</f>
        <v>2024-9</v>
      </c>
      <c r="D48" s="1179">
        <f>EDATE(C48,-1)</f>
        <v>45505</v>
      </c>
      <c r="E48" s="1179">
        <f t="shared" ref="E48:O48" si="16">EDATE(D48,-1)</f>
        <v>45474</v>
      </c>
      <c r="F48" s="1179">
        <f t="shared" si="16"/>
        <v>45444</v>
      </c>
      <c r="G48" s="1179">
        <f t="shared" si="16"/>
        <v>45413</v>
      </c>
      <c r="H48" s="1179">
        <f t="shared" si="16"/>
        <v>45383</v>
      </c>
      <c r="I48" s="1179">
        <f t="shared" si="16"/>
        <v>45352</v>
      </c>
      <c r="J48" s="1179">
        <f t="shared" si="16"/>
        <v>45323</v>
      </c>
      <c r="K48" s="1179">
        <f t="shared" si="16"/>
        <v>45292</v>
      </c>
      <c r="L48" s="1179">
        <f t="shared" si="16"/>
        <v>45261</v>
      </c>
      <c r="M48" s="1179">
        <f t="shared" si="16"/>
        <v>45231</v>
      </c>
      <c r="N48" s="1179">
        <f t="shared" si="16"/>
        <v>45200</v>
      </c>
      <c r="O48" s="1179">
        <f t="shared" si="16"/>
        <v>45170</v>
      </c>
      <c r="P48" s="2753"/>
      <c r="Q48" s="2735"/>
      <c r="R48" s="2735"/>
      <c r="S48" s="2735"/>
      <c r="T48" s="2735"/>
      <c r="U48" s="2735"/>
      <c r="V48" s="2735"/>
      <c r="W48" s="2735"/>
      <c r="X48" s="2735"/>
      <c r="Y48" s="2735"/>
      <c r="Z48" s="2735"/>
      <c r="AA48" s="2735"/>
      <c r="AB48" s="2735"/>
      <c r="AC48" s="2735"/>
    </row>
    <row r="49" spans="1:29" s="105" customFormat="1" ht="15">
      <c r="A49" s="455"/>
      <c r="B49" s="456"/>
      <c r="C49" s="1171">
        <v>100</v>
      </c>
      <c r="D49" s="458"/>
      <c r="E49" s="458"/>
      <c r="F49" s="458"/>
      <c r="G49" s="458"/>
      <c r="H49" s="458"/>
      <c r="I49" s="458"/>
      <c r="J49" s="458"/>
      <c r="K49" s="458"/>
      <c r="L49" s="458"/>
      <c r="M49" s="459"/>
      <c r="N49" s="458"/>
      <c r="O49" s="459"/>
      <c r="P49" s="2754"/>
      <c r="Q49" s="2655"/>
      <c r="R49" s="2655"/>
      <c r="S49" s="2655"/>
      <c r="T49" s="2655"/>
      <c r="U49" s="2655"/>
      <c r="V49" s="2655"/>
      <c r="W49" s="2655"/>
      <c r="X49" s="2655"/>
      <c r="Y49" s="2655"/>
      <c r="Z49" s="2655"/>
      <c r="AA49" s="2655"/>
      <c r="AB49" s="2655"/>
      <c r="AC49" s="2655"/>
    </row>
    <row r="50" spans="1:29" s="105" customFormat="1" ht="15.75" thickBot="1">
      <c r="A50" s="461" t="s">
        <v>1716</v>
      </c>
      <c r="B50" s="462"/>
      <c r="C50" s="463"/>
      <c r="D50" s="464"/>
      <c r="E50" s="464"/>
      <c r="F50" s="464"/>
      <c r="G50" s="464"/>
      <c r="H50" s="464"/>
      <c r="I50" s="464"/>
      <c r="J50" s="464"/>
      <c r="K50" s="464"/>
      <c r="L50" s="464"/>
      <c r="M50" s="465"/>
      <c r="N50" s="464"/>
      <c r="O50" s="465"/>
      <c r="P50" s="2754"/>
      <c r="Q50" s="2733"/>
      <c r="R50" s="2655"/>
      <c r="S50" s="2655"/>
      <c r="T50" s="2655"/>
      <c r="U50" s="2655"/>
      <c r="V50" s="2655"/>
      <c r="W50" s="2655"/>
      <c r="X50" s="2655"/>
      <c r="Y50" s="2655"/>
      <c r="Z50" s="2655"/>
      <c r="AA50" s="2655"/>
      <c r="AB50" s="2655"/>
      <c r="AC50" s="2655"/>
    </row>
    <row r="51" spans="1:29" s="105" customFormat="1" ht="15">
      <c r="A51" s="467" t="s">
        <v>1681</v>
      </c>
      <c r="B51" s="456"/>
      <c r="C51" s="468" t="s">
        <v>1776</v>
      </c>
      <c r="D51" s="469"/>
      <c r="E51" s="469"/>
      <c r="F51" s="469"/>
      <c r="G51" s="469"/>
      <c r="H51" s="469"/>
      <c r="I51" s="469"/>
      <c r="J51" s="469"/>
      <c r="K51" s="469"/>
      <c r="L51" s="470"/>
      <c r="M51" s="471"/>
      <c r="N51" s="2746"/>
      <c r="O51" s="2746"/>
      <c r="P51" s="2755"/>
      <c r="Q51" s="2733"/>
      <c r="R51" s="2655"/>
      <c r="S51" s="2655"/>
      <c r="T51" s="2655"/>
      <c r="U51" s="2655"/>
      <c r="V51" s="2655"/>
      <c r="W51" s="2655"/>
      <c r="X51" s="2655"/>
      <c r="Y51" s="2655"/>
      <c r="Z51" s="2655"/>
      <c r="AA51" s="2655"/>
      <c r="AB51" s="2655"/>
      <c r="AC51" s="2655"/>
    </row>
    <row r="52" spans="1:29" s="105" customFormat="1" ht="15.75" thickBot="1">
      <c r="A52" s="467"/>
      <c r="B52" s="456"/>
      <c r="C52" s="584">
        <v>100</v>
      </c>
      <c r="D52" s="458"/>
      <c r="E52" s="458"/>
      <c r="F52" s="458"/>
      <c r="G52" s="458"/>
      <c r="H52" s="458"/>
      <c r="I52" s="458"/>
      <c r="J52" s="458"/>
      <c r="K52" s="458"/>
      <c r="L52" s="458"/>
      <c r="M52" s="460"/>
      <c r="N52" s="2746"/>
      <c r="O52" s="2746"/>
      <c r="P52" s="2754"/>
      <c r="Q52" s="2733"/>
      <c r="R52" s="2655"/>
      <c r="S52" s="2655"/>
      <c r="T52" s="2655"/>
      <c r="U52" s="2655"/>
      <c r="V52" s="2655"/>
      <c r="W52" s="2655"/>
      <c r="X52" s="2655"/>
      <c r="Y52" s="2655"/>
      <c r="Z52" s="2655"/>
      <c r="AA52" s="2655"/>
      <c r="AB52" s="2655"/>
      <c r="AC52" s="2655"/>
    </row>
    <row r="53" spans="1:29">
      <c r="A53" s="473" t="s">
        <v>1719</v>
      </c>
      <c r="B53" s="474" t="s">
        <v>1685</v>
      </c>
      <c r="C53" s="475">
        <f>C9</f>
        <v>0</v>
      </c>
      <c r="D53" s="476"/>
      <c r="E53" s="476"/>
      <c r="F53" s="476"/>
      <c r="G53" s="476"/>
      <c r="H53" s="476"/>
      <c r="I53" s="476"/>
      <c r="J53" s="476"/>
      <c r="K53" s="477"/>
      <c r="L53" s="478"/>
      <c r="M53" s="479"/>
      <c r="N53" s="2747"/>
      <c r="O53" s="2747"/>
      <c r="P53" s="2756"/>
      <c r="Q53" s="2733"/>
      <c r="R53" s="2719"/>
      <c r="S53" s="2719"/>
      <c r="T53" s="2719"/>
      <c r="U53" s="2719"/>
      <c r="V53" s="2719"/>
      <c r="W53" s="2719"/>
      <c r="X53" s="2719"/>
      <c r="Y53" s="2719"/>
      <c r="Z53" s="2719"/>
      <c r="AA53" s="2719"/>
      <c r="AB53" s="2719"/>
      <c r="AC53" s="2719"/>
    </row>
    <row r="54" spans="1:29" ht="15.75" thickBot="1">
      <c r="A54" s="480"/>
      <c r="B54" s="481"/>
      <c r="C54" s="482">
        <v>100</v>
      </c>
      <c r="D54" s="482"/>
      <c r="E54" s="482"/>
      <c r="F54" s="482"/>
      <c r="G54" s="482"/>
      <c r="H54" s="482"/>
      <c r="I54" s="482"/>
      <c r="J54" s="482"/>
      <c r="K54" s="482"/>
      <c r="L54" s="482"/>
      <c r="M54" s="483"/>
      <c r="N54" s="2748"/>
      <c r="O54" s="2748"/>
      <c r="P54" s="2756"/>
      <c r="Q54" s="2733"/>
      <c r="R54" s="2719"/>
      <c r="S54" s="2719"/>
      <c r="T54" s="2719"/>
      <c r="U54" s="2719"/>
      <c r="V54" s="2719"/>
      <c r="W54" s="2719"/>
      <c r="X54" s="2719"/>
      <c r="Y54" s="2719"/>
      <c r="Z54" s="2719"/>
      <c r="AA54" s="2719"/>
      <c r="AB54" s="2719"/>
      <c r="AC54" s="2719"/>
    </row>
    <row r="55" spans="1:29" ht="27.75" thickTop="1">
      <c r="A55" s="480"/>
      <c r="B55" s="484" t="s">
        <v>1688</v>
      </c>
      <c r="C55" s="529"/>
      <c r="D55" s="529"/>
      <c r="E55" s="529"/>
      <c r="F55" s="529"/>
      <c r="G55" s="529"/>
      <c r="H55" s="529"/>
      <c r="I55" s="529"/>
      <c r="J55" s="529"/>
      <c r="K55" s="530"/>
      <c r="L55" s="531"/>
      <c r="M55" s="532"/>
      <c r="N55" s="2747"/>
      <c r="O55" s="2747"/>
      <c r="P55" s="2756"/>
      <c r="Q55" s="2733"/>
      <c r="R55" s="2719"/>
      <c r="S55" s="2719"/>
      <c r="T55" s="2719"/>
      <c r="U55" s="2719"/>
      <c r="V55" s="2719"/>
      <c r="W55" s="2719"/>
      <c r="X55" s="2719"/>
      <c r="Y55" s="2719"/>
      <c r="Z55" s="2719"/>
      <c r="AA55" s="2719"/>
      <c r="AB55" s="2719"/>
      <c r="AC55" s="2719"/>
    </row>
    <row r="56" spans="1:29" ht="15.75" thickBot="1">
      <c r="A56" s="480"/>
      <c r="B56" s="489"/>
      <c r="C56" s="482"/>
      <c r="D56" s="482"/>
      <c r="E56" s="482"/>
      <c r="F56" s="482"/>
      <c r="G56" s="482"/>
      <c r="H56" s="482"/>
      <c r="I56" s="482"/>
      <c r="J56" s="482"/>
      <c r="K56" s="482"/>
      <c r="L56" s="482"/>
      <c r="M56" s="483"/>
      <c r="N56" s="2748"/>
      <c r="O56" s="2748"/>
      <c r="P56" s="2756"/>
      <c r="Q56" s="2733"/>
      <c r="R56" s="2719"/>
      <c r="S56" s="2719"/>
      <c r="T56" s="2719"/>
      <c r="U56" s="2719"/>
      <c r="V56" s="2719"/>
      <c r="W56" s="2719"/>
      <c r="X56" s="2719"/>
      <c r="Y56" s="2719"/>
      <c r="Z56" s="2719"/>
      <c r="AA56" s="2719"/>
      <c r="AB56" s="2719"/>
      <c r="AC56" s="2719"/>
    </row>
    <row r="57" spans="1:29" ht="15.75" thickTop="1">
      <c r="A57" s="480"/>
      <c r="B57" s="605">
        <f>B11</f>
        <v>111</v>
      </c>
      <c r="C57" s="495"/>
      <c r="D57" s="495"/>
      <c r="E57" s="495"/>
      <c r="F57" s="495"/>
      <c r="G57" s="495"/>
      <c r="H57" s="495"/>
      <c r="I57" s="495"/>
      <c r="J57" s="495"/>
      <c r="K57" s="496"/>
      <c r="L57" s="497"/>
      <c r="M57" s="498"/>
      <c r="N57" s="2747"/>
      <c r="O57" s="2747"/>
      <c r="P57" s="2756"/>
      <c r="Q57" s="2733"/>
      <c r="R57" s="2719"/>
      <c r="S57" s="2719"/>
      <c r="T57" s="2719"/>
      <c r="U57" s="2719"/>
      <c r="V57" s="2719"/>
      <c r="W57" s="2719"/>
      <c r="X57" s="2719"/>
      <c r="Y57" s="2719"/>
      <c r="Z57" s="2719"/>
      <c r="AA57" s="2719"/>
      <c r="AB57" s="2719"/>
      <c r="AC57" s="2719"/>
    </row>
    <row r="58" spans="1:29" ht="15.75" thickBot="1">
      <c r="A58" s="480"/>
      <c r="B58" s="481"/>
      <c r="C58" s="506"/>
      <c r="D58" s="482"/>
      <c r="E58" s="482"/>
      <c r="F58" s="482"/>
      <c r="G58" s="482"/>
      <c r="H58" s="482"/>
      <c r="I58" s="482"/>
      <c r="J58" s="482"/>
      <c r="K58" s="482"/>
      <c r="L58" s="482"/>
      <c r="M58" s="483"/>
      <c r="N58" s="2748"/>
      <c r="O58" s="2748"/>
      <c r="P58" s="2756"/>
      <c r="Q58" s="2733"/>
      <c r="R58" s="2719"/>
      <c r="S58" s="2719"/>
      <c r="T58" s="2719"/>
      <c r="U58" s="2719"/>
      <c r="V58" s="2719"/>
      <c r="W58" s="2719"/>
      <c r="X58" s="2719"/>
      <c r="Y58" s="2719"/>
      <c r="Z58" s="2719"/>
      <c r="AA58" s="2719"/>
      <c r="AB58" s="2719"/>
      <c r="AC58" s="2719"/>
    </row>
    <row r="59" spans="1:29" s="419" customFormat="1" ht="15.75" thickTop="1">
      <c r="A59" s="499"/>
      <c r="B59" s="484">
        <f>B12</f>
        <v>111</v>
      </c>
      <c r="C59" s="495"/>
      <c r="D59" s="495"/>
      <c r="E59" s="495"/>
      <c r="F59" s="495"/>
      <c r="G59" s="500"/>
      <c r="H59" s="501"/>
      <c r="I59" s="501"/>
      <c r="J59" s="501"/>
      <c r="K59" s="501"/>
      <c r="L59" s="502"/>
      <c r="M59" s="503"/>
      <c r="N59" s="2749"/>
      <c r="O59" s="2749"/>
      <c r="P59" s="2757"/>
      <c r="Q59" s="2740"/>
      <c r="R59" s="2741"/>
      <c r="S59" s="2741"/>
      <c r="T59" s="2741"/>
      <c r="U59" s="2741"/>
      <c r="V59" s="2741"/>
      <c r="W59" s="2741"/>
      <c r="X59" s="2741"/>
      <c r="Y59" s="2741"/>
      <c r="Z59" s="2741"/>
      <c r="AA59" s="2741"/>
      <c r="AB59" s="2741"/>
      <c r="AC59" s="2741"/>
    </row>
    <row r="60" spans="1:29" s="419" customFormat="1" ht="15.75" thickBot="1">
      <c r="A60" s="499"/>
      <c r="B60" s="489"/>
      <c r="C60" s="506"/>
      <c r="D60" s="482"/>
      <c r="E60" s="482"/>
      <c r="F60" s="482"/>
      <c r="G60" s="482"/>
      <c r="H60" s="482"/>
      <c r="I60" s="482"/>
      <c r="J60" s="482"/>
      <c r="K60" s="482"/>
      <c r="L60" s="482"/>
      <c r="M60" s="483"/>
      <c r="N60" s="2748"/>
      <c r="O60" s="2748"/>
      <c r="P60" s="2757"/>
      <c r="Q60" s="2740"/>
      <c r="R60" s="2741"/>
      <c r="S60" s="2741"/>
      <c r="T60" s="2741"/>
      <c r="U60" s="2741"/>
      <c r="V60" s="2741"/>
      <c r="W60" s="2741"/>
      <c r="X60" s="2741"/>
      <c r="Y60" s="2741"/>
      <c r="Z60" s="2741"/>
      <c r="AA60" s="2741"/>
      <c r="AB60" s="2741"/>
      <c r="AC60" s="2741"/>
    </row>
    <row r="61" spans="1:29" s="419" customFormat="1" ht="15.75" thickTop="1">
      <c r="A61" s="499"/>
      <c r="B61" s="484">
        <f>B13</f>
        <v>111</v>
      </c>
      <c r="C61" s="500"/>
      <c r="D61" s="500"/>
      <c r="E61" s="500"/>
      <c r="F61" s="500"/>
      <c r="G61" s="500"/>
      <c r="H61" s="501"/>
      <c r="I61" s="501"/>
      <c r="J61" s="501"/>
      <c r="K61" s="501"/>
      <c r="L61" s="502"/>
      <c r="M61" s="503"/>
      <c r="N61" s="2749"/>
      <c r="O61" s="2749"/>
      <c r="P61" s="2758"/>
      <c r="Q61" s="2743"/>
      <c r="R61" s="2741"/>
      <c r="S61" s="2741"/>
      <c r="T61" s="2741"/>
      <c r="U61" s="2741"/>
      <c r="V61" s="2741"/>
      <c r="W61" s="2741"/>
      <c r="X61" s="2741"/>
      <c r="Y61" s="2741"/>
      <c r="Z61" s="2741"/>
      <c r="AA61" s="2741"/>
      <c r="AB61" s="2741"/>
      <c r="AC61" s="2741"/>
    </row>
    <row r="62" spans="1:29" s="419" customFormat="1" ht="15.75" thickBot="1">
      <c r="A62" s="499"/>
      <c r="B62" s="489"/>
      <c r="C62" s="506"/>
      <c r="D62" s="506"/>
      <c r="E62" s="506"/>
      <c r="F62" s="506"/>
      <c r="G62" s="506"/>
      <c r="H62" s="508"/>
      <c r="I62" s="508"/>
      <c r="J62" s="508"/>
      <c r="K62" s="508"/>
      <c r="L62" s="508"/>
      <c r="M62" s="509"/>
      <c r="N62" s="2749"/>
      <c r="O62" s="2749"/>
      <c r="P62" s="2757"/>
      <c r="Q62" s="2740"/>
      <c r="R62" s="2741"/>
      <c r="S62" s="2741"/>
      <c r="T62" s="2741"/>
      <c r="U62" s="2741"/>
      <c r="V62" s="2741"/>
      <c r="W62" s="2741"/>
      <c r="X62" s="2741"/>
      <c r="Y62" s="2741"/>
      <c r="Z62" s="2741"/>
      <c r="AA62" s="2741"/>
      <c r="AB62" s="2741"/>
      <c r="AC62" s="274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7"/>
      <c r="O63" s="2747"/>
      <c r="P63" s="2760"/>
      <c r="Q63" s="2733"/>
      <c r="R63" s="2719"/>
      <c r="S63" s="2719"/>
      <c r="T63" s="2719"/>
      <c r="U63" s="2719"/>
      <c r="V63" s="2719"/>
      <c r="W63" s="2719"/>
      <c r="X63" s="2719"/>
      <c r="Y63" s="2719"/>
      <c r="Z63" s="2719"/>
      <c r="AA63" s="2719"/>
      <c r="AB63" s="2719"/>
      <c r="AC63" s="2719"/>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8"/>
      <c r="O64" s="2748"/>
      <c r="P64" s="2756"/>
      <c r="Q64" s="2733"/>
      <c r="R64" s="2719"/>
      <c r="S64" s="2719"/>
      <c r="T64" s="2719"/>
      <c r="U64" s="2719"/>
      <c r="V64" s="2719"/>
      <c r="W64" s="2719"/>
      <c r="X64" s="2719"/>
      <c r="Y64" s="2719"/>
      <c r="Z64" s="2719"/>
      <c r="AA64" s="2719"/>
      <c r="AB64" s="2719"/>
      <c r="AC64" s="2719"/>
    </row>
    <row r="65" spans="1:29" ht="15.75" thickTop="1">
      <c r="A65" s="480"/>
      <c r="B65" s="484" t="s">
        <v>1727</v>
      </c>
      <c r="C65" s="524" t="s">
        <v>1721</v>
      </c>
      <c r="D65" s="524" t="s">
        <v>1722</v>
      </c>
      <c r="E65" s="524" t="s">
        <v>1723</v>
      </c>
      <c r="F65" s="524" t="s">
        <v>1724</v>
      </c>
      <c r="G65" s="524" t="s">
        <v>1725</v>
      </c>
      <c r="H65" s="485"/>
      <c r="I65" s="485"/>
      <c r="J65" s="485"/>
      <c r="K65" s="486"/>
      <c r="L65" s="487"/>
      <c r="M65" s="488"/>
      <c r="N65" s="2747"/>
      <c r="O65" s="2747"/>
      <c r="P65" s="2756"/>
      <c r="Q65" s="2733"/>
      <c r="R65" s="2719"/>
      <c r="S65" s="2719"/>
      <c r="T65" s="2719"/>
      <c r="U65" s="2719"/>
      <c r="V65" s="2719"/>
      <c r="W65" s="2719"/>
      <c r="X65" s="2719"/>
      <c r="Y65" s="2719"/>
      <c r="Z65" s="2719"/>
      <c r="AA65" s="2719"/>
      <c r="AB65" s="2719"/>
      <c r="AC65" s="2719"/>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8"/>
      <c r="O66" s="2748"/>
      <c r="P66" s="2756"/>
      <c r="Q66" s="2733"/>
      <c r="R66" s="2719"/>
      <c r="S66" s="2719"/>
      <c r="T66" s="2719"/>
      <c r="U66" s="2719"/>
      <c r="V66" s="2719"/>
      <c r="W66" s="2719"/>
      <c r="X66" s="2719"/>
      <c r="Y66" s="2719"/>
      <c r="Z66" s="2719"/>
      <c r="AA66" s="2719"/>
      <c r="AB66" s="2719"/>
      <c r="AC66" s="2719"/>
    </row>
    <row r="67" spans="1:29" ht="15.75" thickTop="1">
      <c r="A67" s="480"/>
      <c r="B67" s="492" t="s">
        <v>1813</v>
      </c>
      <c r="C67" s="605" t="s">
        <v>1799</v>
      </c>
      <c r="D67" s="605" t="s">
        <v>1800</v>
      </c>
      <c r="E67" s="605" t="s">
        <v>1801</v>
      </c>
      <c r="F67" s="605" t="s">
        <v>1802</v>
      </c>
      <c r="G67" s="605" t="s">
        <v>1803</v>
      </c>
      <c r="H67" s="485"/>
      <c r="I67" s="485"/>
      <c r="J67" s="485"/>
      <c r="K67" s="485"/>
      <c r="L67" s="485"/>
      <c r="M67" s="1123"/>
      <c r="N67" s="2748"/>
      <c r="O67" s="2748"/>
      <c r="P67" s="2756"/>
      <c r="Q67" s="2733"/>
      <c r="R67" s="2719"/>
      <c r="S67" s="2719"/>
      <c r="T67" s="2719"/>
      <c r="U67" s="2719"/>
      <c r="V67" s="2719"/>
      <c r="W67" s="2719"/>
      <c r="X67" s="2719"/>
      <c r="Y67" s="2719"/>
      <c r="Z67" s="2719"/>
      <c r="AA67" s="2719"/>
      <c r="AB67" s="2719"/>
      <c r="AC67" s="2719"/>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8"/>
      <c r="O68" s="2748"/>
      <c r="P68" s="2756"/>
      <c r="Q68" s="2733"/>
      <c r="R68" s="2719"/>
      <c r="S68" s="2719"/>
      <c r="T68" s="2719"/>
      <c r="U68" s="2719"/>
      <c r="V68" s="2719"/>
      <c r="W68" s="2719"/>
      <c r="X68" s="2719"/>
      <c r="Y68" s="2719"/>
      <c r="Z68" s="2719"/>
      <c r="AA68" s="2719"/>
      <c r="AB68" s="2719"/>
      <c r="AC68" s="2719"/>
    </row>
    <row r="69" spans="1:29" ht="15.75" thickTop="1">
      <c r="A69" s="480"/>
      <c r="B69" s="484" t="s">
        <v>1733</v>
      </c>
      <c r="C69" s="524" t="s">
        <v>1721</v>
      </c>
      <c r="D69" s="524" t="s">
        <v>1722</v>
      </c>
      <c r="E69" s="524" t="s">
        <v>1723</v>
      </c>
      <c r="F69" s="524" t="s">
        <v>1724</v>
      </c>
      <c r="G69" s="524" t="s">
        <v>1725</v>
      </c>
      <c r="H69" s="485"/>
      <c r="I69" s="485"/>
      <c r="J69" s="485"/>
      <c r="K69" s="486"/>
      <c r="L69" s="487"/>
      <c r="M69" s="488"/>
      <c r="N69" s="2747"/>
      <c r="O69" s="2747"/>
      <c r="P69" s="2756"/>
      <c r="Q69" s="2733"/>
      <c r="R69" s="2719"/>
      <c r="S69" s="2719"/>
      <c r="T69" s="2719"/>
      <c r="U69" s="2719"/>
      <c r="V69" s="2719"/>
      <c r="W69" s="2719"/>
      <c r="X69" s="2719"/>
      <c r="Y69" s="2719"/>
      <c r="Z69" s="2719"/>
      <c r="AA69" s="2719"/>
      <c r="AB69" s="2719"/>
      <c r="AC69" s="2719"/>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8"/>
      <c r="O70" s="2748"/>
      <c r="P70" s="2756"/>
      <c r="Q70" s="2733"/>
      <c r="R70" s="2719"/>
      <c r="S70" s="2719"/>
      <c r="T70" s="2719"/>
      <c r="U70" s="2719"/>
      <c r="V70" s="2719"/>
      <c r="W70" s="2719"/>
      <c r="X70" s="2719"/>
      <c r="Y70" s="2719"/>
      <c r="Z70" s="2719"/>
      <c r="AA70" s="2719"/>
      <c r="AB70" s="2719"/>
      <c r="AC70" s="2719"/>
    </row>
    <row r="71" spans="1:29" ht="15.75" thickTop="1">
      <c r="A71" s="480"/>
      <c r="B71" s="484" t="s">
        <v>1852</v>
      </c>
      <c r="C71" s="500"/>
      <c r="D71" s="500"/>
      <c r="E71" s="500"/>
      <c r="F71" s="500"/>
      <c r="G71" s="500"/>
      <c r="H71" s="529"/>
      <c r="I71" s="529"/>
      <c r="J71" s="529"/>
      <c r="K71" s="530"/>
      <c r="L71" s="531"/>
      <c r="M71" s="532"/>
      <c r="N71" s="2747"/>
      <c r="O71" s="2747"/>
      <c r="P71" s="2756"/>
      <c r="Q71" s="2733"/>
      <c r="R71" s="2719"/>
      <c r="S71" s="2719"/>
      <c r="T71" s="2719"/>
      <c r="U71" s="2719"/>
      <c r="V71" s="2719"/>
      <c r="W71" s="2719"/>
      <c r="X71" s="2719"/>
      <c r="Y71" s="2719"/>
      <c r="Z71" s="2719"/>
      <c r="AA71" s="2719"/>
      <c r="AB71" s="2719"/>
      <c r="AC71" s="2719"/>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8"/>
      <c r="O72" s="2748"/>
      <c r="P72" s="2756"/>
      <c r="Q72" s="2733"/>
      <c r="R72" s="2719"/>
      <c r="S72" s="2719"/>
      <c r="T72" s="2719"/>
      <c r="U72" s="2719"/>
      <c r="V72" s="2719"/>
      <c r="W72" s="2719"/>
      <c r="X72" s="2719"/>
      <c r="Y72" s="2719"/>
      <c r="Z72" s="2719"/>
      <c r="AA72" s="2719"/>
      <c r="AB72" s="2719"/>
      <c r="AC72" s="2719"/>
    </row>
    <row r="73" spans="1:29" s="105" customFormat="1" ht="15.75" thickTop="1">
      <c r="A73" s="525"/>
      <c r="B73" s="484">
        <f>B23</f>
        <v>111</v>
      </c>
      <c r="C73" s="495"/>
      <c r="D73" s="495"/>
      <c r="E73" s="495"/>
      <c r="F73" s="495"/>
      <c r="G73" s="500"/>
      <c r="H73" s="500"/>
      <c r="I73" s="500"/>
      <c r="J73" s="500"/>
      <c r="K73" s="500"/>
      <c r="L73" s="526"/>
      <c r="M73" s="527"/>
      <c r="N73" s="2746"/>
      <c r="O73" s="2746"/>
      <c r="P73" s="2756"/>
      <c r="Q73" s="2733"/>
      <c r="R73" s="2655"/>
      <c r="S73" s="2655"/>
      <c r="T73" s="2655"/>
      <c r="U73" s="2655"/>
      <c r="V73" s="2655"/>
      <c r="W73" s="2655"/>
      <c r="X73" s="2655"/>
      <c r="Y73" s="2655"/>
      <c r="Z73" s="2655"/>
      <c r="AA73" s="2655"/>
      <c r="AB73" s="2655"/>
      <c r="AC73" s="2655"/>
    </row>
    <row r="74" spans="1:29" s="105" customFormat="1" ht="15.75" thickBot="1">
      <c r="A74" s="525"/>
      <c r="B74" s="489"/>
      <c r="C74" s="506"/>
      <c r="D74" s="482"/>
      <c r="E74" s="482"/>
      <c r="F74" s="482"/>
      <c r="G74" s="482"/>
      <c r="H74" s="482"/>
      <c r="I74" s="482"/>
      <c r="J74" s="482"/>
      <c r="K74" s="482"/>
      <c r="L74" s="482"/>
      <c r="M74" s="483"/>
      <c r="N74" s="2748"/>
      <c r="O74" s="2748"/>
      <c r="P74" s="2756"/>
      <c r="Q74" s="2733"/>
      <c r="R74" s="2655"/>
      <c r="S74" s="2655"/>
      <c r="T74" s="2655"/>
      <c r="U74" s="2655"/>
      <c r="V74" s="2655"/>
      <c r="W74" s="2655"/>
      <c r="X74" s="2655"/>
      <c r="Y74" s="2655"/>
      <c r="Z74" s="2655"/>
      <c r="AA74" s="2655"/>
      <c r="AB74" s="2655"/>
      <c r="AC74" s="2655"/>
    </row>
    <row r="75" spans="1:29" s="105" customFormat="1" ht="15.75" thickTop="1">
      <c r="A75" s="525"/>
      <c r="B75" s="484">
        <f>B24</f>
        <v>111</v>
      </c>
      <c r="C75" s="495"/>
      <c r="D75" s="495"/>
      <c r="E75" s="495"/>
      <c r="F75" s="495"/>
      <c r="G75" s="500"/>
      <c r="H75" s="500"/>
      <c r="I75" s="500"/>
      <c r="J75" s="500"/>
      <c r="K75" s="500"/>
      <c r="L75" s="500"/>
      <c r="M75" s="527"/>
      <c r="N75" s="2746"/>
      <c r="O75" s="2746"/>
      <c r="P75" s="2756"/>
      <c r="Q75" s="2733"/>
      <c r="R75" s="2655"/>
      <c r="S75" s="2655"/>
      <c r="T75" s="2655"/>
      <c r="U75" s="2655"/>
      <c r="V75" s="2655"/>
      <c r="W75" s="2655"/>
      <c r="X75" s="2655"/>
      <c r="Y75" s="2655"/>
      <c r="Z75" s="2655"/>
      <c r="AA75" s="2655"/>
      <c r="AB75" s="2655"/>
      <c r="AC75" s="2655"/>
    </row>
    <row r="76" spans="1:29" s="105" customFormat="1" ht="15.75" thickBot="1">
      <c r="A76" s="525"/>
      <c r="B76" s="489"/>
      <c r="C76" s="506"/>
      <c r="D76" s="482"/>
      <c r="E76" s="482"/>
      <c r="F76" s="482"/>
      <c r="G76" s="482"/>
      <c r="H76" s="482"/>
      <c r="I76" s="482"/>
      <c r="J76" s="482"/>
      <c r="K76" s="482"/>
      <c r="L76" s="482"/>
      <c r="M76" s="483"/>
      <c r="N76" s="2748"/>
      <c r="O76" s="2748"/>
      <c r="P76" s="2756"/>
      <c r="Q76" s="2733"/>
      <c r="R76" s="2655"/>
      <c r="S76" s="2655"/>
      <c r="T76" s="2655"/>
      <c r="U76" s="2655"/>
      <c r="V76" s="2655"/>
      <c r="W76" s="2655"/>
      <c r="X76" s="2655"/>
      <c r="Y76" s="2655"/>
      <c r="Z76" s="2655"/>
      <c r="AA76" s="2655"/>
      <c r="AB76" s="2655"/>
      <c r="AC76" s="2655"/>
    </row>
    <row r="77" spans="1:29" s="419" customFormat="1" ht="15.75" thickTop="1">
      <c r="A77" s="499"/>
      <c r="B77" s="484">
        <f>B25</f>
        <v>111</v>
      </c>
      <c r="C77" s="500"/>
      <c r="D77" s="500"/>
      <c r="E77" s="500"/>
      <c r="F77" s="500"/>
      <c r="G77" s="500"/>
      <c r="H77" s="501"/>
      <c r="I77" s="501"/>
      <c r="J77" s="501"/>
      <c r="K77" s="501"/>
      <c r="L77" s="502"/>
      <c r="M77" s="503"/>
      <c r="N77" s="2749"/>
      <c r="O77" s="2749"/>
      <c r="P77" s="2757"/>
      <c r="Q77" s="2740"/>
      <c r="R77" s="2741"/>
      <c r="S77" s="2741"/>
      <c r="T77" s="2741"/>
      <c r="U77" s="2741"/>
      <c r="V77" s="2741"/>
      <c r="W77" s="2741"/>
      <c r="X77" s="2741"/>
      <c r="Y77" s="2741"/>
      <c r="Z77" s="2741"/>
      <c r="AA77" s="2741"/>
      <c r="AB77" s="2741"/>
      <c r="AC77" s="2741"/>
    </row>
    <row r="78" spans="1:29" s="419" customFormat="1" ht="15.75" thickBot="1">
      <c r="A78" s="499"/>
      <c r="B78" s="489"/>
      <c r="C78" s="506"/>
      <c r="D78" s="506"/>
      <c r="E78" s="506"/>
      <c r="F78" s="506"/>
      <c r="G78" s="482"/>
      <c r="H78" s="482"/>
      <c r="I78" s="482"/>
      <c r="J78" s="482"/>
      <c r="K78" s="482"/>
      <c r="L78" s="482"/>
      <c r="M78" s="483"/>
      <c r="N78" s="2749"/>
      <c r="O78" s="2749"/>
      <c r="P78" s="2757"/>
      <c r="Q78" s="2740"/>
      <c r="R78" s="2741"/>
      <c r="S78" s="2741"/>
      <c r="T78" s="2741"/>
      <c r="U78" s="2741"/>
      <c r="V78" s="2741"/>
      <c r="W78" s="2741"/>
      <c r="X78" s="2741"/>
      <c r="Y78" s="2741"/>
      <c r="Z78" s="2741"/>
      <c r="AA78" s="2741"/>
      <c r="AB78" s="2741"/>
      <c r="AC78" s="2741"/>
    </row>
    <row r="79" spans="1:29" ht="27.75" thickTop="1">
      <c r="A79" s="473" t="s">
        <v>1694</v>
      </c>
      <c r="B79" s="474" t="s">
        <v>1853</v>
      </c>
      <c r="C79" s="475" t="str">
        <f>C26</f>
        <v>车库</v>
      </c>
      <c r="D79" s="476"/>
      <c r="E79" s="476"/>
      <c r="F79" s="476"/>
      <c r="G79" s="476"/>
      <c r="H79" s="476"/>
      <c r="I79" s="476"/>
      <c r="J79" s="476"/>
      <c r="K79" s="477"/>
      <c r="L79" s="478"/>
      <c r="M79" s="479"/>
      <c r="N79" s="2747"/>
      <c r="O79" s="2747"/>
      <c r="P79" s="2756"/>
      <c r="Q79" s="2733"/>
      <c r="R79" s="2719"/>
      <c r="S79" s="2719"/>
      <c r="T79" s="2719"/>
      <c r="U79" s="2719"/>
      <c r="V79" s="2719"/>
      <c r="W79" s="2719"/>
      <c r="X79" s="2719"/>
      <c r="Y79" s="2719"/>
      <c r="Z79" s="2719"/>
      <c r="AA79" s="2719"/>
      <c r="AB79" s="2719"/>
      <c r="AC79" s="2719"/>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0"/>
      <c r="B81" s="484" t="s">
        <v>1854</v>
      </c>
      <c r="C81" s="606"/>
      <c r="D81" s="606"/>
      <c r="E81" s="606"/>
      <c r="F81" s="606"/>
      <c r="G81" s="606"/>
      <c r="H81" s="606"/>
      <c r="I81" s="606"/>
      <c r="J81" s="606"/>
      <c r="K81" s="607"/>
      <c r="L81" s="608"/>
      <c r="M81" s="609"/>
      <c r="N81" s="2746"/>
      <c r="O81" s="2746"/>
      <c r="P81" s="2756"/>
      <c r="Q81" s="2733"/>
      <c r="R81" s="2719"/>
      <c r="S81" s="2719"/>
      <c r="T81" s="2719"/>
      <c r="U81" s="2719"/>
      <c r="V81" s="2719"/>
      <c r="W81" s="2719"/>
      <c r="X81" s="2719"/>
      <c r="Y81" s="2719"/>
      <c r="Z81" s="2719"/>
      <c r="AA81" s="2719"/>
      <c r="AB81" s="2719"/>
      <c r="AC81" s="2719"/>
    </row>
    <row r="82" spans="1:29" s="419" customFormat="1" ht="15.75" thickBot="1">
      <c r="A82" s="499"/>
      <c r="B82" s="489"/>
      <c r="C82" s="506"/>
      <c r="D82" s="482"/>
      <c r="E82" s="482"/>
      <c r="F82" s="482"/>
      <c r="G82" s="482"/>
      <c r="H82" s="482"/>
      <c r="I82" s="482"/>
      <c r="J82" s="482"/>
      <c r="K82" s="482"/>
      <c r="L82" s="482"/>
      <c r="M82" s="483"/>
      <c r="N82" s="2748"/>
      <c r="O82" s="2748"/>
      <c r="P82" s="2757"/>
      <c r="Q82" s="2740"/>
      <c r="R82" s="2741"/>
      <c r="S82" s="2741"/>
      <c r="T82" s="2741"/>
      <c r="U82" s="2741"/>
      <c r="V82" s="2741"/>
      <c r="W82" s="2741"/>
      <c r="X82" s="2741"/>
      <c r="Y82" s="2741"/>
      <c r="Z82" s="2741"/>
      <c r="AA82" s="2741"/>
      <c r="AB82" s="2741"/>
      <c r="AC82" s="2741"/>
    </row>
    <row r="83" spans="1:29" ht="15" thickTop="1">
      <c r="A83" s="545"/>
      <c r="B83" s="484" t="s">
        <v>1740</v>
      </c>
      <c r="C83" s="500"/>
      <c r="D83" s="500"/>
      <c r="E83" s="529"/>
      <c r="F83" s="529"/>
      <c r="G83" s="529"/>
      <c r="H83" s="529"/>
      <c r="I83" s="529"/>
      <c r="J83" s="529"/>
      <c r="K83" s="530"/>
      <c r="L83" s="531"/>
      <c r="M83" s="532"/>
      <c r="N83" s="2747"/>
      <c r="O83" s="2747"/>
      <c r="P83" s="2756"/>
      <c r="Q83" s="2733"/>
      <c r="R83" s="2719"/>
      <c r="S83" s="2719"/>
      <c r="T83" s="2719"/>
      <c r="U83" s="2719"/>
      <c r="V83" s="2719"/>
      <c r="W83" s="2719"/>
      <c r="X83" s="2719"/>
      <c r="Y83" s="2719"/>
      <c r="Z83" s="2719"/>
      <c r="AA83" s="2719"/>
      <c r="AB83" s="2719"/>
      <c r="AC83" s="2719"/>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7"/>
      <c r="O85" s="2747"/>
      <c r="P85" s="2756"/>
      <c r="Q85" s="2733"/>
      <c r="R85" s="2719"/>
      <c r="S85" s="2719"/>
      <c r="T85" s="2719"/>
      <c r="U85" s="2719"/>
      <c r="V85" s="2719"/>
      <c r="W85" s="2719"/>
      <c r="X85" s="2719"/>
      <c r="Y85" s="2719"/>
      <c r="Z85" s="2719"/>
      <c r="AA85" s="2719"/>
      <c r="AB85" s="2719"/>
      <c r="AC85" s="2719"/>
    </row>
    <row r="86" spans="1:29">
      <c r="A86" s="545"/>
      <c r="B86" s="492"/>
      <c r="C86" s="549">
        <v>0.5</v>
      </c>
      <c r="D86" s="549">
        <v>0.6</v>
      </c>
      <c r="E86" s="549">
        <v>0.7</v>
      </c>
      <c r="F86" s="549">
        <v>0.8</v>
      </c>
      <c r="G86" s="549">
        <v>0.9</v>
      </c>
      <c r="H86" s="549">
        <v>1.0001</v>
      </c>
      <c r="I86" s="568"/>
      <c r="J86" s="568"/>
      <c r="K86" s="569"/>
      <c r="L86" s="570"/>
      <c r="M86" s="571"/>
      <c r="N86" s="2747"/>
      <c r="O86" s="2747"/>
      <c r="P86" s="2756"/>
      <c r="Q86" s="2733"/>
      <c r="R86" s="2719"/>
      <c r="S86" s="2719"/>
      <c r="T86" s="2719"/>
      <c r="U86" s="2719"/>
      <c r="V86" s="2719"/>
      <c r="W86" s="2719"/>
      <c r="X86" s="2719"/>
      <c r="Y86" s="2719"/>
      <c r="Z86" s="2719"/>
      <c r="AA86" s="2719"/>
      <c r="AB86" s="2719"/>
      <c r="AC86" s="271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5"/>
      <c r="B88" s="492" t="s">
        <v>1856</v>
      </c>
      <c r="C88" s="476"/>
      <c r="D88" s="476"/>
      <c r="E88" s="476"/>
      <c r="F88" s="476"/>
      <c r="G88" s="476"/>
      <c r="H88" s="476"/>
      <c r="I88" s="476"/>
      <c r="J88" s="476"/>
      <c r="K88" s="477"/>
      <c r="L88" s="478"/>
      <c r="M88" s="479"/>
      <c r="N88" s="2747"/>
      <c r="O88" s="2747"/>
      <c r="P88" s="2756"/>
      <c r="Q88" s="2733"/>
      <c r="R88" s="2719"/>
      <c r="S88" s="2719"/>
      <c r="T88" s="2719"/>
      <c r="U88" s="2719"/>
      <c r="V88" s="2719"/>
      <c r="W88" s="2719"/>
      <c r="X88" s="2719"/>
      <c r="Y88" s="2719"/>
      <c r="Z88" s="2719"/>
      <c r="AA88" s="2719"/>
      <c r="AB88" s="2719"/>
      <c r="AC88" s="2719"/>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8"/>
      <c r="O89" s="2748"/>
      <c r="P89" s="2756"/>
      <c r="Q89" s="2733"/>
      <c r="R89" s="2719"/>
      <c r="S89" s="2719"/>
      <c r="T89" s="2719"/>
      <c r="U89" s="2719"/>
      <c r="V89" s="2719"/>
      <c r="W89" s="2719"/>
      <c r="X89" s="2719"/>
      <c r="Y89" s="2719"/>
      <c r="Z89" s="2719"/>
      <c r="AA89" s="2719"/>
      <c r="AB89" s="2719"/>
      <c r="AC89" s="2719"/>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9"/>
      <c r="O90" s="2749"/>
      <c r="P90" s="2757"/>
      <c r="Q90" s="2740"/>
      <c r="R90" s="2741"/>
      <c r="S90" s="2741"/>
      <c r="T90" s="2741"/>
      <c r="U90" s="2741"/>
      <c r="V90" s="2741"/>
      <c r="W90" s="2741"/>
      <c r="X90" s="2741"/>
      <c r="Y90" s="2741"/>
      <c r="Z90" s="2741"/>
      <c r="AA90" s="2741"/>
      <c r="AB90" s="2741"/>
      <c r="AC90" s="2741"/>
    </row>
    <row r="91" spans="1:29" s="419" customFormat="1">
      <c r="A91" s="539"/>
      <c r="B91" s="492"/>
      <c r="C91" s="541"/>
      <c r="D91" s="541"/>
      <c r="E91" s="541"/>
      <c r="F91" s="541"/>
      <c r="G91" s="541"/>
      <c r="H91" s="541"/>
      <c r="I91" s="541"/>
      <c r="J91" s="542"/>
      <c r="K91" s="542"/>
      <c r="L91" s="543"/>
      <c r="M91" s="544"/>
      <c r="N91" s="2749"/>
      <c r="O91" s="2749"/>
      <c r="P91" s="2757"/>
      <c r="Q91" s="2740"/>
      <c r="R91" s="2741"/>
      <c r="S91" s="2741"/>
      <c r="T91" s="2741"/>
      <c r="U91" s="2741"/>
      <c r="V91" s="2741"/>
      <c r="W91" s="2741"/>
      <c r="X91" s="2741"/>
      <c r="Y91" s="2741"/>
      <c r="Z91" s="2741"/>
      <c r="AA91" s="2741"/>
      <c r="AB91" s="2741"/>
      <c r="AC91" s="2741"/>
    </row>
    <row r="92" spans="1:29" s="419" customFormat="1" ht="15.75" thickBot="1">
      <c r="A92" s="499"/>
      <c r="B92" s="489"/>
      <c r="C92" s="506"/>
      <c r="D92" s="482"/>
      <c r="E92" s="482"/>
      <c r="F92" s="482"/>
      <c r="G92" s="482"/>
      <c r="H92" s="482"/>
      <c r="I92" s="482"/>
      <c r="J92" s="482"/>
      <c r="K92" s="482"/>
      <c r="L92" s="482"/>
      <c r="M92" s="483"/>
      <c r="N92" s="2749"/>
      <c r="O92" s="2749"/>
      <c r="P92" s="2757"/>
      <c r="Q92" s="2740"/>
      <c r="R92" s="2741"/>
      <c r="S92" s="2741"/>
      <c r="T92" s="2741"/>
      <c r="U92" s="2741"/>
      <c r="V92" s="2741"/>
      <c r="W92" s="2741"/>
      <c r="X92" s="2741"/>
      <c r="Y92" s="2741"/>
      <c r="Z92" s="2741"/>
      <c r="AA92" s="2741"/>
      <c r="AB92" s="2741"/>
      <c r="AC92" s="2741"/>
    </row>
    <row r="93" spans="1:29" ht="15" thickTop="1">
      <c r="A93" s="545"/>
      <c r="B93" s="484" t="s">
        <v>1858</v>
      </c>
      <c r="C93" s="500"/>
      <c r="D93" s="500"/>
      <c r="E93" s="529"/>
      <c r="F93" s="529"/>
      <c r="G93" s="529"/>
      <c r="H93" s="529"/>
      <c r="I93" s="529"/>
      <c r="J93" s="529"/>
      <c r="K93" s="530"/>
      <c r="L93" s="531"/>
      <c r="M93" s="532"/>
      <c r="N93" s="2747"/>
      <c r="O93" s="2747"/>
      <c r="P93" s="2756"/>
      <c r="Q93" s="2733"/>
      <c r="R93" s="2719"/>
      <c r="S93" s="2719"/>
      <c r="T93" s="2719"/>
      <c r="U93" s="2719"/>
      <c r="V93" s="2719"/>
      <c r="W93" s="2719"/>
      <c r="X93" s="2719"/>
      <c r="Y93" s="2719"/>
      <c r="Z93" s="2719"/>
      <c r="AA93" s="2719"/>
      <c r="AB93" s="2719"/>
      <c r="AC93" s="2719"/>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5"/>
      <c r="B95" s="484" t="s">
        <v>1859</v>
      </c>
      <c r="C95" s="476"/>
      <c r="D95" s="476"/>
      <c r="E95" s="476"/>
      <c r="F95" s="476"/>
      <c r="G95" s="476"/>
      <c r="H95" s="476"/>
      <c r="I95" s="476"/>
      <c r="J95" s="476"/>
      <c r="K95" s="477"/>
      <c r="L95" s="478"/>
      <c r="M95" s="479"/>
      <c r="N95" s="2747"/>
      <c r="O95" s="2747"/>
      <c r="P95" s="2756"/>
      <c r="Q95" s="2733"/>
      <c r="R95" s="2719"/>
      <c r="S95" s="2719"/>
      <c r="T95" s="2719"/>
      <c r="U95" s="2719"/>
      <c r="V95" s="2719"/>
      <c r="W95" s="2719"/>
      <c r="X95" s="2719"/>
      <c r="Y95" s="2719"/>
      <c r="Z95" s="2719"/>
      <c r="AA95" s="2719"/>
      <c r="AB95" s="2719"/>
      <c r="AC95" s="2719"/>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8"/>
      <c r="O96" s="2748"/>
      <c r="P96" s="2756"/>
      <c r="Q96" s="2733"/>
      <c r="R96" s="2719"/>
      <c r="S96" s="2719"/>
      <c r="T96" s="2719"/>
      <c r="U96" s="2719"/>
      <c r="V96" s="2719"/>
      <c r="W96" s="2719"/>
      <c r="X96" s="2719"/>
      <c r="Y96" s="2719"/>
      <c r="Z96" s="2719"/>
      <c r="AA96" s="2719"/>
      <c r="AB96" s="2719"/>
      <c r="AC96" s="2719"/>
    </row>
    <row r="97" spans="1:29" ht="15" thickTop="1">
      <c r="A97" s="545"/>
      <c r="B97" s="581">
        <f>B34</f>
        <v>111</v>
      </c>
      <c r="C97" s="495"/>
      <c r="D97" s="495"/>
      <c r="E97" s="495"/>
      <c r="F97" s="495"/>
      <c r="G97" s="500"/>
      <c r="H97" s="501"/>
      <c r="I97" s="501"/>
      <c r="J97" s="501"/>
      <c r="K97" s="501"/>
      <c r="L97" s="502"/>
      <c r="M97" s="503"/>
      <c r="N97" s="2748"/>
      <c r="O97" s="2748"/>
      <c r="P97" s="2761"/>
      <c r="Q97" s="2762"/>
      <c r="R97" s="2719"/>
      <c r="S97" s="2719"/>
      <c r="T97" s="2719"/>
      <c r="U97" s="2719"/>
      <c r="V97" s="2719"/>
      <c r="W97" s="2719"/>
      <c r="X97" s="2719"/>
      <c r="Y97" s="2719"/>
      <c r="Z97" s="2719"/>
      <c r="AA97" s="2719"/>
      <c r="AB97" s="2719"/>
      <c r="AC97" s="2719"/>
    </row>
    <row r="98" spans="1:29" ht="15.75" thickBot="1">
      <c r="A98" s="480"/>
      <c r="B98" s="489"/>
      <c r="C98" s="506"/>
      <c r="D98" s="482"/>
      <c r="E98" s="482"/>
      <c r="F98" s="482"/>
      <c r="G98" s="506"/>
      <c r="H98" s="508"/>
      <c r="I98" s="508"/>
      <c r="J98" s="508"/>
      <c r="K98" s="508"/>
      <c r="L98" s="508"/>
      <c r="M98" s="509"/>
      <c r="N98" s="2748"/>
      <c r="O98" s="2748"/>
      <c r="P98" s="2756"/>
      <c r="Q98" s="2733"/>
      <c r="R98" s="2719"/>
      <c r="S98" s="2719"/>
      <c r="T98" s="2719"/>
      <c r="U98" s="2719"/>
      <c r="V98" s="2719"/>
      <c r="W98" s="2719"/>
      <c r="X98" s="2719"/>
      <c r="Y98" s="2719"/>
      <c r="Z98" s="2719"/>
      <c r="AA98" s="2719"/>
      <c r="AB98" s="2719"/>
      <c r="AC98" s="2719"/>
    </row>
    <row r="99" spans="1:29" s="419" customFormat="1" ht="15" thickTop="1">
      <c r="A99" s="539"/>
      <c r="B99" s="484">
        <f>B35</f>
        <v>111</v>
      </c>
      <c r="C99" s="495"/>
      <c r="D99" s="495"/>
      <c r="E99" s="495"/>
      <c r="F99" s="495"/>
      <c r="G99" s="500"/>
      <c r="H99" s="501"/>
      <c r="I99" s="501"/>
      <c r="J99" s="501"/>
      <c r="K99" s="501"/>
      <c r="L99" s="502"/>
      <c r="M99" s="503"/>
      <c r="N99" s="2749"/>
      <c r="O99" s="2749"/>
      <c r="P99" s="2757"/>
      <c r="Q99" s="2740"/>
      <c r="R99" s="2741"/>
      <c r="S99" s="2741"/>
      <c r="T99" s="2741"/>
      <c r="U99" s="2741"/>
      <c r="V99" s="2741"/>
      <c r="W99" s="2741"/>
      <c r="X99" s="2741"/>
      <c r="Y99" s="2741"/>
      <c r="Z99" s="2741"/>
      <c r="AA99" s="2741"/>
      <c r="AB99" s="2741"/>
      <c r="AC99" s="2741"/>
    </row>
    <row r="100" spans="1:29" s="419" customFormat="1" ht="15.75" thickBot="1">
      <c r="A100" s="499"/>
      <c r="B100" s="481"/>
      <c r="C100" s="506"/>
      <c r="D100" s="482"/>
      <c r="E100" s="482"/>
      <c r="F100" s="482"/>
      <c r="G100" s="506"/>
      <c r="H100" s="508"/>
      <c r="I100" s="508"/>
      <c r="J100" s="508"/>
      <c r="K100" s="508"/>
      <c r="L100" s="508"/>
      <c r="M100" s="509"/>
      <c r="N100" s="2749"/>
      <c r="O100" s="2749"/>
      <c r="P100" s="2757"/>
      <c r="Q100" s="2740"/>
      <c r="R100" s="2741"/>
      <c r="S100" s="2741"/>
      <c r="T100" s="2741"/>
      <c r="U100" s="2741"/>
      <c r="V100" s="2741"/>
      <c r="W100" s="2741"/>
      <c r="X100" s="2741"/>
      <c r="Y100" s="2741"/>
      <c r="Z100" s="2741"/>
      <c r="AA100" s="2741"/>
      <c r="AB100" s="2741"/>
      <c r="AC100" s="2741"/>
    </row>
    <row r="101" spans="1:29" ht="15" thickTop="1">
      <c r="A101" s="545"/>
      <c r="B101" s="484">
        <f>B36</f>
        <v>111</v>
      </c>
      <c r="C101" s="500"/>
      <c r="D101" s="500"/>
      <c r="E101" s="500"/>
      <c r="F101" s="500"/>
      <c r="G101" s="500"/>
      <c r="H101" s="501"/>
      <c r="I101" s="501"/>
      <c r="J101" s="501"/>
      <c r="K101" s="501"/>
      <c r="L101" s="502"/>
      <c r="M101" s="503"/>
      <c r="N101" s="2747"/>
      <c r="O101" s="2747"/>
      <c r="P101" s="2756"/>
      <c r="Q101" s="2733"/>
      <c r="R101" s="2719"/>
      <c r="S101" s="2719"/>
      <c r="T101" s="2719"/>
      <c r="U101" s="2719"/>
      <c r="V101" s="2719"/>
      <c r="W101" s="2719"/>
      <c r="X101" s="2719"/>
      <c r="Y101" s="2719"/>
      <c r="Z101" s="2719"/>
      <c r="AA101" s="2719"/>
      <c r="AB101" s="2719"/>
      <c r="AC101" s="2719"/>
    </row>
    <row r="102" spans="1:29" ht="15.75" thickBot="1">
      <c r="A102" s="480"/>
      <c r="B102" s="489"/>
      <c r="C102" s="506"/>
      <c r="D102" s="506"/>
      <c r="E102" s="506"/>
      <c r="F102" s="506"/>
      <c r="G102" s="506"/>
      <c r="H102" s="508"/>
      <c r="I102" s="508"/>
      <c r="J102" s="508"/>
      <c r="K102" s="508"/>
      <c r="L102" s="508"/>
      <c r="M102" s="509"/>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37" priority="13" stopIfTrue="1">
      <formula>$F$42="超过30%"</formula>
    </cfRule>
  </conditionalFormatting>
  <conditionalFormatting sqref="E43">
    <cfRule type="expression" dxfId="136" priority="11" stopIfTrue="1">
      <formula>$F$43="超过20%"</formula>
    </cfRule>
  </conditionalFormatting>
  <conditionalFormatting sqref="E44">
    <cfRule type="expression" dxfId="135" priority="10" stopIfTrue="1">
      <formula>$F$44="超过30%"</formula>
    </cfRule>
  </conditionalFormatting>
  <conditionalFormatting sqref="F7:F36 H7:H36 J7:J36">
    <cfRule type="cellIs" dxfId="134" priority="1" operator="notEqual">
      <formula>100</formula>
    </cfRule>
  </conditionalFormatting>
  <conditionalFormatting sqref="F38">
    <cfRule type="expression" dxfId="133" priority="4">
      <formula>$D$38="简单平均"</formula>
    </cfRule>
  </conditionalFormatting>
  <conditionalFormatting sqref="F42:F44 H42:H44 J42:J44">
    <cfRule type="containsText" dxfId="132" priority="14" stopIfTrue="1" operator="containsText" text="超过">
      <formula>NOT(ISERROR(SEARCH("超过",F42)))</formula>
    </cfRule>
  </conditionalFormatting>
  <conditionalFormatting sqref="G42">
    <cfRule type="expression" dxfId="131" priority="9" stopIfTrue="1">
      <formula>$H$52+$H$42="超过30%"</formula>
    </cfRule>
  </conditionalFormatting>
  <conditionalFormatting sqref="G43">
    <cfRule type="expression" dxfId="130" priority="8" stopIfTrue="1">
      <formula>$H$43="超过20%"</formula>
    </cfRule>
  </conditionalFormatting>
  <conditionalFormatting sqref="G44">
    <cfRule type="expression" dxfId="129" priority="12" stopIfTrue="1">
      <formula>$H$54+$H$44="超过30%"</formula>
    </cfRule>
  </conditionalFormatting>
  <conditionalFormatting sqref="H38">
    <cfRule type="expression" dxfId="128" priority="3">
      <formula>$D$38="简单平均"</formula>
    </cfRule>
  </conditionalFormatting>
  <conditionalFormatting sqref="I42">
    <cfRule type="expression" dxfId="127" priority="7" stopIfTrue="1">
      <formula>$J$52+$J$42="超过30%"</formula>
    </cfRule>
  </conditionalFormatting>
  <conditionalFormatting sqref="I43">
    <cfRule type="expression" dxfId="126" priority="6" stopIfTrue="1">
      <formula>$J$53+$J$43="超过20%"</formula>
    </cfRule>
  </conditionalFormatting>
  <conditionalFormatting sqref="I44">
    <cfRule type="expression" dxfId="125" priority="5" stopIfTrue="1">
      <formula>$J$44="超过30%"</formula>
    </cfRule>
  </conditionalFormatting>
  <conditionalFormatting sqref="J38">
    <cfRule type="expression" dxfId="124" priority="2">
      <formula>$D$38="简单平均"</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B37" xr:uid="{00000000-0002-0000-1A00-00000C000000}">
      <formula1>"元/平方米,元/车位"</formula1>
    </dataValidation>
    <dataValidation type="list" allowBlank="1" showInputMessage="1" showErrorMessage="1" sqref="C21 E21 G21 I21" xr:uid="{00000000-0002-0000-1A00-00000D000000}">
      <formula1>环境</formula1>
    </dataValidation>
    <dataValidation type="list" allowBlank="1" showInputMessage="1" showErrorMessage="1" sqref="C19 E19 G19 I19"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38"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1831</v>
      </c>
      <c r="B1" s="1217" t="s">
        <v>3327</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6"/>
      <c r="Q2" s="696"/>
      <c r="R2" s="696"/>
      <c r="S2" s="696"/>
      <c r="T2" s="696"/>
      <c r="U2" s="696"/>
      <c r="V2" s="696"/>
      <c r="W2" s="696"/>
      <c r="X2" s="696"/>
      <c r="Y2" s="696"/>
      <c r="Z2" s="696"/>
      <c r="AA2" s="696"/>
      <c r="AB2" s="696"/>
      <c r="AC2" s="697"/>
    </row>
    <row r="3" spans="1:29" s="349" customFormat="1" ht="28.5" customHeight="1" thickBot="1">
      <c r="A3" s="200" t="s">
        <v>1464</v>
      </c>
      <c r="B3" s="555" t="e">
        <f>IF(C2="——",C37,ROUND(B2*10000/D3,0))</f>
        <v>#DIV/0!</v>
      </c>
      <c r="C3" s="351" t="s">
        <v>1768</v>
      </c>
      <c r="D3" s="350">
        <f>SUMIF('数据-汇总表'!$C19:$C33,D1,'数据-汇总表'!$E19:$E33)</f>
        <v>0</v>
      </c>
      <c r="E3" s="902"/>
      <c r="F3" s="903"/>
      <c r="G3" s="902"/>
      <c r="H3" s="902"/>
      <c r="I3" s="902"/>
      <c r="J3" s="902"/>
      <c r="K3" s="904"/>
      <c r="L3" s="2728"/>
      <c r="M3" s="2729"/>
      <c r="N3" s="2729"/>
      <c r="O3" s="2729"/>
      <c r="P3" s="696"/>
      <c r="Q3" s="696"/>
      <c r="R3" s="696"/>
      <c r="S3" s="696"/>
      <c r="T3" s="696"/>
      <c r="U3" s="696"/>
      <c r="V3" s="696"/>
      <c r="W3" s="696"/>
      <c r="X3" s="696"/>
      <c r="Y3" s="696"/>
      <c r="Z3" s="696"/>
      <c r="AA3" s="696"/>
      <c r="AB3" s="713"/>
      <c r="AC3" s="710"/>
    </row>
    <row r="4" spans="1:29" ht="15">
      <c r="A4" s="352" t="s">
        <v>1769</v>
      </c>
      <c r="B4" s="353"/>
      <c r="C4" s="3728" t="s">
        <v>1770</v>
      </c>
      <c r="D4" s="3729"/>
      <c r="E4" s="3730" t="s">
        <v>1771</v>
      </c>
      <c r="F4" s="3731"/>
      <c r="G4" s="3728" t="s">
        <v>1772</v>
      </c>
      <c r="H4" s="3729"/>
      <c r="I4" s="3728" t="s">
        <v>1773</v>
      </c>
      <c r="J4" s="3729"/>
      <c r="K4" s="556" t="s">
        <v>1774</v>
      </c>
      <c r="L4" s="2709"/>
      <c r="M4" s="2710"/>
      <c r="N4" s="2710"/>
      <c r="O4" s="2710"/>
      <c r="P4" s="3732" t="s">
        <v>1775</v>
      </c>
      <c r="Q4" s="3733"/>
      <c r="R4" s="3715" t="s">
        <v>1771</v>
      </c>
      <c r="S4" s="3716"/>
      <c r="T4" s="3715" t="s">
        <v>1772</v>
      </c>
      <c r="U4" s="3716"/>
      <c r="V4" s="3740" t="s">
        <v>1773</v>
      </c>
      <c r="W4" s="3740"/>
      <c r="X4" s="1349"/>
      <c r="Y4" s="3715" t="s">
        <v>1775</v>
      </c>
      <c r="Z4" s="3716"/>
      <c r="AA4" s="3710" t="s">
        <v>1771</v>
      </c>
      <c r="AB4" s="3711" t="s">
        <v>1772</v>
      </c>
      <c r="AC4" s="3710" t="s">
        <v>1773</v>
      </c>
    </row>
    <row r="5" spans="1:29" ht="15">
      <c r="A5" s="355"/>
      <c r="B5" s="356"/>
      <c r="C5" s="3721" t="s">
        <v>1673</v>
      </c>
      <c r="D5" s="3722"/>
      <c r="E5" s="3719" t="s">
        <v>1674</v>
      </c>
      <c r="F5" s="3720"/>
      <c r="G5" s="3721" t="s">
        <v>1675</v>
      </c>
      <c r="H5" s="3722"/>
      <c r="I5" s="3721" t="s">
        <v>1676</v>
      </c>
      <c r="J5" s="3722"/>
      <c r="K5" s="556"/>
      <c r="L5" s="2709"/>
      <c r="M5" s="2710"/>
      <c r="N5" s="2710"/>
      <c r="O5" s="2710"/>
      <c r="P5" s="3734"/>
      <c r="Q5" s="3735"/>
      <c r="R5" s="3717"/>
      <c r="S5" s="3718"/>
      <c r="T5" s="3717"/>
      <c r="U5" s="3718"/>
      <c r="V5" s="3740"/>
      <c r="W5" s="3740"/>
      <c r="X5" s="1349"/>
      <c r="Y5" s="3717"/>
      <c r="Z5" s="3718"/>
      <c r="AA5" s="3711"/>
      <c r="AB5" s="3711"/>
      <c r="AC5" s="3711"/>
    </row>
    <row r="6" spans="1:29" ht="15.75" thickBot="1">
      <c r="A6" s="357"/>
      <c r="B6" s="358"/>
      <c r="C6" s="3723" t="s">
        <v>1677</v>
      </c>
      <c r="D6" s="3724"/>
      <c r="E6" s="3725" t="s">
        <v>1677</v>
      </c>
      <c r="F6" s="3726"/>
      <c r="G6" s="3723" t="s">
        <v>1677</v>
      </c>
      <c r="H6" s="3724"/>
      <c r="I6" s="3723" t="s">
        <v>1677</v>
      </c>
      <c r="J6" s="3724"/>
      <c r="K6" s="556" t="s">
        <v>1678</v>
      </c>
      <c r="L6" s="2709"/>
      <c r="M6" s="2710"/>
      <c r="N6" s="2710"/>
      <c r="O6" s="2710"/>
      <c r="P6" s="3736"/>
      <c r="Q6" s="3737"/>
      <c r="R6" s="3717"/>
      <c r="S6" s="3718"/>
      <c r="T6" s="3738"/>
      <c r="U6" s="3739"/>
      <c r="V6" s="3740"/>
      <c r="W6" s="3740"/>
      <c r="X6" s="1349"/>
      <c r="Y6" s="3738"/>
      <c r="Z6" s="3739"/>
      <c r="AA6" s="3712"/>
      <c r="AB6" s="3712"/>
      <c r="AC6" s="3712"/>
    </row>
    <row r="7" spans="1:29" s="105" customFormat="1" ht="15.75" thickBot="1">
      <c r="A7" s="359" t="s">
        <v>1679</v>
      </c>
      <c r="B7" s="360"/>
      <c r="C7" s="361">
        <f>'数据-取费表'!B2</f>
        <v>45539</v>
      </c>
      <c r="D7" s="362">
        <v>100</v>
      </c>
      <c r="E7" s="363"/>
      <c r="F7" s="364">
        <f>SUMIF(46:46,YEAR(E7)&amp;"-"&amp;MONTH(E7),47:47)</f>
        <v>0</v>
      </c>
      <c r="G7" s="1968"/>
      <c r="H7" s="362">
        <f>SUMIF(46:46,YEAR(G7)&amp;"-"&amp;MONTH(G7),47:47)</f>
        <v>0</v>
      </c>
      <c r="I7" s="363"/>
      <c r="J7" s="362">
        <f>SUMIF(46:46,YEAR(I7)&amp;"-"&amp;MONTH(I7),47:47)</f>
        <v>0</v>
      </c>
      <c r="K7" s="557"/>
      <c r="L7" s="2711"/>
      <c r="M7" s="2712"/>
      <c r="N7" s="2712"/>
      <c r="O7" s="2712"/>
      <c r="P7" s="3713" t="s">
        <v>1680</v>
      </c>
      <c r="Q7" s="3741"/>
      <c r="R7" s="698" t="s">
        <v>14</v>
      </c>
      <c r="S7" s="699">
        <f t="shared" ref="S7:S14" si="0">F7</f>
        <v>0</v>
      </c>
      <c r="T7" s="698" t="s">
        <v>14</v>
      </c>
      <c r="U7" s="699">
        <f t="shared" ref="U7:U14" si="1">H7</f>
        <v>0</v>
      </c>
      <c r="V7" s="698" t="s">
        <v>14</v>
      </c>
      <c r="W7" s="699">
        <f t="shared" ref="W7:W14" si="2">J7</f>
        <v>0</v>
      </c>
      <c r="X7" s="700"/>
      <c r="Y7" s="3713" t="s">
        <v>1680</v>
      </c>
      <c r="Z7" s="3714"/>
      <c r="AA7" s="701" t="e">
        <f>D7/F7</f>
        <v>#DIV/0!</v>
      </c>
      <c r="AB7" s="701" t="e">
        <f>D7/H7</f>
        <v>#DIV/0!</v>
      </c>
      <c r="AC7" s="701" t="e">
        <f>D7/J7</f>
        <v>#DIV/0!</v>
      </c>
    </row>
    <row r="8" spans="1:29" s="105"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11"/>
      <c r="M8" s="2712"/>
      <c r="N8" s="2712"/>
      <c r="O8" s="2712"/>
      <c r="P8" s="3713" t="s">
        <v>1683</v>
      </c>
      <c r="Q8" s="3714"/>
      <c r="R8" s="698" t="s">
        <v>14</v>
      </c>
      <c r="S8" s="699">
        <f t="shared" si="0"/>
        <v>100</v>
      </c>
      <c r="T8" s="698" t="s">
        <v>14</v>
      </c>
      <c r="U8" s="699">
        <f t="shared" si="1"/>
        <v>100</v>
      </c>
      <c r="V8" s="698" t="s">
        <v>14</v>
      </c>
      <c r="W8" s="699">
        <f t="shared" si="2"/>
        <v>100</v>
      </c>
      <c r="X8" s="700"/>
      <c r="Y8" s="3713" t="s">
        <v>1683</v>
      </c>
      <c r="Z8" s="3714"/>
      <c r="AA8" s="701">
        <f t="shared" ref="AA8:AA34" si="3">D8/F8</f>
        <v>1</v>
      </c>
      <c r="AB8" s="701">
        <f t="shared" ref="AB8:AB34" si="4">D8/H8</f>
        <v>1</v>
      </c>
      <c r="AC8" s="701">
        <f t="shared" ref="AC8:AC34" si="5">D8/J8</f>
        <v>1</v>
      </c>
    </row>
    <row r="9" spans="1:29" s="105" customFormat="1">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11"/>
      <c r="M9" s="2712"/>
      <c r="N9" s="2712"/>
      <c r="O9" s="2766"/>
      <c r="P9" s="3745" t="s">
        <v>1686</v>
      </c>
      <c r="Q9" s="1337" t="str">
        <f t="shared" ref="Q9:Q14" si="6">B9</f>
        <v>用途</v>
      </c>
      <c r="R9" s="698" t="s">
        <v>14</v>
      </c>
      <c r="S9" s="699">
        <f t="shared" si="0"/>
        <v>100</v>
      </c>
      <c r="T9" s="698" t="s">
        <v>14</v>
      </c>
      <c r="U9" s="699">
        <f t="shared" si="1"/>
        <v>100</v>
      </c>
      <c r="V9" s="698" t="s">
        <v>14</v>
      </c>
      <c r="W9" s="699">
        <f t="shared" si="2"/>
        <v>100</v>
      </c>
      <c r="X9" s="700"/>
      <c r="Y9" s="3659" t="s">
        <v>1687</v>
      </c>
      <c r="Z9" s="52" t="str">
        <f t="shared" ref="Z9:Z14" si="7">Q9</f>
        <v>用途</v>
      </c>
      <c r="AA9" s="701">
        <f t="shared" si="3"/>
        <v>1</v>
      </c>
      <c r="AB9" s="701">
        <f t="shared" si="4"/>
        <v>1</v>
      </c>
      <c r="AC9" s="701">
        <f t="shared" si="5"/>
        <v>1</v>
      </c>
    </row>
    <row r="10" spans="1:29" s="375" customFormat="1" ht="27">
      <c r="A10" s="371"/>
      <c r="B10" s="372" t="s">
        <v>1688</v>
      </c>
      <c r="C10" s="3428"/>
      <c r="D10" s="124">
        <v>100</v>
      </c>
      <c r="E10" s="3428"/>
      <c r="F10" s="373">
        <f>SUMIF(53:53,E10,54:54)-SUMIF(53:53,C10,54:54)+100</f>
        <v>100</v>
      </c>
      <c r="G10" s="3428"/>
      <c r="H10" s="124">
        <f>SUMIF(53:53,G10,54:54)-SUMIF(53:53,C10,54:54)+100</f>
        <v>100</v>
      </c>
      <c r="I10" s="3428"/>
      <c r="J10" s="124">
        <f>SUMIF(53:53,I10,54:54)-SUMIF(53:53,C10,54:54)+100</f>
        <v>100</v>
      </c>
      <c r="K10" s="557"/>
      <c r="L10" s="2713"/>
      <c r="M10" s="2714"/>
      <c r="N10" s="2714"/>
      <c r="O10" s="2767"/>
      <c r="P10" s="3745"/>
      <c r="Q10" s="1337" t="str">
        <f t="shared" si="6"/>
        <v>土地使用年限（年）</v>
      </c>
      <c r="R10" s="698" t="s">
        <v>14</v>
      </c>
      <c r="S10" s="699">
        <f t="shared" si="0"/>
        <v>100</v>
      </c>
      <c r="T10" s="698" t="s">
        <v>14</v>
      </c>
      <c r="U10" s="699">
        <f t="shared" si="1"/>
        <v>100</v>
      </c>
      <c r="V10" s="698" t="s">
        <v>14</v>
      </c>
      <c r="W10" s="699">
        <f t="shared" si="2"/>
        <v>100</v>
      </c>
      <c r="X10" s="700"/>
      <c r="Y10" s="3659"/>
      <c r="Z10" s="52" t="str">
        <f t="shared" si="7"/>
        <v>土地使用年限（年）</v>
      </c>
      <c r="AA10" s="701">
        <f t="shared" si="3"/>
        <v>1</v>
      </c>
      <c r="AB10" s="701">
        <f t="shared" si="4"/>
        <v>1</v>
      </c>
      <c r="AC10" s="701">
        <f t="shared" si="5"/>
        <v>1</v>
      </c>
    </row>
    <row r="11" spans="1:29" ht="15">
      <c r="A11" s="376"/>
      <c r="B11" s="1887">
        <v>111</v>
      </c>
      <c r="C11" s="380"/>
      <c r="D11" s="124">
        <v>100</v>
      </c>
      <c r="E11" s="417"/>
      <c r="F11" s="373">
        <f>SUMIF(55:55,E11,56:56)-SUMIF(55:55,C11,56:56)+100</f>
        <v>100</v>
      </c>
      <c r="G11" s="417"/>
      <c r="H11" s="124">
        <f>SUMIF(55:55,G11,56:56)-SUMIF(55:55,C11,56:56)+100</f>
        <v>100</v>
      </c>
      <c r="I11" s="417"/>
      <c r="J11" s="124">
        <f>SUMIF(55:55,I11,56:56)-SUMIF(55:55,C11,56:56)+100</f>
        <v>100</v>
      </c>
      <c r="K11" s="559"/>
      <c r="L11" s="2715"/>
      <c r="M11" s="2710"/>
      <c r="N11" s="2710"/>
      <c r="O11" s="2768"/>
      <c r="P11" s="3745"/>
      <c r="Q11" s="1337">
        <f t="shared" si="6"/>
        <v>111</v>
      </c>
      <c r="R11" s="698" t="s">
        <v>14</v>
      </c>
      <c r="S11" s="699">
        <f t="shared" si="0"/>
        <v>100</v>
      </c>
      <c r="T11" s="698" t="s">
        <v>14</v>
      </c>
      <c r="U11" s="699">
        <f t="shared" si="1"/>
        <v>100</v>
      </c>
      <c r="V11" s="698" t="s">
        <v>14</v>
      </c>
      <c r="W11" s="699">
        <f t="shared" si="2"/>
        <v>100</v>
      </c>
      <c r="X11" s="700"/>
      <c r="Y11" s="3659"/>
      <c r="Z11" s="52">
        <f t="shared" si="7"/>
        <v>111</v>
      </c>
      <c r="AA11" s="701">
        <f t="shared" si="3"/>
        <v>1</v>
      </c>
      <c r="AB11" s="701">
        <f t="shared" si="4"/>
        <v>1</v>
      </c>
      <c r="AC11" s="701">
        <f t="shared" si="5"/>
        <v>1</v>
      </c>
    </row>
    <row r="12" spans="1:29" s="105" customFormat="1" ht="15">
      <c r="A12" s="379"/>
      <c r="B12" s="1887">
        <v>111</v>
      </c>
      <c r="C12" s="380"/>
      <c r="D12" s="381">
        <v>100</v>
      </c>
      <c r="E12" s="417"/>
      <c r="F12" s="373">
        <f>SUMIF(57:57,E12,58:58)-SUMIF(57:57,C12,58:58)+100</f>
        <v>100</v>
      </c>
      <c r="G12" s="417"/>
      <c r="H12" s="124">
        <f>SUMIF(57:57,G12,58:58)-SUMIF(57:57,C12,58:58)+100</f>
        <v>100</v>
      </c>
      <c r="I12" s="417"/>
      <c r="J12" s="124">
        <f>SUMIF(57:57,I12,58:58)-SUMIF(57:57,C12,58:58)+100</f>
        <v>100</v>
      </c>
      <c r="K12" s="559"/>
      <c r="L12" s="2711"/>
      <c r="M12" s="2712"/>
      <c r="N12" s="2712"/>
      <c r="O12" s="2766"/>
      <c r="P12" s="3745"/>
      <c r="Q12" s="1337">
        <f t="shared" si="6"/>
        <v>111</v>
      </c>
      <c r="R12" s="698" t="s">
        <v>14</v>
      </c>
      <c r="S12" s="699">
        <f t="shared" si="0"/>
        <v>100</v>
      </c>
      <c r="T12" s="698" t="s">
        <v>14</v>
      </c>
      <c r="U12" s="699">
        <f t="shared" si="1"/>
        <v>100</v>
      </c>
      <c r="V12" s="698" t="s">
        <v>14</v>
      </c>
      <c r="W12" s="699">
        <f t="shared" si="2"/>
        <v>100</v>
      </c>
      <c r="X12" s="700"/>
      <c r="Y12" s="3659"/>
      <c r="Z12" s="52">
        <f t="shared" si="7"/>
        <v>111</v>
      </c>
      <c r="AA12" s="701">
        <f>D12/F12</f>
        <v>1</v>
      </c>
      <c r="AB12" s="701">
        <f>D12/H12</f>
        <v>1</v>
      </c>
      <c r="AC12" s="701">
        <f>D12/J12</f>
        <v>1</v>
      </c>
    </row>
    <row r="13" spans="1:29" ht="15.75" thickBot="1">
      <c r="A13" s="376"/>
      <c r="B13" s="1887">
        <v>111</v>
      </c>
      <c r="C13" s="382"/>
      <c r="D13" s="383">
        <v>100</v>
      </c>
      <c r="E13" s="417"/>
      <c r="F13" s="373">
        <f>SUMIF(59:59,E13,60:60)-SUMIF(59:59,C13,60:60)+100</f>
        <v>100</v>
      </c>
      <c r="G13" s="1969"/>
      <c r="H13" s="386">
        <f>SUMIF(59:59,G13,60:60)-SUMIF(59:59,C13,60:60)+100</f>
        <v>100</v>
      </c>
      <c r="I13" s="417"/>
      <c r="J13" s="383">
        <f>SUMIF(59:59,I13,60:60)-SUMIF(59:59,C13,60:60)+100</f>
        <v>100</v>
      </c>
      <c r="K13" s="559"/>
      <c r="L13" s="2716"/>
      <c r="M13" s="2710"/>
      <c r="N13" s="2710"/>
      <c r="O13" s="2768"/>
      <c r="P13" s="3745"/>
      <c r="Q13" s="1337">
        <f t="shared" si="6"/>
        <v>111</v>
      </c>
      <c r="R13" s="698" t="s">
        <v>14</v>
      </c>
      <c r="S13" s="699">
        <f t="shared" si="0"/>
        <v>100</v>
      </c>
      <c r="T13" s="698" t="s">
        <v>14</v>
      </c>
      <c r="U13" s="699">
        <f t="shared" si="1"/>
        <v>100</v>
      </c>
      <c r="V13" s="698" t="s">
        <v>14</v>
      </c>
      <c r="W13" s="699">
        <f t="shared" si="2"/>
        <v>100</v>
      </c>
      <c r="X13" s="700"/>
      <c r="Y13" s="3659"/>
      <c r="Z13" s="52">
        <f t="shared" si="7"/>
        <v>111</v>
      </c>
      <c r="AA13" s="701">
        <f t="shared" si="3"/>
        <v>1</v>
      </c>
      <c r="AB13" s="701">
        <f t="shared" si="4"/>
        <v>1</v>
      </c>
      <c r="AC13" s="701">
        <f t="shared" si="5"/>
        <v>1</v>
      </c>
    </row>
    <row r="14" spans="1:29" ht="15">
      <c r="A14" s="388" t="s">
        <v>1690</v>
      </c>
      <c r="B14" s="61" t="s">
        <v>1833</v>
      </c>
      <c r="C14" s="1965">
        <f>IF(B1="工业",估价对象房地状况!G4,估价对象房地状况!C6)</f>
        <v>0</v>
      </c>
      <c r="D14" s="389">
        <v>100</v>
      </c>
      <c r="E14" s="390"/>
      <c r="F14" s="391">
        <f>SUMIF(61:61,E15,62:62)-SUMIF(61:61,C15,62:62)+100</f>
        <v>100</v>
      </c>
      <c r="G14" s="392"/>
      <c r="H14" s="389">
        <f>SUMIF(61:61,G15,62:62)-SUMIF(61:61,C15,62:62)+100</f>
        <v>100</v>
      </c>
      <c r="I14" s="390"/>
      <c r="J14" s="389">
        <f>SUMIF(61:61,I15,62:62)-SUMIF(61:61,C15,62:62)+100</f>
        <v>100</v>
      </c>
      <c r="K14" s="560"/>
      <c r="L14" s="2716"/>
      <c r="M14" s="2710"/>
      <c r="N14" s="2710"/>
      <c r="O14" s="2768"/>
      <c r="P14" s="3747" t="s">
        <v>1691</v>
      </c>
      <c r="Q14" s="1346" t="str">
        <f t="shared" si="6"/>
        <v>交通便捷度</v>
      </c>
      <c r="R14" s="702" t="s">
        <v>14</v>
      </c>
      <c r="S14" s="703">
        <f t="shared" si="0"/>
        <v>100</v>
      </c>
      <c r="T14" s="702" t="s">
        <v>14</v>
      </c>
      <c r="U14" s="703">
        <f t="shared" si="1"/>
        <v>100</v>
      </c>
      <c r="V14" s="702" t="s">
        <v>14</v>
      </c>
      <c r="W14" s="703">
        <f t="shared" si="2"/>
        <v>100</v>
      </c>
      <c r="X14" s="1349"/>
      <c r="Y14" s="3747" t="s">
        <v>1691</v>
      </c>
      <c r="Z14" s="1350" t="str">
        <f t="shared" si="7"/>
        <v>交通便捷度</v>
      </c>
      <c r="AA14" s="1347">
        <f t="shared" si="3"/>
        <v>1</v>
      </c>
      <c r="AB14" s="1347">
        <f t="shared" si="4"/>
        <v>1</v>
      </c>
      <c r="AC14" s="1347">
        <f t="shared" si="5"/>
        <v>1</v>
      </c>
    </row>
    <row r="15" spans="1:29" ht="15">
      <c r="A15" s="376"/>
      <c r="B15" s="394"/>
      <c r="C15" s="395"/>
      <c r="D15" s="396"/>
      <c r="E15" s="395"/>
      <c r="F15" s="397"/>
      <c r="G15" s="395"/>
      <c r="H15" s="398"/>
      <c r="I15" s="395"/>
      <c r="J15" s="396"/>
      <c r="K15" s="561"/>
      <c r="L15" s="2716"/>
      <c r="M15" s="2710"/>
      <c r="N15" s="2710"/>
      <c r="O15" s="2768"/>
      <c r="P15" s="3748"/>
      <c r="Q15" s="1346"/>
      <c r="R15" s="702"/>
      <c r="S15" s="703"/>
      <c r="T15" s="702"/>
      <c r="U15" s="703"/>
      <c r="V15" s="702"/>
      <c r="W15" s="703"/>
      <c r="X15" s="1349"/>
      <c r="Y15" s="3748"/>
      <c r="Z15" s="1350"/>
      <c r="AA15" s="1347">
        <v>1</v>
      </c>
      <c r="AB15" s="1347">
        <v>1</v>
      </c>
      <c r="AC15" s="1347">
        <v>1</v>
      </c>
    </row>
    <row r="16" spans="1:29" ht="15">
      <c r="A16" s="376"/>
      <c r="B16" s="399" t="s">
        <v>1812</v>
      </c>
      <c r="C16" s="1894">
        <f>IF(B1="工业",估价对象房地状况!G5,估价对象房地状况!C7)</f>
        <v>0</v>
      </c>
      <c r="D16" s="403">
        <v>100</v>
      </c>
      <c r="E16" s="405"/>
      <c r="F16" s="406">
        <f>SUMIF(63:63,E17,64:64)-SUMIF(63:63,C17,64:64)+100</f>
        <v>100</v>
      </c>
      <c r="G16" s="407"/>
      <c r="H16" s="403">
        <f>SUMIF(63:63,G17,64:64)-SUMIF(63:63,C17,64:64)+100</f>
        <v>100</v>
      </c>
      <c r="I16" s="405"/>
      <c r="J16" s="403">
        <f>SUMIF(63:63,I17,64:64)-SUMIF(63:63,C17,64:64)+100</f>
        <v>100</v>
      </c>
      <c r="K16" s="560"/>
      <c r="L16" s="2716"/>
      <c r="M16" s="2710"/>
      <c r="N16" s="2710"/>
      <c r="O16" s="2768"/>
      <c r="P16" s="3748"/>
      <c r="Q16" s="1346" t="str">
        <f>B16</f>
        <v>公共配套设施</v>
      </c>
      <c r="R16" s="702" t="s">
        <v>14</v>
      </c>
      <c r="S16" s="703">
        <f>F16</f>
        <v>100</v>
      </c>
      <c r="T16" s="702" t="s">
        <v>14</v>
      </c>
      <c r="U16" s="703">
        <f>H16</f>
        <v>100</v>
      </c>
      <c r="V16" s="702" t="s">
        <v>14</v>
      </c>
      <c r="W16" s="703">
        <f>J16</f>
        <v>100</v>
      </c>
      <c r="X16" s="1349"/>
      <c r="Y16" s="3748"/>
      <c r="Z16" s="1350" t="str">
        <f>Q16</f>
        <v>公共配套设施</v>
      </c>
      <c r="AA16" s="1347">
        <f t="shared" si="3"/>
        <v>1</v>
      </c>
      <c r="AB16" s="1347">
        <f t="shared" si="4"/>
        <v>1</v>
      </c>
      <c r="AC16" s="1347">
        <f t="shared" si="5"/>
        <v>1</v>
      </c>
    </row>
    <row r="17" spans="1:29" ht="15">
      <c r="A17" s="376"/>
      <c r="B17" s="404"/>
      <c r="C17" s="1895"/>
      <c r="D17" s="396"/>
      <c r="E17" s="395"/>
      <c r="F17" s="397"/>
      <c r="G17" s="395"/>
      <c r="H17" s="396"/>
      <c r="I17" s="395"/>
      <c r="J17" s="396"/>
      <c r="K17" s="561"/>
      <c r="L17" s="2716"/>
      <c r="M17" s="2710"/>
      <c r="N17" s="2710"/>
      <c r="O17" s="2768"/>
      <c r="P17" s="3748"/>
      <c r="Q17" s="1346"/>
      <c r="R17" s="702"/>
      <c r="S17" s="703"/>
      <c r="T17" s="702"/>
      <c r="U17" s="703"/>
      <c r="V17" s="702"/>
      <c r="W17" s="703"/>
      <c r="X17" s="1349"/>
      <c r="Y17" s="3748"/>
      <c r="Z17" s="1350"/>
      <c r="AA17" s="1347">
        <v>1</v>
      </c>
      <c r="AB17" s="1347">
        <v>1</v>
      </c>
      <c r="AC17" s="1347">
        <v>1</v>
      </c>
    </row>
    <row r="18" spans="1:29" ht="15">
      <c r="A18" s="376"/>
      <c r="B18" s="1125" t="s">
        <v>1813</v>
      </c>
      <c r="C18" s="1894">
        <f>IF(B1="工业",估价对象房地状况!G6,估价对象房地状况!C8)</f>
        <v>0</v>
      </c>
      <c r="D18" s="403">
        <v>100</v>
      </c>
      <c r="E18" s="400"/>
      <c r="F18" s="406">
        <f>SUMIF(65:65,E19,66:66)-SUMIF(65:65,C19,66:66)+100</f>
        <v>100</v>
      </c>
      <c r="G18" s="402"/>
      <c r="H18" s="403">
        <f>SUMIF(65:65,G19,66:66)-SUMIF(65:65,C19,66:66)+100</f>
        <v>100</v>
      </c>
      <c r="I18" s="405"/>
      <c r="J18" s="403">
        <f>SUMIF(65:65,I19,66:66)-SUMIF(65:65,C19,66:66)+100</f>
        <v>100</v>
      </c>
      <c r="K18" s="560"/>
      <c r="L18" s="2716"/>
      <c r="M18" s="2710"/>
      <c r="N18" s="2710"/>
      <c r="O18" s="2768"/>
      <c r="P18" s="3748"/>
      <c r="Q18" s="1346" t="str">
        <f>B18</f>
        <v>基础设施水平</v>
      </c>
      <c r="R18" s="702" t="s">
        <v>14</v>
      </c>
      <c r="S18" s="703">
        <f>F18</f>
        <v>100</v>
      </c>
      <c r="T18" s="702" t="s">
        <v>14</v>
      </c>
      <c r="U18" s="703">
        <f>H18</f>
        <v>100</v>
      </c>
      <c r="V18" s="702" t="s">
        <v>14</v>
      </c>
      <c r="W18" s="703">
        <f>J18</f>
        <v>100</v>
      </c>
      <c r="X18" s="1349"/>
      <c r="Y18" s="3748"/>
      <c r="Z18" s="1350" t="str">
        <f>Q18</f>
        <v>基础设施水平</v>
      </c>
      <c r="AA18" s="1347">
        <f t="shared" ref="AA18" si="8">D18/F18</f>
        <v>1</v>
      </c>
      <c r="AB18" s="1347">
        <f t="shared" ref="AB18" si="9">D18/H18</f>
        <v>1</v>
      </c>
      <c r="AC18" s="1347">
        <f t="shared" ref="AC18" si="10">D18/J18</f>
        <v>1</v>
      </c>
    </row>
    <row r="19" spans="1:29" ht="15">
      <c r="A19" s="376"/>
      <c r="B19" s="1125"/>
      <c r="C19" s="1895"/>
      <c r="D19" s="398"/>
      <c r="E19" s="1895"/>
      <c r="F19" s="401"/>
      <c r="G19" s="1895"/>
      <c r="H19" s="396"/>
      <c r="I19" s="395"/>
      <c r="J19" s="396"/>
      <c r="K19" s="1124"/>
      <c r="L19" s="2716"/>
      <c r="M19" s="2710"/>
      <c r="N19" s="2710"/>
      <c r="O19" s="2768"/>
      <c r="P19" s="3748"/>
      <c r="Q19" s="1346"/>
      <c r="R19" s="702"/>
      <c r="S19" s="703"/>
      <c r="T19" s="702"/>
      <c r="U19" s="703"/>
      <c r="V19" s="702"/>
      <c r="W19" s="703"/>
      <c r="X19" s="1349"/>
      <c r="Y19" s="3748"/>
      <c r="Z19" s="1350"/>
      <c r="AA19" s="1347">
        <v>1</v>
      </c>
      <c r="AB19" s="1347">
        <v>1</v>
      </c>
      <c r="AC19" s="1347">
        <v>1</v>
      </c>
    </row>
    <row r="20" spans="1:29" ht="15">
      <c r="A20" s="376"/>
      <c r="B20" s="399" t="s">
        <v>1834</v>
      </c>
      <c r="C20" s="1894">
        <f>IF(B1="工业",估价对象房地状况!G7,估价对象房地状况!C9)</f>
        <v>0</v>
      </c>
      <c r="D20" s="403">
        <v>100</v>
      </c>
      <c r="E20" s="405"/>
      <c r="F20" s="406">
        <f>SUMIF(67:67,E21,68:68)-SUMIF(67:67,C21,68:68)+100</f>
        <v>100</v>
      </c>
      <c r="G20" s="407"/>
      <c r="H20" s="398">
        <f>SUMIF(67:67,G21,68:68)-SUMIF(67:67,C21,68:68)+100</f>
        <v>100</v>
      </c>
      <c r="I20" s="400"/>
      <c r="J20" s="398">
        <f>SUMIF(67:67,I21,68:68)-SUMIF(67:67,C21,68:68)+100</f>
        <v>100</v>
      </c>
      <c r="K20" s="560"/>
      <c r="L20" s="2716"/>
      <c r="M20" s="2710"/>
      <c r="N20" s="2710"/>
      <c r="O20" s="2768"/>
      <c r="P20" s="3748"/>
      <c r="Q20" s="1346" t="str">
        <f>B20</f>
        <v>自然及人文环境</v>
      </c>
      <c r="R20" s="702" t="s">
        <v>14</v>
      </c>
      <c r="S20" s="703">
        <f>F20</f>
        <v>100</v>
      </c>
      <c r="T20" s="702" t="s">
        <v>14</v>
      </c>
      <c r="U20" s="703">
        <f>H20</f>
        <v>100</v>
      </c>
      <c r="V20" s="702" t="s">
        <v>14</v>
      </c>
      <c r="W20" s="703">
        <f>J20</f>
        <v>100</v>
      </c>
      <c r="X20" s="1349"/>
      <c r="Y20" s="3748"/>
      <c r="Z20" s="1350" t="str">
        <f>Q20</f>
        <v>自然及人文环境</v>
      </c>
      <c r="AA20" s="1347">
        <f t="shared" si="3"/>
        <v>1</v>
      </c>
      <c r="AB20" s="1347">
        <f t="shared" si="4"/>
        <v>1</v>
      </c>
      <c r="AC20" s="1347">
        <f t="shared" si="5"/>
        <v>1</v>
      </c>
    </row>
    <row r="21" spans="1:29" ht="15">
      <c r="A21" s="376"/>
      <c r="B21" s="404"/>
      <c r="C21" s="395"/>
      <c r="D21" s="396"/>
      <c r="E21" s="395"/>
      <c r="F21" s="397"/>
      <c r="G21" s="395"/>
      <c r="H21" s="396"/>
      <c r="I21" s="395"/>
      <c r="J21" s="396"/>
      <c r="K21" s="561"/>
      <c r="L21" s="2716"/>
      <c r="M21" s="2710"/>
      <c r="N21" s="2710"/>
      <c r="O21" s="2768"/>
      <c r="P21" s="3748"/>
      <c r="Q21" s="1346"/>
      <c r="R21" s="702"/>
      <c r="S21" s="703"/>
      <c r="T21" s="702"/>
      <c r="U21" s="703"/>
      <c r="V21" s="702"/>
      <c r="W21" s="703"/>
      <c r="X21" s="1349"/>
      <c r="Y21" s="3748"/>
      <c r="Z21" s="1350"/>
      <c r="AA21" s="1347">
        <v>1</v>
      </c>
      <c r="AB21" s="1347">
        <v>1</v>
      </c>
      <c r="AC21" s="1347">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6"/>
      <c r="M22" s="2710"/>
      <c r="N22" s="2710"/>
      <c r="O22" s="2768"/>
      <c r="P22" s="3748"/>
      <c r="Q22" s="1346" t="str">
        <f>B22</f>
        <v>楼层</v>
      </c>
      <c r="R22" s="702" t="s">
        <v>14</v>
      </c>
      <c r="S22" s="703">
        <f>F22</f>
        <v>100</v>
      </c>
      <c r="T22" s="702" t="s">
        <v>14</v>
      </c>
      <c r="U22" s="703">
        <f>H22</f>
        <v>100</v>
      </c>
      <c r="V22" s="702" t="s">
        <v>14</v>
      </c>
      <c r="W22" s="703">
        <f>J22</f>
        <v>100</v>
      </c>
      <c r="X22" s="1349"/>
      <c r="Y22" s="3748"/>
      <c r="Z22" s="1350" t="str">
        <f>Q22</f>
        <v>楼层</v>
      </c>
      <c r="AA22" s="1347">
        <f t="shared" si="3"/>
        <v>1</v>
      </c>
      <c r="AB22" s="1347">
        <f t="shared" si="4"/>
        <v>1</v>
      </c>
      <c r="AC22" s="1347">
        <f t="shared" si="5"/>
        <v>1</v>
      </c>
    </row>
    <row r="23" spans="1:29" ht="15">
      <c r="A23" s="355"/>
      <c r="B23" s="1887">
        <v>111</v>
      </c>
      <c r="C23" s="380"/>
      <c r="D23" s="383">
        <v>100</v>
      </c>
      <c r="E23" s="382"/>
      <c r="F23" s="409">
        <f>SUMIF(71:71,E23,72:72)-SUMIF(71:71,C23,72:72)+100</f>
        <v>100</v>
      </c>
      <c r="G23" s="382"/>
      <c r="H23" s="383">
        <f>SUMIF(71:71,G23,72:72)-SUMIF(71:71,C23,72:72)+100</f>
        <v>100</v>
      </c>
      <c r="I23" s="382"/>
      <c r="J23" s="383">
        <f>SUMIF(71:71,I23,72:72)-SUMIF(71:71,C23,72:72)+100</f>
        <v>100</v>
      </c>
      <c r="K23" s="559"/>
      <c r="L23" s="2716"/>
      <c r="M23" s="2710"/>
      <c r="N23" s="2710"/>
      <c r="O23" s="2768"/>
      <c r="P23" s="3748"/>
      <c r="Q23" s="1346">
        <f>B23</f>
        <v>111</v>
      </c>
      <c r="R23" s="702" t="s">
        <v>14</v>
      </c>
      <c r="S23" s="703">
        <f>F23</f>
        <v>100</v>
      </c>
      <c r="T23" s="702" t="s">
        <v>14</v>
      </c>
      <c r="U23" s="703">
        <f>H23</f>
        <v>100</v>
      </c>
      <c r="V23" s="702" t="s">
        <v>14</v>
      </c>
      <c r="W23" s="703">
        <f>J23</f>
        <v>100</v>
      </c>
      <c r="X23" s="1349"/>
      <c r="Y23" s="3748"/>
      <c r="Z23" s="1350">
        <f>Q23</f>
        <v>111</v>
      </c>
      <c r="AA23" s="1347">
        <f t="shared" si="3"/>
        <v>1</v>
      </c>
      <c r="AB23" s="1347">
        <f t="shared" si="4"/>
        <v>1</v>
      </c>
      <c r="AC23" s="1347">
        <f t="shared" si="5"/>
        <v>1</v>
      </c>
    </row>
    <row r="24" spans="1:29" ht="15">
      <c r="A24" s="376"/>
      <c r="B24" s="1887">
        <v>111</v>
      </c>
      <c r="C24" s="380"/>
      <c r="D24" s="383">
        <v>100</v>
      </c>
      <c r="E24" s="382"/>
      <c r="F24" s="409">
        <f>SUMIF(73:73,E24,74:74)-SUMIF(73:73,C24,74:74)+100</f>
        <v>100</v>
      </c>
      <c r="G24" s="382"/>
      <c r="H24" s="383">
        <f>SUMIF(73:73,G24,74:74)-SUMIF(73:73,C24,74:74)+100</f>
        <v>100</v>
      </c>
      <c r="I24" s="382"/>
      <c r="J24" s="383">
        <f>SUMIF(73:73,I24,74:74)-SUMIF(73:73,C24,74:74)+100</f>
        <v>100</v>
      </c>
      <c r="K24" s="559"/>
      <c r="L24" s="2716"/>
      <c r="M24" s="2710"/>
      <c r="N24" s="2710"/>
      <c r="O24" s="2768"/>
      <c r="P24" s="3748"/>
      <c r="Q24" s="1346">
        <f t="shared" ref="Q24:Q34" si="11">B24</f>
        <v>111</v>
      </c>
      <c r="R24" s="702" t="s">
        <v>14</v>
      </c>
      <c r="S24" s="703">
        <f>F24</f>
        <v>100</v>
      </c>
      <c r="T24" s="702" t="s">
        <v>14</v>
      </c>
      <c r="U24" s="703">
        <f>H24</f>
        <v>100</v>
      </c>
      <c r="V24" s="702" t="s">
        <v>14</v>
      </c>
      <c r="W24" s="703">
        <f>J24</f>
        <v>100</v>
      </c>
      <c r="X24" s="1349"/>
      <c r="Y24" s="3748"/>
      <c r="Z24" s="1350">
        <f>Q24</f>
        <v>111</v>
      </c>
      <c r="AA24" s="1347">
        <f t="shared" si="3"/>
        <v>1</v>
      </c>
      <c r="AB24" s="1347">
        <f t="shared" si="4"/>
        <v>1</v>
      </c>
      <c r="AC24" s="1347">
        <f t="shared" si="5"/>
        <v>1</v>
      </c>
    </row>
    <row r="25" spans="1:29" s="105" customFormat="1" ht="15.75" thickBot="1">
      <c r="A25" s="379"/>
      <c r="B25" s="1887">
        <v>111</v>
      </c>
      <c r="C25" s="1970"/>
      <c r="D25" s="610">
        <v>100</v>
      </c>
      <c r="E25" s="1970"/>
      <c r="F25" s="611">
        <f>SUMIF(75:75,E25,76:76)-SUMIF(75:75,C25,76:76)+100</f>
        <v>100</v>
      </c>
      <c r="G25" s="1970"/>
      <c r="H25" s="610">
        <f>SUMIF(75:75,G25,76:76)-SUMIF(75:75,C25,76:76)+100</f>
        <v>100</v>
      </c>
      <c r="I25" s="1970"/>
      <c r="J25" s="610">
        <f>SUMIF(75:75,I25,76:76)-SUMIF(75:75,C25,76:76)+100</f>
        <v>100</v>
      </c>
      <c r="K25" s="559"/>
      <c r="L25" s="2711"/>
      <c r="M25" s="2712"/>
      <c r="N25" s="2712"/>
      <c r="O25" s="2766"/>
      <c r="P25" s="3748"/>
      <c r="Q25" s="1337">
        <f t="shared" si="11"/>
        <v>111</v>
      </c>
      <c r="R25" s="698" t="s">
        <v>14</v>
      </c>
      <c r="S25" s="699">
        <f>F25</f>
        <v>100</v>
      </c>
      <c r="T25" s="698" t="s">
        <v>14</v>
      </c>
      <c r="U25" s="699">
        <f>H25</f>
        <v>100</v>
      </c>
      <c r="V25" s="698" t="s">
        <v>14</v>
      </c>
      <c r="W25" s="699">
        <f>J25</f>
        <v>100</v>
      </c>
      <c r="X25" s="700"/>
      <c r="Y25" s="3748"/>
      <c r="Z25" s="52">
        <f>Q25</f>
        <v>111</v>
      </c>
      <c r="AA25" s="1347">
        <f>D25/F25</f>
        <v>1</v>
      </c>
      <c r="AB25" s="1347">
        <f>D25/H25</f>
        <v>1</v>
      </c>
      <c r="AC25" s="1347">
        <f>D25/J25</f>
        <v>1</v>
      </c>
    </row>
    <row r="26" spans="1:29" ht="28.5">
      <c r="A26" s="414" t="s">
        <v>1694</v>
      </c>
      <c r="B26" s="63" t="s">
        <v>1838</v>
      </c>
      <c r="C26" s="1961"/>
      <c r="D26" s="415">
        <v>100</v>
      </c>
      <c r="E26" s="1961"/>
      <c r="F26" s="612">
        <f>SUMIF(77:77,E26,78:78)-SUMIF(77:77,C26,78:78)+100</f>
        <v>100</v>
      </c>
      <c r="G26" s="1961"/>
      <c r="H26" s="415">
        <f>SUMIF(77:77,G26,78:78)-SUMIF(77:77,C26,78:78)+100</f>
        <v>100</v>
      </c>
      <c r="I26" s="1961"/>
      <c r="J26" s="415">
        <f>SUMIF(77:77,I26,78:78)-SUMIF(77:77,C26,78:78)+100</f>
        <v>100</v>
      </c>
      <c r="K26" s="558"/>
      <c r="L26" s="2716"/>
      <c r="M26" s="2710"/>
      <c r="N26" s="2710"/>
      <c r="O26" s="2768"/>
      <c r="P26" s="3756" t="s">
        <v>1696</v>
      </c>
      <c r="Q26" s="1346" t="str">
        <f t="shared" si="11"/>
        <v>公共部分装修</v>
      </c>
      <c r="R26" s="702" t="s">
        <v>14</v>
      </c>
      <c r="S26" s="703">
        <f t="shared" ref="S26:S34" si="12">F26</f>
        <v>100</v>
      </c>
      <c r="T26" s="702" t="s">
        <v>14</v>
      </c>
      <c r="U26" s="703">
        <f t="shared" ref="U26:U34" si="13">H26</f>
        <v>100</v>
      </c>
      <c r="V26" s="702" t="s">
        <v>14</v>
      </c>
      <c r="W26" s="703">
        <f t="shared" ref="W26:W34" si="14">J26</f>
        <v>100</v>
      </c>
      <c r="X26" s="1349"/>
      <c r="Y26" s="3752" t="s">
        <v>1696</v>
      </c>
      <c r="Z26" s="1350" t="str">
        <f t="shared" ref="Z26:Z34" si="15">Q26</f>
        <v>公共部分装修</v>
      </c>
      <c r="AA26" s="1347">
        <f t="shared" si="3"/>
        <v>1</v>
      </c>
      <c r="AB26" s="1347">
        <f t="shared" si="4"/>
        <v>1</v>
      </c>
      <c r="AC26" s="1347">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5"/>
      <c r="M27" s="2717"/>
      <c r="N27" s="2717"/>
      <c r="O27" s="2769"/>
      <c r="P27" s="3752"/>
      <c r="Q27" s="704" t="str">
        <f t="shared" si="11"/>
        <v>成新率</v>
      </c>
      <c r="R27" s="705" t="s">
        <v>14</v>
      </c>
      <c r="S27" s="706" t="e">
        <f t="shared" si="12"/>
        <v>#N/A</v>
      </c>
      <c r="T27" s="705" t="s">
        <v>14</v>
      </c>
      <c r="U27" s="706" t="e">
        <f t="shared" si="13"/>
        <v>#N/A</v>
      </c>
      <c r="V27" s="705" t="s">
        <v>14</v>
      </c>
      <c r="W27" s="706" t="e">
        <f t="shared" si="14"/>
        <v>#N/A</v>
      </c>
      <c r="X27" s="707"/>
      <c r="Y27" s="3752"/>
      <c r="Z27" s="708" t="str">
        <f t="shared" si="15"/>
        <v>成新率</v>
      </c>
      <c r="AA27" s="1347" t="e">
        <f t="shared" si="3"/>
        <v>#N/A</v>
      </c>
      <c r="AB27" s="1347" t="e">
        <f t="shared" si="4"/>
        <v>#N/A</v>
      </c>
      <c r="AC27" s="1347"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6"/>
      <c r="M28" s="2710"/>
      <c r="N28" s="2710"/>
      <c r="O28" s="2768"/>
      <c r="P28" s="3752"/>
      <c r="Q28" s="1346" t="str">
        <f t="shared" si="11"/>
        <v>物业等级</v>
      </c>
      <c r="R28" s="702" t="s">
        <v>14</v>
      </c>
      <c r="S28" s="703">
        <f t="shared" si="12"/>
        <v>100</v>
      </c>
      <c r="T28" s="702" t="s">
        <v>14</v>
      </c>
      <c r="U28" s="703">
        <f t="shared" si="13"/>
        <v>100</v>
      </c>
      <c r="V28" s="702" t="s">
        <v>14</v>
      </c>
      <c r="W28" s="703">
        <f t="shared" si="14"/>
        <v>100</v>
      </c>
      <c r="X28" s="1349"/>
      <c r="Y28" s="3752"/>
      <c r="Z28" s="1350" t="str">
        <f t="shared" si="15"/>
        <v>物业等级</v>
      </c>
      <c r="AA28" s="1347">
        <f t="shared" si="3"/>
        <v>1</v>
      </c>
      <c r="AB28" s="1347">
        <f t="shared" si="4"/>
        <v>1</v>
      </c>
      <c r="AC28" s="1347">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6"/>
      <c r="M29" s="2710"/>
      <c r="N29" s="2710"/>
      <c r="O29" s="2768"/>
      <c r="P29" s="3752"/>
      <c r="Q29" s="1346" t="str">
        <f t="shared" si="11"/>
        <v>有无电梯</v>
      </c>
      <c r="R29" s="702" t="s">
        <v>14</v>
      </c>
      <c r="S29" s="703">
        <f t="shared" si="12"/>
        <v>100</v>
      </c>
      <c r="T29" s="702" t="s">
        <v>14</v>
      </c>
      <c r="U29" s="703">
        <f t="shared" si="13"/>
        <v>100</v>
      </c>
      <c r="V29" s="702" t="s">
        <v>14</v>
      </c>
      <c r="W29" s="703">
        <f t="shared" si="14"/>
        <v>100</v>
      </c>
      <c r="X29" s="1349"/>
      <c r="Y29" s="3752"/>
      <c r="Z29" s="1350" t="str">
        <f t="shared" si="15"/>
        <v>有无电梯</v>
      </c>
      <c r="AA29" s="1347">
        <f t="shared" si="3"/>
        <v>1</v>
      </c>
      <c r="AB29" s="1347">
        <f t="shared" si="4"/>
        <v>1</v>
      </c>
      <c r="AC29" s="1347">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6"/>
      <c r="M30" s="2710"/>
      <c r="N30" s="2710"/>
      <c r="O30" s="2768"/>
      <c r="P30" s="3752"/>
      <c r="Q30" s="1346" t="str">
        <f t="shared" si="11"/>
        <v>建筑面积</v>
      </c>
      <c r="R30" s="702" t="s">
        <v>14</v>
      </c>
      <c r="S30" s="703" t="e">
        <f t="shared" si="12"/>
        <v>#N/A</v>
      </c>
      <c r="T30" s="702" t="s">
        <v>14</v>
      </c>
      <c r="U30" s="703" t="e">
        <f t="shared" si="13"/>
        <v>#N/A</v>
      </c>
      <c r="V30" s="702" t="s">
        <v>14</v>
      </c>
      <c r="W30" s="703" t="e">
        <f t="shared" si="14"/>
        <v>#N/A</v>
      </c>
      <c r="X30" s="1349"/>
      <c r="Y30" s="3752"/>
      <c r="Z30" s="1350" t="str">
        <f t="shared" si="15"/>
        <v>建筑面积</v>
      </c>
      <c r="AA30" s="1347" t="e">
        <f t="shared" si="3"/>
        <v>#N/A</v>
      </c>
      <c r="AB30" s="1347" t="e">
        <f t="shared" si="4"/>
        <v>#N/A</v>
      </c>
      <c r="AC30" s="1347" t="e">
        <f t="shared" si="5"/>
        <v>#N/A</v>
      </c>
    </row>
    <row r="31" spans="1:29" s="105"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11"/>
      <c r="M31" s="2712"/>
      <c r="N31" s="2712"/>
      <c r="O31" s="2766"/>
      <c r="P31" s="3752"/>
      <c r="Q31" s="1337" t="str">
        <f t="shared" si="11"/>
        <v>是否封闭</v>
      </c>
      <c r="R31" s="698" t="s">
        <v>14</v>
      </c>
      <c r="S31" s="699">
        <f t="shared" si="12"/>
        <v>100</v>
      </c>
      <c r="T31" s="698" t="s">
        <v>14</v>
      </c>
      <c r="U31" s="699">
        <f t="shared" si="13"/>
        <v>100</v>
      </c>
      <c r="V31" s="698" t="s">
        <v>14</v>
      </c>
      <c r="W31" s="699">
        <f t="shared" si="14"/>
        <v>100</v>
      </c>
      <c r="X31" s="700"/>
      <c r="Y31" s="3752"/>
      <c r="Z31" s="52" t="str">
        <f t="shared" si="15"/>
        <v>是否封闭</v>
      </c>
      <c r="AA31" s="701">
        <f t="shared" si="3"/>
        <v>1</v>
      </c>
      <c r="AB31" s="701">
        <f t="shared" si="4"/>
        <v>1</v>
      </c>
      <c r="AC31" s="701">
        <f t="shared" si="5"/>
        <v>1</v>
      </c>
    </row>
    <row r="32" spans="1:29" ht="15">
      <c r="A32" s="420"/>
      <c r="B32" s="1887">
        <v>111</v>
      </c>
      <c r="C32" s="380"/>
      <c r="D32" s="383">
        <v>100</v>
      </c>
      <c r="E32" s="417"/>
      <c r="F32" s="409">
        <f>SUMIF(91:91,E32,92:92)-SUMIF(91:91,C32,92:92)+100</f>
        <v>100</v>
      </c>
      <c r="G32" s="417"/>
      <c r="H32" s="383">
        <f>SUMIF(91:91,G32,92:92)-SUMIF(91:91,C32,92:92)+100</f>
        <v>100</v>
      </c>
      <c r="I32" s="417"/>
      <c r="J32" s="383">
        <f>SUMIF(91:91,I32,92:92)-SUMIF(91:91,C32,92:92)+100</f>
        <v>100</v>
      </c>
      <c r="K32" s="559"/>
      <c r="L32" s="2716"/>
      <c r="M32" s="2710"/>
      <c r="N32" s="2710"/>
      <c r="O32" s="2768"/>
      <c r="P32" s="3752" t="s">
        <v>1696</v>
      </c>
      <c r="Q32" s="1346">
        <f t="shared" si="11"/>
        <v>111</v>
      </c>
      <c r="R32" s="702" t="s">
        <v>14</v>
      </c>
      <c r="S32" s="703">
        <f t="shared" si="12"/>
        <v>100</v>
      </c>
      <c r="T32" s="702" t="s">
        <v>14</v>
      </c>
      <c r="U32" s="703">
        <f t="shared" si="13"/>
        <v>100</v>
      </c>
      <c r="V32" s="702" t="s">
        <v>14</v>
      </c>
      <c r="W32" s="703">
        <f t="shared" si="14"/>
        <v>100</v>
      </c>
      <c r="X32" s="1349"/>
      <c r="Y32" s="3752" t="s">
        <v>1696</v>
      </c>
      <c r="Z32" s="1350">
        <f t="shared" si="15"/>
        <v>111</v>
      </c>
      <c r="AA32" s="1347">
        <f t="shared" si="3"/>
        <v>1</v>
      </c>
      <c r="AB32" s="1347">
        <f t="shared" si="4"/>
        <v>1</v>
      </c>
      <c r="AC32" s="1347">
        <f t="shared" si="5"/>
        <v>1</v>
      </c>
    </row>
    <row r="33" spans="1:30" ht="15">
      <c r="A33" s="420"/>
      <c r="B33" s="1887">
        <v>111</v>
      </c>
      <c r="C33" s="380"/>
      <c r="D33" s="383">
        <v>100</v>
      </c>
      <c r="E33" s="417"/>
      <c r="F33" s="409">
        <f>SUMIF(93:93,E33,94:94)-SUMIF(93:93,C33,94:94)+100</f>
        <v>100</v>
      </c>
      <c r="G33" s="417"/>
      <c r="H33" s="383">
        <f>SUMIF(93:93,G33,94:94)-SUMIF(93:93,C33,94:94)+100</f>
        <v>100</v>
      </c>
      <c r="I33" s="417"/>
      <c r="J33" s="383">
        <f>SUMIF(93:93,I33,94:94)-SUMIF(93:93,C33,94:94)+100</f>
        <v>100</v>
      </c>
      <c r="K33" s="559"/>
      <c r="L33" s="2716"/>
      <c r="M33" s="2710"/>
      <c r="N33" s="2710"/>
      <c r="O33" s="2768"/>
      <c r="P33" s="3752"/>
      <c r="Q33" s="1346">
        <f t="shared" si="11"/>
        <v>111</v>
      </c>
      <c r="R33" s="702" t="s">
        <v>14</v>
      </c>
      <c r="S33" s="703">
        <f t="shared" si="12"/>
        <v>100</v>
      </c>
      <c r="T33" s="702" t="s">
        <v>14</v>
      </c>
      <c r="U33" s="703">
        <f t="shared" si="13"/>
        <v>100</v>
      </c>
      <c r="V33" s="702" t="s">
        <v>14</v>
      </c>
      <c r="W33" s="703">
        <f t="shared" si="14"/>
        <v>100</v>
      </c>
      <c r="X33" s="1349"/>
      <c r="Y33" s="3752"/>
      <c r="Z33" s="1350">
        <f t="shared" si="15"/>
        <v>111</v>
      </c>
      <c r="AA33" s="1347">
        <f t="shared" si="3"/>
        <v>1</v>
      </c>
      <c r="AB33" s="1347">
        <f t="shared" si="4"/>
        <v>1</v>
      </c>
      <c r="AC33" s="1347">
        <f t="shared" si="5"/>
        <v>1</v>
      </c>
    </row>
    <row r="34" spans="1:30" ht="15.75" thickBot="1">
      <c r="A34" s="426"/>
      <c r="B34" s="1889">
        <v>111</v>
      </c>
      <c r="C34" s="385"/>
      <c r="D34" s="386">
        <v>100</v>
      </c>
      <c r="E34" s="1969"/>
      <c r="F34" s="387">
        <f>SUMIF(95:95,E34,96:96)-SUMIF(95:95,C34,96:96)+100</f>
        <v>100</v>
      </c>
      <c r="G34" s="1969"/>
      <c r="H34" s="386">
        <f>SUMIF(95:95,G34,96:96)-SUMIF(95:95,C34,96:96)+100</f>
        <v>100</v>
      </c>
      <c r="I34" s="1969"/>
      <c r="J34" s="386">
        <f>SUMIF(95:95,I34,96:96)-SUMIF(95:95,C34,96:96)+100</f>
        <v>100</v>
      </c>
      <c r="K34" s="559"/>
      <c r="L34" s="2716"/>
      <c r="M34" s="2710"/>
      <c r="N34" s="2710"/>
      <c r="O34" s="2768"/>
      <c r="P34" s="3752"/>
      <c r="Q34" s="1346">
        <f t="shared" si="11"/>
        <v>111</v>
      </c>
      <c r="R34" s="702" t="s">
        <v>14</v>
      </c>
      <c r="S34" s="703">
        <f t="shared" si="12"/>
        <v>100</v>
      </c>
      <c r="T34" s="702" t="s">
        <v>14</v>
      </c>
      <c r="U34" s="703">
        <f t="shared" si="13"/>
        <v>100</v>
      </c>
      <c r="V34" s="702" t="s">
        <v>14</v>
      </c>
      <c r="W34" s="703">
        <f t="shared" si="14"/>
        <v>100</v>
      </c>
      <c r="X34" s="1349"/>
      <c r="Y34" s="3752"/>
      <c r="Z34" s="1350">
        <f t="shared" si="15"/>
        <v>111</v>
      </c>
      <c r="AA34" s="1347">
        <f t="shared" si="3"/>
        <v>1</v>
      </c>
      <c r="AB34" s="1347">
        <f t="shared" si="4"/>
        <v>1</v>
      </c>
      <c r="AC34" s="1347">
        <f t="shared" si="5"/>
        <v>1</v>
      </c>
    </row>
    <row r="35" spans="1:30" ht="15">
      <c r="A35" s="427" t="s">
        <v>1708</v>
      </c>
      <c r="B35" s="428"/>
      <c r="C35" s="1148" t="s">
        <v>0</v>
      </c>
      <c r="D35" s="1149"/>
      <c r="E35" s="1150"/>
      <c r="F35" s="1151"/>
      <c r="G35" s="1152"/>
      <c r="H35" s="1153"/>
      <c r="I35" s="1150"/>
      <c r="J35" s="1153"/>
      <c r="K35" s="711"/>
      <c r="L35" s="2718"/>
      <c r="M35" s="2719"/>
      <c r="N35" s="2710"/>
      <c r="O35" s="2719"/>
      <c r="P35" s="3745" t="str">
        <f>A35</f>
        <v>成交单价（元/平方米）</v>
      </c>
      <c r="Q35" s="3745"/>
      <c r="R35" s="3746">
        <f>E35</f>
        <v>0</v>
      </c>
      <c r="S35" s="3746"/>
      <c r="T35" s="3746">
        <f>G35</f>
        <v>0</v>
      </c>
      <c r="U35" s="3746"/>
      <c r="V35" s="3746">
        <f>I35</f>
        <v>0</v>
      </c>
      <c r="W35" s="3746"/>
      <c r="X35" s="687"/>
      <c r="Y35" s="709"/>
      <c r="Z35" s="687"/>
      <c r="AA35" s="687"/>
      <c r="AB35" s="687"/>
      <c r="AC35" s="687"/>
    </row>
    <row r="36" spans="1:30" ht="15.75" thickBot="1">
      <c r="A36" s="434" t="s">
        <v>1793</v>
      </c>
      <c r="B36" s="435"/>
      <c r="C36" s="1154" t="e">
        <f>R37</f>
        <v>#DIV/0!</v>
      </c>
      <c r="D36" s="2311" t="s">
        <v>2138</v>
      </c>
      <c r="E36" s="1155" t="e">
        <f>R36</f>
        <v>#DIV/0!</v>
      </c>
      <c r="F36" s="2312"/>
      <c r="G36" s="1154" t="e">
        <f>T36</f>
        <v>#DIV/0!</v>
      </c>
      <c r="H36" s="2312"/>
      <c r="I36" s="1155" t="e">
        <f>V36</f>
        <v>#DIV/0!</v>
      </c>
      <c r="J36" s="2312"/>
      <c r="K36" s="2314">
        <f>F36+H36+J36</f>
        <v>0</v>
      </c>
      <c r="L36" s="2718"/>
      <c r="M36" s="2719"/>
      <c r="N36" s="2710"/>
      <c r="O36" s="2719"/>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87"/>
      <c r="Y36" s="687"/>
      <c r="Z36" s="687"/>
      <c r="AA36" s="687"/>
      <c r="AB36" s="687"/>
      <c r="AC36" s="687"/>
    </row>
    <row r="37" spans="1:30" ht="15.75" thickBot="1">
      <c r="A37" s="438" t="s">
        <v>1794</v>
      </c>
      <c r="B37" s="439"/>
      <c r="C37" s="1157" t="e">
        <f>R37</f>
        <v>#DIV/0!</v>
      </c>
      <c r="D37" s="1157"/>
      <c r="E37" s="1157"/>
      <c r="F37" s="1157"/>
      <c r="G37" s="1157"/>
      <c r="H37" s="1157"/>
      <c r="I37" s="1157"/>
      <c r="J37" s="1157"/>
      <c r="K37" s="712"/>
      <c r="L37" s="2718"/>
      <c r="M37" s="2719"/>
      <c r="N37" s="2719"/>
      <c r="O37" s="2719"/>
      <c r="P37" s="3742" t="str">
        <f>A37</f>
        <v>估价对象XX用房的比较价值（楼面单价，元/平方米）</v>
      </c>
      <c r="Q37" s="3743"/>
      <c r="R37" s="3757" t="e">
        <f>IF(F1="售价",ROUND(IF(D36="简单平均",AVERAGE(R36:W36),R36*F36+T36*H36+V36*J36),0),ROUND(IF(D36="简单平均",AVERAGE(R36:V36),R36*F36+T36*H36+V36*J36),1))</f>
        <v>#DIV/0!</v>
      </c>
      <c r="S37" s="3757"/>
      <c r="T37" s="3757"/>
      <c r="U37" s="3757"/>
      <c r="V37" s="3757"/>
      <c r="W37" s="3757"/>
      <c r="X37" s="687"/>
      <c r="Y37" s="687"/>
      <c r="Z37" s="687"/>
      <c r="AA37" s="687"/>
      <c r="AB37" s="687"/>
      <c r="AC37" s="687"/>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8" customFormat="1" ht="13.5" customHeight="1">
      <c r="A42" s="2722"/>
      <c r="B42" s="2722"/>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8"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1" t="s">
        <v>1798</v>
      </c>
      <c r="B45" s="687"/>
      <c r="C45" s="692"/>
      <c r="D45" s="692"/>
      <c r="E45" s="692"/>
      <c r="F45" s="693"/>
      <c r="G45" s="693"/>
      <c r="H45" s="692"/>
      <c r="I45" s="692"/>
      <c r="J45" s="692"/>
      <c r="K45" s="694"/>
      <c r="L45" s="695"/>
      <c r="M45" s="692"/>
      <c r="N45" s="2763"/>
      <c r="O45" s="2763"/>
      <c r="P45" s="2763"/>
      <c r="Q45" s="2733"/>
      <c r="R45" s="2719"/>
      <c r="S45" s="2719"/>
      <c r="T45" s="2719"/>
      <c r="U45" s="2719"/>
      <c r="V45" s="2719"/>
      <c r="W45" s="2719"/>
      <c r="X45" s="2719"/>
      <c r="Y45" s="2719"/>
      <c r="Z45" s="2719"/>
      <c r="AA45" s="2719"/>
      <c r="AB45" s="2719"/>
      <c r="AC45" s="2719"/>
      <c r="AD45" s="2719"/>
    </row>
    <row r="46" spans="1:30" s="454" customFormat="1" ht="15">
      <c r="A46" s="451" t="s">
        <v>1679</v>
      </c>
      <c r="B46" s="452"/>
      <c r="C46" s="1178" t="str">
        <f>YEAR(C7)&amp;"-"&amp;MONTH(C7)</f>
        <v>2024-9</v>
      </c>
      <c r="D46" s="1179">
        <f>EDATE(C46,-1)</f>
        <v>45505</v>
      </c>
      <c r="E46" s="1179">
        <f t="shared" ref="E46:O46" si="16">EDATE(D46,-1)</f>
        <v>45474</v>
      </c>
      <c r="F46" s="1179">
        <f t="shared" si="16"/>
        <v>45444</v>
      </c>
      <c r="G46" s="1179">
        <f t="shared" si="16"/>
        <v>45413</v>
      </c>
      <c r="H46" s="1179">
        <f t="shared" si="16"/>
        <v>45383</v>
      </c>
      <c r="I46" s="1179">
        <f t="shared" si="16"/>
        <v>45352</v>
      </c>
      <c r="J46" s="1179">
        <f t="shared" si="16"/>
        <v>45323</v>
      </c>
      <c r="K46" s="1179">
        <f t="shared" si="16"/>
        <v>45292</v>
      </c>
      <c r="L46" s="1179">
        <f t="shared" si="16"/>
        <v>45261</v>
      </c>
      <c r="M46" s="1179">
        <f t="shared" si="16"/>
        <v>45231</v>
      </c>
      <c r="N46" s="1179">
        <f t="shared" si="16"/>
        <v>45200</v>
      </c>
      <c r="O46" s="1179">
        <f t="shared" si="16"/>
        <v>45170</v>
      </c>
      <c r="P46" s="2770"/>
      <c r="Q46" s="2735"/>
      <c r="R46" s="2735"/>
      <c r="S46" s="2735"/>
      <c r="T46" s="2735"/>
      <c r="U46" s="2735"/>
      <c r="V46" s="2735"/>
      <c r="W46" s="2735"/>
      <c r="X46" s="2735"/>
      <c r="Y46" s="2735"/>
      <c r="Z46" s="2735"/>
      <c r="AA46" s="2735"/>
      <c r="AB46" s="2735"/>
      <c r="AC46" s="2735"/>
      <c r="AD46" s="2735"/>
    </row>
    <row r="47" spans="1:30" s="105" customFormat="1" ht="15">
      <c r="A47" s="455"/>
      <c r="B47" s="456"/>
      <c r="C47" s="1177">
        <v>100</v>
      </c>
      <c r="D47" s="458"/>
      <c r="E47" s="458"/>
      <c r="F47" s="458"/>
      <c r="G47" s="458"/>
      <c r="H47" s="458"/>
      <c r="I47" s="458"/>
      <c r="J47" s="458"/>
      <c r="K47" s="458"/>
      <c r="L47" s="458"/>
      <c r="M47" s="459"/>
      <c r="N47" s="458"/>
      <c r="O47" s="460"/>
      <c r="P47" s="2733"/>
      <c r="Q47" s="2655"/>
      <c r="R47" s="2655"/>
      <c r="S47" s="2655"/>
      <c r="T47" s="2655"/>
      <c r="U47" s="2655"/>
      <c r="V47" s="2655"/>
      <c r="W47" s="2655"/>
      <c r="X47" s="2655"/>
      <c r="Y47" s="2655"/>
      <c r="Z47" s="2655"/>
      <c r="AA47" s="2655"/>
      <c r="AB47" s="2655"/>
      <c r="AC47" s="2655"/>
      <c r="AD47" s="2655"/>
    </row>
    <row r="48" spans="1:30" s="105" customFormat="1" ht="15.75" thickBot="1">
      <c r="A48" s="461" t="s">
        <v>1716</v>
      </c>
      <c r="B48" s="462"/>
      <c r="C48" s="463"/>
      <c r="D48" s="464"/>
      <c r="E48" s="464"/>
      <c r="F48" s="464"/>
      <c r="G48" s="464"/>
      <c r="H48" s="464"/>
      <c r="I48" s="464"/>
      <c r="J48" s="464"/>
      <c r="K48" s="464"/>
      <c r="L48" s="464"/>
      <c r="M48" s="465"/>
      <c r="N48" s="464"/>
      <c r="O48" s="466"/>
      <c r="P48" s="2733"/>
      <c r="Q48" s="2733"/>
      <c r="R48" s="2655"/>
      <c r="S48" s="2655"/>
      <c r="T48" s="2655"/>
      <c r="U48" s="2655"/>
      <c r="V48" s="2655"/>
      <c r="W48" s="2655"/>
      <c r="X48" s="2655"/>
      <c r="Y48" s="2655"/>
      <c r="Z48" s="2655"/>
      <c r="AA48" s="2655"/>
      <c r="AB48" s="2655"/>
      <c r="AC48" s="2655"/>
      <c r="AD48" s="2655"/>
    </row>
    <row r="49" spans="1:30" s="105" customFormat="1" ht="15">
      <c r="A49" s="467" t="s">
        <v>1681</v>
      </c>
      <c r="B49" s="456"/>
      <c r="C49" s="468" t="s">
        <v>1776</v>
      </c>
      <c r="D49" s="469"/>
      <c r="E49" s="469"/>
      <c r="F49" s="469"/>
      <c r="G49" s="469"/>
      <c r="H49" s="469"/>
      <c r="I49" s="469"/>
      <c r="J49" s="469"/>
      <c r="K49" s="469"/>
      <c r="L49" s="470"/>
      <c r="M49" s="471"/>
      <c r="N49" s="2746"/>
      <c r="O49" s="2746"/>
      <c r="P49" s="2771"/>
      <c r="Q49" s="2733"/>
      <c r="R49" s="2655"/>
      <c r="S49" s="2655"/>
      <c r="T49" s="2655"/>
      <c r="U49" s="2655"/>
      <c r="V49" s="2655"/>
      <c r="W49" s="2655"/>
      <c r="X49" s="2655"/>
      <c r="Y49" s="2655"/>
      <c r="Z49" s="2655"/>
      <c r="AA49" s="2655"/>
      <c r="AB49" s="2655"/>
      <c r="AC49" s="2655"/>
      <c r="AD49" s="2655"/>
    </row>
    <row r="50" spans="1:30" s="105" customFormat="1" ht="15.75" thickBot="1">
      <c r="A50" s="467"/>
      <c r="B50" s="456"/>
      <c r="C50" s="584">
        <v>100</v>
      </c>
      <c r="D50" s="458"/>
      <c r="E50" s="458"/>
      <c r="F50" s="458"/>
      <c r="G50" s="458"/>
      <c r="H50" s="458"/>
      <c r="I50" s="458"/>
      <c r="J50" s="458"/>
      <c r="K50" s="458"/>
      <c r="L50" s="458"/>
      <c r="M50" s="460"/>
      <c r="N50" s="2746"/>
      <c r="O50" s="2746"/>
      <c r="P50" s="2733"/>
      <c r="Q50" s="2733"/>
      <c r="R50" s="2655"/>
      <c r="S50" s="2655"/>
      <c r="T50" s="2655"/>
      <c r="U50" s="2655"/>
      <c r="V50" s="2655"/>
      <c r="W50" s="2655"/>
      <c r="X50" s="2655"/>
      <c r="Y50" s="2655"/>
      <c r="Z50" s="2655"/>
      <c r="AA50" s="2655"/>
      <c r="AB50" s="2655"/>
      <c r="AC50" s="2655"/>
      <c r="AD50" s="2655"/>
    </row>
    <row r="51" spans="1:30">
      <c r="A51" s="473" t="s">
        <v>1719</v>
      </c>
      <c r="B51" s="474" t="s">
        <v>1685</v>
      </c>
      <c r="C51" s="475">
        <f>C9</f>
        <v>0</v>
      </c>
      <c r="D51" s="476"/>
      <c r="E51" s="476"/>
      <c r="F51" s="476"/>
      <c r="G51" s="476"/>
      <c r="H51" s="476"/>
      <c r="I51" s="476"/>
      <c r="J51" s="476"/>
      <c r="K51" s="477"/>
      <c r="L51" s="478"/>
      <c r="M51" s="479"/>
      <c r="N51" s="2747"/>
      <c r="O51" s="2747"/>
      <c r="P51" s="2772"/>
      <c r="Q51" s="2733"/>
      <c r="R51" s="2719"/>
      <c r="S51" s="2719"/>
      <c r="T51" s="2719"/>
      <c r="U51" s="2719"/>
      <c r="V51" s="2719"/>
      <c r="W51" s="2719"/>
      <c r="X51" s="2719"/>
      <c r="Y51" s="2719"/>
      <c r="Z51" s="2719"/>
      <c r="AA51" s="2719"/>
      <c r="AB51" s="2719"/>
      <c r="AC51" s="2719"/>
      <c r="AD51" s="2719"/>
    </row>
    <row r="52" spans="1:30" ht="15.75" thickBot="1">
      <c r="A52" s="480"/>
      <c r="B52" s="481"/>
      <c r="C52" s="482">
        <v>100</v>
      </c>
      <c r="D52" s="482"/>
      <c r="E52" s="482"/>
      <c r="F52" s="482"/>
      <c r="G52" s="482"/>
      <c r="H52" s="482"/>
      <c r="I52" s="482"/>
      <c r="J52" s="482"/>
      <c r="K52" s="482"/>
      <c r="L52" s="482"/>
      <c r="M52" s="483"/>
      <c r="N52" s="2748"/>
      <c r="O52" s="2748"/>
      <c r="P52" s="2772"/>
      <c r="Q52" s="2733"/>
      <c r="R52" s="2719"/>
      <c r="S52" s="2719"/>
      <c r="T52" s="2719"/>
      <c r="U52" s="2719"/>
      <c r="V52" s="2719"/>
      <c r="W52" s="2719"/>
      <c r="X52" s="2719"/>
      <c r="Y52" s="2719"/>
      <c r="Z52" s="2719"/>
      <c r="AA52" s="2719"/>
      <c r="AB52" s="2719"/>
      <c r="AC52" s="2719"/>
      <c r="AD52" s="2719"/>
    </row>
    <row r="53" spans="1:30" ht="27.75" thickTop="1">
      <c r="A53" s="480"/>
      <c r="B53" s="484" t="s">
        <v>1688</v>
      </c>
      <c r="C53" s="529"/>
      <c r="D53" s="529"/>
      <c r="E53" s="529"/>
      <c r="F53" s="529"/>
      <c r="G53" s="529"/>
      <c r="H53" s="529"/>
      <c r="I53" s="529"/>
      <c r="J53" s="529"/>
      <c r="K53" s="530"/>
      <c r="L53" s="531"/>
      <c r="M53" s="532"/>
      <c r="N53" s="2747"/>
      <c r="O53" s="2747"/>
      <c r="P53" s="2772"/>
      <c r="Q53" s="2733"/>
      <c r="R53" s="2719"/>
      <c r="S53" s="2719"/>
      <c r="T53" s="2719"/>
      <c r="U53" s="2719"/>
      <c r="V53" s="2719"/>
      <c r="W53" s="2719"/>
      <c r="X53" s="2719"/>
      <c r="Y53" s="2719"/>
      <c r="Z53" s="2719"/>
      <c r="AA53" s="2719"/>
      <c r="AB53" s="2719"/>
      <c r="AC53" s="2719"/>
      <c r="AD53" s="2719"/>
    </row>
    <row r="54" spans="1:30" ht="15.75" thickBot="1">
      <c r="A54" s="480"/>
      <c r="B54" s="489"/>
      <c r="C54" s="482"/>
      <c r="D54" s="482"/>
      <c r="E54" s="482"/>
      <c r="F54" s="482"/>
      <c r="G54" s="482"/>
      <c r="H54" s="482"/>
      <c r="I54" s="482"/>
      <c r="J54" s="482"/>
      <c r="K54" s="482"/>
      <c r="L54" s="482"/>
      <c r="M54" s="483"/>
      <c r="N54" s="2748"/>
      <c r="O54" s="2748"/>
      <c r="P54" s="2772"/>
      <c r="Q54" s="2733"/>
      <c r="R54" s="2719"/>
      <c r="S54" s="2719"/>
      <c r="T54" s="2719"/>
      <c r="U54" s="2719"/>
      <c r="V54" s="2719"/>
      <c r="W54" s="2719"/>
      <c r="X54" s="2719"/>
      <c r="Y54" s="2719"/>
      <c r="Z54" s="2719"/>
      <c r="AA54" s="2719"/>
      <c r="AB54" s="2719"/>
      <c r="AC54" s="2719"/>
      <c r="AD54" s="2719"/>
    </row>
    <row r="55" spans="1:30" ht="15.75" thickTop="1">
      <c r="A55" s="480"/>
      <c r="B55" s="605">
        <f>B11</f>
        <v>111</v>
      </c>
      <c r="C55" s="495"/>
      <c r="D55" s="495"/>
      <c r="E55" s="495"/>
      <c r="F55" s="495"/>
      <c r="G55" s="495"/>
      <c r="H55" s="495"/>
      <c r="I55" s="495"/>
      <c r="J55" s="495"/>
      <c r="K55" s="496"/>
      <c r="L55" s="497"/>
      <c r="M55" s="498"/>
      <c r="N55" s="2747"/>
      <c r="O55" s="2747"/>
      <c r="P55" s="2772"/>
      <c r="Q55" s="2733"/>
      <c r="R55" s="2719"/>
      <c r="S55" s="2719"/>
      <c r="T55" s="2719"/>
      <c r="U55" s="2719"/>
      <c r="V55" s="2719"/>
      <c r="W55" s="2719"/>
      <c r="X55" s="2719"/>
      <c r="Y55" s="2719"/>
      <c r="Z55" s="2719"/>
      <c r="AA55" s="2719"/>
      <c r="AB55" s="2719"/>
      <c r="AC55" s="2719"/>
      <c r="AD55" s="2719"/>
    </row>
    <row r="56" spans="1:30" ht="15.75" thickBot="1">
      <c r="A56" s="480"/>
      <c r="B56" s="481"/>
      <c r="C56" s="506"/>
      <c r="D56" s="482"/>
      <c r="E56" s="482"/>
      <c r="F56" s="482"/>
      <c r="G56" s="482"/>
      <c r="H56" s="482"/>
      <c r="I56" s="482"/>
      <c r="J56" s="482"/>
      <c r="K56" s="482"/>
      <c r="L56" s="482"/>
      <c r="M56" s="483"/>
      <c r="N56" s="2748"/>
      <c r="O56" s="2748"/>
      <c r="P56" s="2772"/>
      <c r="Q56" s="2733"/>
      <c r="R56" s="2719"/>
      <c r="S56" s="2719"/>
      <c r="T56" s="2719"/>
      <c r="U56" s="2719"/>
      <c r="V56" s="2719"/>
      <c r="W56" s="2719"/>
      <c r="X56" s="2719"/>
      <c r="Y56" s="2719"/>
      <c r="Z56" s="2719"/>
      <c r="AA56" s="2719"/>
      <c r="AB56" s="2719"/>
      <c r="AC56" s="2719"/>
      <c r="AD56" s="2719"/>
    </row>
    <row r="57" spans="1:30" s="419" customFormat="1" ht="15.75" thickTop="1">
      <c r="A57" s="499"/>
      <c r="B57" s="484">
        <f>B12</f>
        <v>111</v>
      </c>
      <c r="C57" s="495"/>
      <c r="D57" s="495"/>
      <c r="E57" s="495"/>
      <c r="F57" s="495"/>
      <c r="G57" s="500"/>
      <c r="H57" s="501"/>
      <c r="I57" s="501"/>
      <c r="J57" s="501"/>
      <c r="K57" s="501"/>
      <c r="L57" s="502"/>
      <c r="M57" s="503"/>
      <c r="N57" s="2749"/>
      <c r="O57" s="2749"/>
      <c r="P57" s="2773"/>
      <c r="Q57" s="2740"/>
      <c r="R57" s="2741"/>
      <c r="S57" s="2741"/>
      <c r="T57" s="2741"/>
      <c r="U57" s="2741"/>
      <c r="V57" s="2741"/>
      <c r="W57" s="2741"/>
      <c r="X57" s="2741"/>
      <c r="Y57" s="2741"/>
      <c r="Z57" s="2741"/>
      <c r="AA57" s="2741"/>
      <c r="AB57" s="2741"/>
      <c r="AC57" s="2741"/>
      <c r="AD57" s="2741"/>
    </row>
    <row r="58" spans="1:30" s="419" customFormat="1" ht="15.75" thickBot="1">
      <c r="A58" s="499"/>
      <c r="B58" s="489"/>
      <c r="C58" s="506"/>
      <c r="D58" s="482"/>
      <c r="E58" s="482"/>
      <c r="F58" s="482"/>
      <c r="G58" s="482"/>
      <c r="H58" s="482"/>
      <c r="I58" s="482"/>
      <c r="J58" s="482"/>
      <c r="K58" s="482"/>
      <c r="L58" s="482"/>
      <c r="M58" s="483"/>
      <c r="N58" s="2748"/>
      <c r="O58" s="2748"/>
      <c r="P58" s="2773"/>
      <c r="Q58" s="2740"/>
      <c r="R58" s="2741"/>
      <c r="S58" s="2741"/>
      <c r="T58" s="2741"/>
      <c r="U58" s="2741"/>
      <c r="V58" s="2741"/>
      <c r="W58" s="2741"/>
      <c r="X58" s="2741"/>
      <c r="Y58" s="2741"/>
      <c r="Z58" s="2741"/>
      <c r="AA58" s="2741"/>
      <c r="AB58" s="2741"/>
      <c r="AC58" s="2741"/>
      <c r="AD58" s="2741"/>
    </row>
    <row r="59" spans="1:30" s="419" customFormat="1" ht="15.75" thickTop="1">
      <c r="A59" s="499"/>
      <c r="B59" s="484">
        <f>B13</f>
        <v>111</v>
      </c>
      <c r="C59" s="495"/>
      <c r="D59" s="495"/>
      <c r="E59" s="495"/>
      <c r="F59" s="495"/>
      <c r="G59" s="500"/>
      <c r="H59" s="501"/>
      <c r="I59" s="501"/>
      <c r="J59" s="501"/>
      <c r="K59" s="501"/>
      <c r="L59" s="502"/>
      <c r="M59" s="503"/>
      <c r="N59" s="2749"/>
      <c r="O59" s="2749"/>
      <c r="P59" s="2717"/>
      <c r="Q59" s="2743"/>
      <c r="R59" s="2741"/>
      <c r="S59" s="2741"/>
      <c r="T59" s="2741"/>
      <c r="U59" s="2741"/>
      <c r="V59" s="2741"/>
      <c r="W59" s="2741"/>
      <c r="X59" s="2741"/>
      <c r="Y59" s="2741"/>
      <c r="Z59" s="2741"/>
      <c r="AA59" s="2741"/>
      <c r="AB59" s="2741"/>
      <c r="AC59" s="2741"/>
      <c r="AD59" s="2741"/>
    </row>
    <row r="60" spans="1:30" s="419" customFormat="1" ht="15.75" thickBot="1">
      <c r="A60" s="499"/>
      <c r="B60" s="489"/>
      <c r="C60" s="506"/>
      <c r="D60" s="506"/>
      <c r="E60" s="506"/>
      <c r="F60" s="506"/>
      <c r="G60" s="506"/>
      <c r="H60" s="508"/>
      <c r="I60" s="508"/>
      <c r="J60" s="508"/>
      <c r="K60" s="508"/>
      <c r="L60" s="508"/>
      <c r="M60" s="509"/>
      <c r="N60" s="2749"/>
      <c r="O60" s="2749"/>
      <c r="P60" s="2773"/>
      <c r="Q60" s="2740"/>
      <c r="R60" s="2741"/>
      <c r="S60" s="2741"/>
      <c r="T60" s="2741"/>
      <c r="U60" s="2741"/>
      <c r="V60" s="2741"/>
      <c r="W60" s="2741"/>
      <c r="X60" s="2741"/>
      <c r="Y60" s="2741"/>
      <c r="Z60" s="2741"/>
      <c r="AA60" s="2741"/>
      <c r="AB60" s="2741"/>
      <c r="AC60" s="2741"/>
      <c r="AD60" s="274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7"/>
      <c r="O61" s="2747"/>
      <c r="P61" s="2774"/>
      <c r="Q61" s="2733"/>
      <c r="R61" s="2719"/>
      <c r="S61" s="2719"/>
      <c r="T61" s="2719"/>
      <c r="U61" s="2719"/>
      <c r="V61" s="2719"/>
      <c r="W61" s="2719"/>
      <c r="X61" s="2719"/>
      <c r="Y61" s="2719"/>
      <c r="Z61" s="2719"/>
      <c r="AA61" s="2719"/>
      <c r="AB61" s="2719"/>
      <c r="AC61" s="2719"/>
      <c r="AD61" s="2719"/>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8"/>
      <c r="O62" s="2748"/>
      <c r="P62" s="2772"/>
      <c r="Q62" s="2733"/>
      <c r="R62" s="2719"/>
      <c r="S62" s="2719"/>
      <c r="T62" s="2719"/>
      <c r="U62" s="2719"/>
      <c r="V62" s="2719"/>
      <c r="W62" s="2719"/>
      <c r="X62" s="2719"/>
      <c r="Y62" s="2719"/>
      <c r="Z62" s="2719"/>
      <c r="AA62" s="2719"/>
      <c r="AB62" s="2719"/>
      <c r="AC62" s="2719"/>
      <c r="AD62" s="2719"/>
    </row>
    <row r="63" spans="1:30" ht="27.75" thickTop="1">
      <c r="A63" s="480"/>
      <c r="B63" s="484" t="s">
        <v>1863</v>
      </c>
      <c r="C63" s="524" t="s">
        <v>1721</v>
      </c>
      <c r="D63" s="524" t="s">
        <v>1722</v>
      </c>
      <c r="E63" s="524" t="s">
        <v>1723</v>
      </c>
      <c r="F63" s="524" t="s">
        <v>1724</v>
      </c>
      <c r="G63" s="524" t="s">
        <v>1725</v>
      </c>
      <c r="H63" s="485"/>
      <c r="I63" s="485"/>
      <c r="J63" s="485"/>
      <c r="K63" s="486"/>
      <c r="L63" s="487"/>
      <c r="M63" s="488"/>
      <c r="N63" s="2747"/>
      <c r="O63" s="2747"/>
      <c r="P63" s="2772"/>
      <c r="Q63" s="2733"/>
      <c r="R63" s="2719"/>
      <c r="S63" s="2719"/>
      <c r="T63" s="2719"/>
      <c r="U63" s="2719"/>
      <c r="V63" s="2719"/>
      <c r="W63" s="2719"/>
      <c r="X63" s="2719"/>
      <c r="Y63" s="2719"/>
      <c r="Z63" s="2719"/>
      <c r="AA63" s="2719"/>
      <c r="AB63" s="2719"/>
      <c r="AC63" s="2719"/>
      <c r="AD63" s="2719"/>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8"/>
      <c r="O64" s="2748"/>
      <c r="P64" s="2772"/>
      <c r="Q64" s="2733"/>
      <c r="R64" s="2719"/>
      <c r="S64" s="2719"/>
      <c r="T64" s="2719"/>
      <c r="U64" s="2719"/>
      <c r="V64" s="2719"/>
      <c r="W64" s="2719"/>
      <c r="X64" s="2719"/>
      <c r="Y64" s="2719"/>
      <c r="Z64" s="2719"/>
      <c r="AA64" s="2719"/>
      <c r="AB64" s="2719"/>
      <c r="AC64" s="2719"/>
      <c r="AD64" s="2719"/>
    </row>
    <row r="65" spans="1:30" ht="15.75" thickTop="1">
      <c r="A65" s="480"/>
      <c r="B65" s="492" t="s">
        <v>1813</v>
      </c>
      <c r="C65" s="605" t="s">
        <v>1799</v>
      </c>
      <c r="D65" s="605" t="s">
        <v>1800</v>
      </c>
      <c r="E65" s="605" t="s">
        <v>1801</v>
      </c>
      <c r="F65" s="605" t="s">
        <v>1802</v>
      </c>
      <c r="G65" s="605" t="s">
        <v>1803</v>
      </c>
      <c r="H65" s="485"/>
      <c r="I65" s="485"/>
      <c r="J65" s="485"/>
      <c r="K65" s="485"/>
      <c r="L65" s="485"/>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8"/>
      <c r="O66" s="2748"/>
      <c r="P66" s="2772"/>
      <c r="Q66" s="2733"/>
      <c r="R66" s="2719"/>
      <c r="S66" s="2719"/>
      <c r="T66" s="2719"/>
      <c r="U66" s="2719"/>
      <c r="V66" s="2719"/>
      <c r="W66" s="2719"/>
      <c r="X66" s="2719"/>
      <c r="Y66" s="2719"/>
      <c r="Z66" s="2719"/>
      <c r="AA66" s="2719"/>
      <c r="AB66" s="2719"/>
      <c r="AC66" s="2719"/>
      <c r="AD66" s="2719"/>
    </row>
    <row r="67" spans="1:30" ht="15.75" thickTop="1">
      <c r="A67" s="480"/>
      <c r="B67" s="484" t="s">
        <v>1733</v>
      </c>
      <c r="C67" s="524" t="s">
        <v>1721</v>
      </c>
      <c r="D67" s="524" t="s">
        <v>1722</v>
      </c>
      <c r="E67" s="524" t="s">
        <v>1723</v>
      </c>
      <c r="F67" s="524" t="s">
        <v>1724</v>
      </c>
      <c r="G67" s="524" t="s">
        <v>1725</v>
      </c>
      <c r="H67" s="485"/>
      <c r="I67" s="485"/>
      <c r="J67" s="485"/>
      <c r="K67" s="486"/>
      <c r="L67" s="487"/>
      <c r="M67" s="488"/>
      <c r="N67" s="2747"/>
      <c r="O67" s="2747"/>
      <c r="P67" s="2772"/>
      <c r="Q67" s="2733"/>
      <c r="R67" s="2719"/>
      <c r="S67" s="2719"/>
      <c r="T67" s="2719"/>
      <c r="U67" s="2719"/>
      <c r="V67" s="2719"/>
      <c r="W67" s="2719"/>
      <c r="X67" s="2719"/>
      <c r="Y67" s="2719"/>
      <c r="Z67" s="2719"/>
      <c r="AA67" s="2719"/>
      <c r="AB67" s="2719"/>
      <c r="AC67" s="2719"/>
      <c r="AD67" s="2719"/>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8"/>
      <c r="O68" s="2748"/>
      <c r="P68" s="2772"/>
      <c r="Q68" s="2733"/>
      <c r="R68" s="2719"/>
      <c r="S68" s="2719"/>
      <c r="T68" s="2719"/>
      <c r="U68" s="2719"/>
      <c r="V68" s="2719"/>
      <c r="W68" s="2719"/>
      <c r="X68" s="2719"/>
      <c r="Y68" s="2719"/>
      <c r="Z68" s="2719"/>
      <c r="AA68" s="2719"/>
      <c r="AB68" s="2719"/>
      <c r="AC68" s="2719"/>
      <c r="AD68" s="2719"/>
    </row>
    <row r="69" spans="1:30" ht="15.75" thickTop="1">
      <c r="A69" s="480"/>
      <c r="B69" s="484" t="s">
        <v>1852</v>
      </c>
      <c r="C69" s="500"/>
      <c r="D69" s="500"/>
      <c r="E69" s="500"/>
      <c r="F69" s="500"/>
      <c r="G69" s="500"/>
      <c r="H69" s="529"/>
      <c r="I69" s="529"/>
      <c r="J69" s="529"/>
      <c r="K69" s="530"/>
      <c r="L69" s="531"/>
      <c r="M69" s="532"/>
      <c r="N69" s="2747"/>
      <c r="O69" s="2747"/>
      <c r="P69" s="2772"/>
      <c r="Q69" s="2733"/>
      <c r="R69" s="2719"/>
      <c r="S69" s="2719"/>
      <c r="T69" s="2719"/>
      <c r="U69" s="2719"/>
      <c r="V69" s="2719"/>
      <c r="W69" s="2719"/>
      <c r="X69" s="2719"/>
      <c r="Y69" s="2719"/>
      <c r="Z69" s="2719"/>
      <c r="AA69" s="2719"/>
      <c r="AB69" s="2719"/>
      <c r="AC69" s="2719"/>
      <c r="AD69" s="2719"/>
    </row>
    <row r="70" spans="1:30" ht="15.75" thickBot="1">
      <c r="A70" s="480"/>
      <c r="B70" s="489"/>
      <c r="C70" s="490">
        <v>100</v>
      </c>
      <c r="D70" s="490">
        <f>C70-$K22</f>
        <v>100</v>
      </c>
      <c r="E70" s="490"/>
      <c r="F70" s="490"/>
      <c r="G70" s="490"/>
      <c r="H70" s="490"/>
      <c r="I70" s="490"/>
      <c r="J70" s="490"/>
      <c r="K70" s="490"/>
      <c r="L70" s="490"/>
      <c r="M70" s="491"/>
      <c r="N70" s="2748"/>
      <c r="O70" s="2748"/>
      <c r="P70" s="2772"/>
      <c r="Q70" s="2733"/>
      <c r="R70" s="2719"/>
      <c r="S70" s="2719"/>
      <c r="T70" s="2719"/>
      <c r="U70" s="2719"/>
      <c r="V70" s="2719"/>
      <c r="W70" s="2719"/>
      <c r="X70" s="2719"/>
      <c r="Y70" s="2719"/>
      <c r="Z70" s="2719"/>
      <c r="AA70" s="2719"/>
      <c r="AB70" s="2719"/>
      <c r="AC70" s="2719"/>
      <c r="AD70" s="2719"/>
    </row>
    <row r="71" spans="1:30" s="105" customFormat="1" ht="15.75" thickTop="1">
      <c r="A71" s="525"/>
      <c r="B71" s="484">
        <f>B23</f>
        <v>111</v>
      </c>
      <c r="C71" s="495"/>
      <c r="D71" s="495"/>
      <c r="E71" s="495"/>
      <c r="F71" s="495"/>
      <c r="G71" s="500"/>
      <c r="H71" s="500"/>
      <c r="I71" s="500"/>
      <c r="J71" s="500"/>
      <c r="K71" s="500"/>
      <c r="L71" s="526"/>
      <c r="M71" s="527"/>
      <c r="N71" s="2746"/>
      <c r="O71" s="2746"/>
      <c r="P71" s="2772"/>
      <c r="Q71" s="2733"/>
      <c r="R71" s="2655"/>
      <c r="S71" s="2655"/>
      <c r="T71" s="2655"/>
      <c r="U71" s="2655"/>
      <c r="V71" s="2655"/>
      <c r="W71" s="2655"/>
      <c r="X71" s="2655"/>
      <c r="Y71" s="2655"/>
      <c r="Z71" s="2655"/>
      <c r="AA71" s="2655"/>
      <c r="AB71" s="2655"/>
      <c r="AC71" s="2655"/>
      <c r="AD71" s="2655"/>
    </row>
    <row r="72" spans="1:30" s="105" customFormat="1" ht="15.75" thickBot="1">
      <c r="A72" s="525"/>
      <c r="B72" s="489"/>
      <c r="C72" s="506"/>
      <c r="D72" s="482"/>
      <c r="E72" s="482"/>
      <c r="F72" s="482"/>
      <c r="G72" s="482"/>
      <c r="H72" s="482"/>
      <c r="I72" s="482"/>
      <c r="J72" s="482"/>
      <c r="K72" s="482"/>
      <c r="L72" s="482"/>
      <c r="M72" s="483"/>
      <c r="N72" s="2748"/>
      <c r="O72" s="2748"/>
      <c r="P72" s="2772"/>
      <c r="Q72" s="2733"/>
      <c r="R72" s="2655"/>
      <c r="S72" s="2655"/>
      <c r="T72" s="2655"/>
      <c r="U72" s="2655"/>
      <c r="V72" s="2655"/>
      <c r="W72" s="2655"/>
      <c r="X72" s="2655"/>
      <c r="Y72" s="2655"/>
      <c r="Z72" s="2655"/>
      <c r="AA72" s="2655"/>
      <c r="AB72" s="2655"/>
      <c r="AC72" s="2655"/>
      <c r="AD72" s="2655"/>
    </row>
    <row r="73" spans="1:30" s="105" customFormat="1" ht="15.75" thickTop="1">
      <c r="A73" s="525"/>
      <c r="B73" s="484">
        <f>B24</f>
        <v>111</v>
      </c>
      <c r="C73" s="495"/>
      <c r="D73" s="495"/>
      <c r="E73" s="495"/>
      <c r="F73" s="495"/>
      <c r="G73" s="500"/>
      <c r="H73" s="500"/>
      <c r="I73" s="500"/>
      <c r="J73" s="500"/>
      <c r="K73" s="500"/>
      <c r="L73" s="500"/>
      <c r="M73" s="527"/>
      <c r="N73" s="2746"/>
      <c r="O73" s="2746"/>
      <c r="P73" s="2772"/>
      <c r="Q73" s="2733"/>
      <c r="R73" s="2655"/>
      <c r="S73" s="2655"/>
      <c r="T73" s="2655"/>
      <c r="U73" s="2655"/>
      <c r="V73" s="2655"/>
      <c r="W73" s="2655"/>
      <c r="X73" s="2655"/>
      <c r="Y73" s="2655"/>
      <c r="Z73" s="2655"/>
      <c r="AA73" s="2655"/>
      <c r="AB73" s="2655"/>
      <c r="AC73" s="2655"/>
      <c r="AD73" s="2655"/>
    </row>
    <row r="74" spans="1:30" s="105" customFormat="1" ht="15.75" thickBot="1">
      <c r="A74" s="525"/>
      <c r="B74" s="489"/>
      <c r="C74" s="506"/>
      <c r="D74" s="482"/>
      <c r="E74" s="482"/>
      <c r="F74" s="482"/>
      <c r="G74" s="482"/>
      <c r="H74" s="482"/>
      <c r="I74" s="482"/>
      <c r="J74" s="482"/>
      <c r="K74" s="482"/>
      <c r="L74" s="482"/>
      <c r="M74" s="483"/>
      <c r="N74" s="2748"/>
      <c r="O74" s="2748"/>
      <c r="P74" s="2772"/>
      <c r="Q74" s="2733"/>
      <c r="R74" s="2655"/>
      <c r="S74" s="2655"/>
      <c r="T74" s="2655"/>
      <c r="U74" s="2655"/>
      <c r="V74" s="2655"/>
      <c r="W74" s="2655"/>
      <c r="X74" s="2655"/>
      <c r="Y74" s="2655"/>
      <c r="Z74" s="2655"/>
      <c r="AA74" s="2655"/>
      <c r="AB74" s="2655"/>
      <c r="AC74" s="2655"/>
      <c r="AD74" s="2655"/>
    </row>
    <row r="75" spans="1:30" s="419" customFormat="1" ht="15.75" thickTop="1">
      <c r="A75" s="499"/>
      <c r="B75" s="484">
        <f>B25</f>
        <v>111</v>
      </c>
      <c r="C75" s="495"/>
      <c r="D75" s="495"/>
      <c r="E75" s="495"/>
      <c r="F75" s="495"/>
      <c r="G75" s="500"/>
      <c r="H75" s="501"/>
      <c r="I75" s="501"/>
      <c r="J75" s="501"/>
      <c r="K75" s="501"/>
      <c r="L75" s="502"/>
      <c r="M75" s="503"/>
      <c r="N75" s="2749"/>
      <c r="O75" s="2749"/>
      <c r="P75" s="2773"/>
      <c r="Q75" s="2740"/>
      <c r="R75" s="2741"/>
      <c r="S75" s="2741"/>
      <c r="T75" s="2741"/>
      <c r="U75" s="2741"/>
      <c r="V75" s="2741"/>
      <c r="W75" s="2741"/>
      <c r="X75" s="2741"/>
      <c r="Y75" s="2741"/>
      <c r="Z75" s="2741"/>
      <c r="AA75" s="2741"/>
      <c r="AB75" s="2741"/>
      <c r="AC75" s="2741"/>
      <c r="AD75" s="2741"/>
    </row>
    <row r="76" spans="1:30" s="419" customFormat="1" ht="15.75" thickBot="1">
      <c r="A76" s="499"/>
      <c r="B76" s="489"/>
      <c r="C76" s="506"/>
      <c r="D76" s="506"/>
      <c r="E76" s="506"/>
      <c r="F76" s="506"/>
      <c r="G76" s="482"/>
      <c r="H76" s="482"/>
      <c r="I76" s="482"/>
      <c r="J76" s="482"/>
      <c r="K76" s="482"/>
      <c r="L76" s="482"/>
      <c r="M76" s="483"/>
      <c r="N76" s="2749"/>
      <c r="O76" s="2749"/>
      <c r="P76" s="2773"/>
      <c r="Q76" s="2740"/>
      <c r="R76" s="2741"/>
      <c r="S76" s="2741"/>
      <c r="T76" s="2741"/>
      <c r="U76" s="2741"/>
      <c r="V76" s="2741"/>
      <c r="W76" s="2741"/>
      <c r="X76" s="2741"/>
      <c r="Y76" s="2741"/>
      <c r="Z76" s="2741"/>
      <c r="AA76" s="2741"/>
      <c r="AB76" s="2741"/>
      <c r="AC76" s="2741"/>
      <c r="AD76" s="2741"/>
    </row>
    <row r="77" spans="1:30" ht="15" thickTop="1">
      <c r="A77" s="473" t="s">
        <v>1694</v>
      </c>
      <c r="B77" s="474" t="s">
        <v>1740</v>
      </c>
      <c r="C77" s="500"/>
      <c r="D77" s="500"/>
      <c r="E77" s="476"/>
      <c r="F77" s="476"/>
      <c r="G77" s="476"/>
      <c r="H77" s="476"/>
      <c r="I77" s="476"/>
      <c r="J77" s="476"/>
      <c r="K77" s="477"/>
      <c r="L77" s="478"/>
      <c r="M77" s="479"/>
      <c r="N77" s="2747"/>
      <c r="O77" s="2747"/>
      <c r="P77" s="2772"/>
      <c r="Q77" s="2733"/>
      <c r="R77" s="2719"/>
      <c r="S77" s="2719"/>
      <c r="T77" s="2719"/>
      <c r="U77" s="2719"/>
      <c r="V77" s="2719"/>
      <c r="W77" s="2719"/>
      <c r="X77" s="2719"/>
      <c r="Y77" s="2719"/>
      <c r="Z77" s="2719"/>
      <c r="AA77" s="2719"/>
      <c r="AB77" s="2719"/>
      <c r="AC77" s="2719"/>
      <c r="AD77" s="2719"/>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6"/>
      <c r="O79" s="2746"/>
      <c r="P79" s="2772"/>
      <c r="Q79" s="2733"/>
      <c r="R79" s="2719"/>
      <c r="S79" s="2719"/>
      <c r="T79" s="2719"/>
      <c r="U79" s="2719"/>
      <c r="V79" s="2719"/>
      <c r="W79" s="2719"/>
      <c r="X79" s="2719"/>
      <c r="Y79" s="2719"/>
      <c r="Z79" s="2719"/>
      <c r="AA79" s="2719"/>
      <c r="AB79" s="2719"/>
      <c r="AC79" s="2719"/>
      <c r="AD79" s="2719"/>
    </row>
    <row r="80" spans="1:30" ht="15">
      <c r="A80" s="480"/>
      <c r="B80" s="492"/>
      <c r="C80" s="549">
        <v>0.5</v>
      </c>
      <c r="D80" s="549">
        <v>0.6</v>
      </c>
      <c r="E80" s="549">
        <v>0.7</v>
      </c>
      <c r="F80" s="549">
        <v>0.8</v>
      </c>
      <c r="G80" s="549">
        <v>0.9</v>
      </c>
      <c r="H80" s="549">
        <v>1.0001</v>
      </c>
      <c r="I80" s="605"/>
      <c r="J80" s="605"/>
      <c r="K80" s="613"/>
      <c r="L80" s="614"/>
      <c r="M80" s="615"/>
      <c r="N80" s="2746"/>
      <c r="O80" s="2746"/>
      <c r="P80" s="2772"/>
      <c r="Q80" s="2733"/>
      <c r="R80" s="2719"/>
      <c r="S80" s="2719"/>
      <c r="T80" s="2719"/>
      <c r="U80" s="2719"/>
      <c r="V80" s="2719"/>
      <c r="W80" s="2719"/>
      <c r="X80" s="2719"/>
      <c r="Y80" s="2719"/>
      <c r="Z80" s="2719"/>
      <c r="AA80" s="2719"/>
      <c r="AB80" s="2719"/>
      <c r="AC80" s="2719"/>
      <c r="AD80" s="2719"/>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5"/>
      <c r="B82" s="492" t="s">
        <v>1856</v>
      </c>
      <c r="C82" s="500"/>
      <c r="D82" s="500"/>
      <c r="E82" s="529"/>
      <c r="F82" s="529"/>
      <c r="G82" s="529"/>
      <c r="H82" s="529"/>
      <c r="I82" s="529"/>
      <c r="J82" s="529"/>
      <c r="K82" s="530"/>
      <c r="L82" s="531"/>
      <c r="M82" s="532"/>
      <c r="N82" s="2747"/>
      <c r="O82" s="2747"/>
      <c r="P82" s="2772"/>
      <c r="Q82" s="2733"/>
      <c r="R82" s="2719"/>
      <c r="S82" s="2719"/>
      <c r="T82" s="2719"/>
      <c r="U82" s="2719"/>
      <c r="V82" s="2719"/>
      <c r="W82" s="2719"/>
      <c r="X82" s="2719"/>
      <c r="Y82" s="2719"/>
      <c r="Z82" s="2719"/>
      <c r="AA82" s="2719"/>
      <c r="AB82" s="2719"/>
      <c r="AC82" s="2719"/>
      <c r="AD82" s="2719"/>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5"/>
      <c r="B84" s="484" t="s">
        <v>1864</v>
      </c>
      <c r="C84" s="500"/>
      <c r="D84" s="500"/>
      <c r="E84" s="500"/>
      <c r="F84" s="500"/>
      <c r="G84" s="500"/>
      <c r="H84" s="500"/>
      <c r="I84" s="529"/>
      <c r="J84" s="529"/>
      <c r="K84" s="530"/>
      <c r="L84" s="531"/>
      <c r="M84" s="532"/>
      <c r="N84" s="2747"/>
      <c r="O84" s="2747"/>
      <c r="P84" s="2772"/>
      <c r="Q84" s="2733"/>
      <c r="R84" s="2719"/>
      <c r="S84" s="2719"/>
      <c r="T84" s="2719"/>
      <c r="U84" s="2719"/>
      <c r="V84" s="2719"/>
      <c r="W84" s="2719"/>
      <c r="X84" s="2719"/>
      <c r="Y84" s="2719"/>
      <c r="Z84" s="2719"/>
      <c r="AA84" s="2719"/>
      <c r="AB84" s="2719"/>
      <c r="AC84" s="2719"/>
      <c r="AD84" s="2719"/>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5"/>
      <c r="B87" s="492"/>
      <c r="C87" s="541"/>
      <c r="D87" s="541"/>
      <c r="E87" s="541"/>
      <c r="F87" s="541"/>
      <c r="G87" s="541"/>
      <c r="H87" s="541"/>
      <c r="I87" s="541"/>
      <c r="J87" s="542"/>
      <c r="K87" s="542"/>
      <c r="L87" s="543"/>
      <c r="M87" s="544"/>
      <c r="N87" s="2747"/>
      <c r="O87" s="2747"/>
      <c r="P87" s="2772"/>
      <c r="Q87" s="2733"/>
      <c r="R87" s="2719"/>
      <c r="S87" s="2719"/>
      <c r="T87" s="2719"/>
      <c r="U87" s="2719"/>
      <c r="V87" s="2719"/>
      <c r="W87" s="2719"/>
      <c r="X87" s="2719"/>
      <c r="Y87" s="2719"/>
      <c r="Z87" s="2719"/>
      <c r="AA87" s="2719"/>
      <c r="AB87" s="2719"/>
      <c r="AC87" s="2719"/>
      <c r="AD87" s="2719"/>
    </row>
    <row r="88" spans="1:30" ht="15.75" thickBot="1">
      <c r="A88" s="480"/>
      <c r="B88" s="489"/>
      <c r="C88" s="506"/>
      <c r="D88" s="482"/>
      <c r="E88" s="482"/>
      <c r="F88" s="482"/>
      <c r="G88" s="482"/>
      <c r="H88" s="482"/>
      <c r="I88" s="482"/>
      <c r="J88" s="482"/>
      <c r="K88" s="482"/>
      <c r="L88" s="482"/>
      <c r="M88" s="482"/>
      <c r="N88" s="2748"/>
      <c r="O88" s="2748"/>
      <c r="P88" s="2772"/>
      <c r="Q88" s="2733"/>
      <c r="R88" s="2719"/>
      <c r="S88" s="2719"/>
      <c r="T88" s="2719"/>
      <c r="U88" s="2719"/>
      <c r="V88" s="2719"/>
      <c r="W88" s="2719"/>
      <c r="X88" s="2719"/>
      <c r="Y88" s="2719"/>
      <c r="Z88" s="2719"/>
      <c r="AA88" s="2719"/>
      <c r="AB88" s="2719"/>
      <c r="AC88" s="2719"/>
      <c r="AD88" s="2719"/>
    </row>
    <row r="89" spans="1:30" s="419" customFormat="1" ht="15" thickTop="1">
      <c r="A89" s="539"/>
      <c r="B89" s="484" t="s">
        <v>1866</v>
      </c>
      <c r="C89" s="500"/>
      <c r="D89" s="500"/>
      <c r="E89" s="500"/>
      <c r="F89" s="500"/>
      <c r="G89" s="500"/>
      <c r="H89" s="500"/>
      <c r="I89" s="500"/>
      <c r="J89" s="500"/>
      <c r="K89" s="500"/>
      <c r="L89" s="500"/>
      <c r="M89" s="527"/>
      <c r="N89" s="2749"/>
      <c r="O89" s="2749"/>
      <c r="P89" s="2773"/>
      <c r="Q89" s="2740"/>
      <c r="R89" s="2741"/>
      <c r="S89" s="2741"/>
      <c r="T89" s="2741"/>
      <c r="U89" s="2741"/>
      <c r="V89" s="2741"/>
      <c r="W89" s="2741"/>
      <c r="X89" s="2741"/>
      <c r="Y89" s="2741"/>
      <c r="Z89" s="2741"/>
      <c r="AA89" s="2741"/>
      <c r="AB89" s="2741"/>
      <c r="AC89" s="2741"/>
      <c r="AD89" s="2741"/>
    </row>
    <row r="90" spans="1:30" s="419" customFormat="1" ht="15.75" thickBot="1">
      <c r="A90" s="499"/>
      <c r="B90" s="489"/>
      <c r="C90" s="506"/>
      <c r="D90" s="482"/>
      <c r="E90" s="482"/>
      <c r="F90" s="482"/>
      <c r="G90" s="482"/>
      <c r="H90" s="482"/>
      <c r="I90" s="482"/>
      <c r="J90" s="482"/>
      <c r="K90" s="482"/>
      <c r="L90" s="482"/>
      <c r="M90" s="483"/>
      <c r="N90" s="2749"/>
      <c r="O90" s="2749"/>
      <c r="P90" s="2773"/>
      <c r="Q90" s="2740"/>
      <c r="R90" s="2741"/>
      <c r="S90" s="2741"/>
      <c r="T90" s="2741"/>
      <c r="U90" s="2741"/>
      <c r="V90" s="2741"/>
      <c r="W90" s="2741"/>
      <c r="X90" s="2741"/>
      <c r="Y90" s="2741"/>
      <c r="Z90" s="2741"/>
      <c r="AA90" s="2741"/>
      <c r="AB90" s="2741"/>
      <c r="AC90" s="2741"/>
      <c r="AD90" s="2741"/>
    </row>
    <row r="91" spans="1:30" ht="15" thickTop="1">
      <c r="A91" s="545"/>
      <c r="B91" s="484">
        <f>B32</f>
        <v>111</v>
      </c>
      <c r="C91" s="495"/>
      <c r="D91" s="495"/>
      <c r="E91" s="495"/>
      <c r="F91" s="495"/>
      <c r="G91" s="500"/>
      <c r="H91" s="501"/>
      <c r="I91" s="501"/>
      <c r="J91" s="501"/>
      <c r="K91" s="501"/>
      <c r="L91" s="502"/>
      <c r="M91" s="503"/>
      <c r="N91" s="2747"/>
      <c r="O91" s="2747"/>
      <c r="P91" s="2772"/>
      <c r="Q91" s="2733"/>
      <c r="R91" s="2719"/>
      <c r="S91" s="2719"/>
      <c r="T91" s="2719"/>
      <c r="U91" s="2719"/>
      <c r="V91" s="2719"/>
      <c r="W91" s="2719"/>
      <c r="X91" s="2719"/>
      <c r="Y91" s="2719"/>
      <c r="Z91" s="2719"/>
      <c r="AA91" s="2719"/>
      <c r="AB91" s="2719"/>
      <c r="AC91" s="2719"/>
      <c r="AD91" s="2719"/>
    </row>
    <row r="92" spans="1:30" ht="15.75" thickBot="1">
      <c r="A92" s="480"/>
      <c r="B92" s="489"/>
      <c r="C92" s="506"/>
      <c r="D92" s="482"/>
      <c r="E92" s="482"/>
      <c r="F92" s="482"/>
      <c r="G92" s="506"/>
      <c r="H92" s="508"/>
      <c r="I92" s="508"/>
      <c r="J92" s="508"/>
      <c r="K92" s="508"/>
      <c r="L92" s="508"/>
      <c r="M92" s="509"/>
      <c r="N92" s="2748"/>
      <c r="O92" s="2748"/>
      <c r="P92" s="2772"/>
      <c r="Q92" s="2733"/>
      <c r="R92" s="2719"/>
      <c r="S92" s="2719"/>
      <c r="T92" s="2719"/>
      <c r="U92" s="2719"/>
      <c r="V92" s="2719"/>
      <c r="W92" s="2719"/>
      <c r="X92" s="2719"/>
      <c r="Y92" s="2719"/>
      <c r="Z92" s="2719"/>
      <c r="AA92" s="2719"/>
      <c r="AB92" s="2719"/>
      <c r="AC92" s="2719"/>
      <c r="AD92" s="2719"/>
    </row>
    <row r="93" spans="1:30" ht="15" thickTop="1">
      <c r="A93" s="545"/>
      <c r="B93" s="484">
        <f>B33</f>
        <v>111</v>
      </c>
      <c r="C93" s="495"/>
      <c r="D93" s="495"/>
      <c r="E93" s="495"/>
      <c r="F93" s="495"/>
      <c r="G93" s="500"/>
      <c r="H93" s="501"/>
      <c r="I93" s="501"/>
      <c r="J93" s="501"/>
      <c r="K93" s="501"/>
      <c r="L93" s="502"/>
      <c r="M93" s="503"/>
      <c r="N93" s="2747"/>
      <c r="O93" s="2747"/>
      <c r="P93" s="2772"/>
      <c r="Q93" s="2733"/>
      <c r="R93" s="2719"/>
      <c r="S93" s="2719"/>
      <c r="T93" s="2719"/>
      <c r="U93" s="2719"/>
      <c r="V93" s="2719"/>
      <c r="W93" s="2719"/>
      <c r="X93" s="2719"/>
      <c r="Y93" s="2719"/>
      <c r="Z93" s="2719"/>
      <c r="AA93" s="2719"/>
      <c r="AB93" s="2719"/>
      <c r="AC93" s="2719"/>
      <c r="AD93" s="2719"/>
    </row>
    <row r="94" spans="1:30" ht="15.75" thickBot="1">
      <c r="A94" s="480"/>
      <c r="B94" s="489"/>
      <c r="C94" s="506"/>
      <c r="D94" s="482"/>
      <c r="E94" s="482"/>
      <c r="F94" s="482"/>
      <c r="G94" s="506"/>
      <c r="H94" s="508"/>
      <c r="I94" s="508"/>
      <c r="J94" s="508"/>
      <c r="K94" s="508"/>
      <c r="L94" s="508"/>
      <c r="M94" s="509"/>
      <c r="N94" s="2748"/>
      <c r="O94" s="2748"/>
      <c r="P94" s="2772"/>
      <c r="Q94" s="2733"/>
      <c r="R94" s="2719"/>
      <c r="S94" s="2719"/>
      <c r="T94" s="2719"/>
      <c r="U94" s="2719"/>
      <c r="V94" s="2719"/>
      <c r="W94" s="2719"/>
      <c r="X94" s="2719"/>
      <c r="Y94" s="2719"/>
      <c r="Z94" s="2719"/>
      <c r="AA94" s="2719"/>
      <c r="AB94" s="2719"/>
      <c r="AC94" s="2719"/>
      <c r="AD94" s="2719"/>
    </row>
    <row r="95" spans="1:30" ht="15" thickTop="1">
      <c r="A95" s="545"/>
      <c r="B95" s="581">
        <f>B34</f>
        <v>111</v>
      </c>
      <c r="C95" s="495"/>
      <c r="D95" s="495"/>
      <c r="E95" s="495"/>
      <c r="F95" s="495"/>
      <c r="G95" s="500"/>
      <c r="H95" s="501"/>
      <c r="I95" s="501"/>
      <c r="J95" s="501"/>
      <c r="K95" s="501"/>
      <c r="L95" s="502"/>
      <c r="M95" s="503"/>
      <c r="N95" s="2748"/>
      <c r="O95" s="2748"/>
      <c r="P95" s="2775"/>
      <c r="Q95" s="2762"/>
      <c r="R95" s="2719"/>
      <c r="S95" s="2719"/>
      <c r="T95" s="2719"/>
      <c r="U95" s="2719"/>
      <c r="V95" s="2719"/>
      <c r="W95" s="2719"/>
      <c r="X95" s="2719"/>
      <c r="Y95" s="2719"/>
      <c r="Z95" s="2719"/>
      <c r="AA95" s="2719"/>
      <c r="AB95" s="2719"/>
      <c r="AC95" s="2719"/>
      <c r="AD95" s="2719"/>
    </row>
    <row r="96" spans="1:30" ht="15.75" thickBot="1">
      <c r="A96" s="480"/>
      <c r="B96" s="489"/>
      <c r="C96" s="506"/>
      <c r="D96" s="506"/>
      <c r="E96" s="506"/>
      <c r="F96" s="506"/>
      <c r="G96" s="506"/>
      <c r="H96" s="508"/>
      <c r="I96" s="508"/>
      <c r="J96" s="508"/>
      <c r="K96" s="508"/>
      <c r="L96" s="508"/>
      <c r="M96" s="509"/>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23" priority="13" stopIfTrue="1">
      <formula>$F$40="超过30%"</formula>
    </cfRule>
  </conditionalFormatting>
  <conditionalFormatting sqref="E41">
    <cfRule type="expression" dxfId="122" priority="11" stopIfTrue="1">
      <formula>$F$41="超过20%"</formula>
    </cfRule>
  </conditionalFormatting>
  <conditionalFormatting sqref="E42">
    <cfRule type="expression" dxfId="121" priority="10" stopIfTrue="1">
      <formula>$F$42="超过30%"</formula>
    </cfRule>
  </conditionalFormatting>
  <conditionalFormatting sqref="F7:F34 H7:H34 J7:J34">
    <cfRule type="cellIs" dxfId="120" priority="1" operator="notEqual">
      <formula>100</formula>
    </cfRule>
  </conditionalFormatting>
  <conditionalFormatting sqref="F36">
    <cfRule type="expression" dxfId="119" priority="4">
      <formula>$D$36="简单平均"</formula>
    </cfRule>
  </conditionalFormatting>
  <conditionalFormatting sqref="F40:F42 H40:H42 J40:J42">
    <cfRule type="containsText" dxfId="118" priority="14" stopIfTrue="1" operator="containsText" text="超过">
      <formula>NOT(ISERROR(SEARCH("超过",F40)))</formula>
    </cfRule>
  </conditionalFormatting>
  <conditionalFormatting sqref="G40">
    <cfRule type="expression" dxfId="117" priority="9" stopIfTrue="1">
      <formula>$H$52+$H$40="超过30%"</formula>
    </cfRule>
  </conditionalFormatting>
  <conditionalFormatting sqref="G41">
    <cfRule type="expression" dxfId="116" priority="8" stopIfTrue="1">
      <formula>$H$53+$H$41="超过20%"</formula>
    </cfRule>
  </conditionalFormatting>
  <conditionalFormatting sqref="G42">
    <cfRule type="expression" dxfId="115" priority="12" stopIfTrue="1">
      <formula>$H$54+$H$42="超过30%"</formula>
    </cfRule>
  </conditionalFormatting>
  <conditionalFormatting sqref="H36">
    <cfRule type="expression" dxfId="114" priority="3">
      <formula>$D$36="简单平均"</formula>
    </cfRule>
  </conditionalFormatting>
  <conditionalFormatting sqref="I40">
    <cfRule type="expression" dxfId="113" priority="7" stopIfTrue="1">
      <formula>$J$40="超过30%"</formula>
    </cfRule>
  </conditionalFormatting>
  <conditionalFormatting sqref="I41">
    <cfRule type="expression" dxfId="112" priority="6" stopIfTrue="1">
      <formula>$J$41="超过20%"</formula>
    </cfRule>
  </conditionalFormatting>
  <conditionalFormatting sqref="I42">
    <cfRule type="expression" dxfId="111" priority="5" stopIfTrue="1">
      <formula>$J$42="超过30%"</formula>
    </cfRule>
  </conditionalFormatting>
  <conditionalFormatting sqref="J36">
    <cfRule type="expression" dxfId="110" priority="2">
      <formula>$D$36="简单平均"</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9 E19 G19 I19" xr:uid="{00000000-0002-0000-1B00-00000C000000}">
      <formula1>基础设施水平</formula1>
    </dataValidation>
    <dataValidation type="list" allowBlank="1" showInputMessage="1" showErrorMessage="1" sqref="F1" xr:uid="{00000000-0002-0000-1B00-00000D000000}">
      <formula1>"售价,租金"</formula1>
    </dataValidation>
    <dataValidation type="list" allowBlank="1" showInputMessage="1" showErrorMessage="1" sqref="C2" xr:uid="{00000000-0002-0000-1B00-00000E000000}">
      <formula1>"需扣减承租人权益,——"</formula1>
    </dataValidation>
    <dataValidation type="list" allowBlank="1" showInputMessage="1" showErrorMessage="1" sqref="F2" xr:uid="{00000000-0002-0000-1B00-00000F000000}">
      <formula1>估价方法</formula1>
    </dataValidation>
    <dataValidation type="list" allowBlank="1" showInputMessage="1" showErrorMessage="1" sqref="D36" xr:uid="{00000000-0002-0000-1B00-000010000000}">
      <formula1>"简单平均,加权平均"</formula1>
    </dataValidation>
    <dataValidation type="list" allowBlank="1" showInputMessage="1" showErrorMessage="1" sqref="E1" xr:uid="{00000000-0002-0000-1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8"/>
    </row>
    <row r="2" spans="1:30" s="349" customFormat="1" ht="28.5" customHeight="1">
      <c r="A2" s="198" t="s">
        <v>1462</v>
      </c>
      <c r="B2" s="616" t="e">
        <f>F65</f>
        <v>#DIV/0!</v>
      </c>
      <c r="C2" s="901"/>
      <c r="D2" s="901"/>
      <c r="E2" s="902"/>
      <c r="F2" s="903"/>
      <c r="G2" s="902"/>
      <c r="H2" s="902"/>
      <c r="I2" s="902"/>
      <c r="J2" s="902"/>
      <c r="K2" s="904"/>
      <c r="L2" s="2728"/>
      <c r="M2" s="2729"/>
      <c r="N2" s="2729"/>
      <c r="O2" s="2729"/>
      <c r="P2" s="696"/>
      <c r="Q2" s="696"/>
      <c r="R2" s="696"/>
      <c r="S2" s="696"/>
      <c r="T2" s="696"/>
      <c r="U2" s="696"/>
      <c r="V2" s="696"/>
      <c r="W2" s="696"/>
      <c r="X2" s="696"/>
      <c r="Y2" s="696"/>
      <c r="Z2" s="696"/>
      <c r="AA2" s="696"/>
      <c r="AB2" s="696"/>
      <c r="AC2" s="697"/>
      <c r="AD2" s="348"/>
    </row>
    <row r="3" spans="1:30" s="349" customFormat="1" ht="28.5" customHeight="1" thickBot="1">
      <c r="A3" s="200" t="s">
        <v>1464</v>
      </c>
      <c r="B3" s="555" t="e">
        <f>ROUND(IF(D3="",B2*10000/'数据-汇总表'!E3,B2*10000/D3),0)</f>
        <v>#DIV/0!</v>
      </c>
      <c r="C3" s="200" t="s">
        <v>1869</v>
      </c>
      <c r="D3" s="1187"/>
      <c r="E3" s="902"/>
      <c r="F3" s="903"/>
      <c r="G3" s="902"/>
      <c r="H3" s="902"/>
      <c r="I3" s="902"/>
      <c r="J3" s="902"/>
      <c r="K3" s="904"/>
      <c r="L3" s="2728"/>
      <c r="M3" s="2729"/>
      <c r="N3" s="2729"/>
      <c r="O3" s="2729"/>
      <c r="P3" s="696"/>
      <c r="Q3" s="696"/>
      <c r="R3" s="696"/>
      <c r="S3" s="696"/>
      <c r="T3" s="696"/>
      <c r="U3" s="696"/>
      <c r="V3" s="696"/>
      <c r="W3" s="696"/>
      <c r="X3" s="696"/>
      <c r="Y3" s="696"/>
      <c r="Z3" s="696"/>
      <c r="AA3" s="696"/>
      <c r="AB3" s="713"/>
      <c r="AC3" s="710"/>
    </row>
    <row r="4" spans="1:30" ht="15">
      <c r="A4" s="352" t="s">
        <v>1769</v>
      </c>
      <c r="B4" s="353"/>
      <c r="C4" s="3728" t="s">
        <v>1770</v>
      </c>
      <c r="D4" s="3729"/>
      <c r="E4" s="3730" t="s">
        <v>1771</v>
      </c>
      <c r="F4" s="3731"/>
      <c r="G4" s="3728" t="s">
        <v>1772</v>
      </c>
      <c r="H4" s="3729"/>
      <c r="I4" s="3728" t="s">
        <v>1773</v>
      </c>
      <c r="J4" s="3729"/>
      <c r="K4" s="556" t="s">
        <v>1774</v>
      </c>
      <c r="L4" s="2709"/>
      <c r="M4" s="2710"/>
      <c r="N4" s="2710"/>
      <c r="O4" s="2710"/>
      <c r="P4" s="3732" t="s">
        <v>1775</v>
      </c>
      <c r="Q4" s="3733"/>
      <c r="R4" s="3715" t="s">
        <v>1771</v>
      </c>
      <c r="S4" s="3716"/>
      <c r="T4" s="3715" t="s">
        <v>1772</v>
      </c>
      <c r="U4" s="3716"/>
      <c r="V4" s="3740" t="s">
        <v>1773</v>
      </c>
      <c r="W4" s="3740"/>
      <c r="X4" s="1349"/>
      <c r="Y4" s="3715" t="s">
        <v>1775</v>
      </c>
      <c r="Z4" s="3716"/>
      <c r="AA4" s="3710" t="s">
        <v>1771</v>
      </c>
      <c r="AB4" s="3711" t="s">
        <v>1772</v>
      </c>
      <c r="AC4" s="3710" t="s">
        <v>1773</v>
      </c>
    </row>
    <row r="5" spans="1:30" ht="15">
      <c r="A5" s="355"/>
      <c r="B5" s="356"/>
      <c r="C5" s="3721" t="s">
        <v>1673</v>
      </c>
      <c r="D5" s="3722"/>
      <c r="E5" s="3719" t="s">
        <v>1674</v>
      </c>
      <c r="F5" s="3720"/>
      <c r="G5" s="3721" t="s">
        <v>1675</v>
      </c>
      <c r="H5" s="3722"/>
      <c r="I5" s="3721" t="s">
        <v>1676</v>
      </c>
      <c r="J5" s="3722"/>
      <c r="K5" s="556"/>
      <c r="L5" s="2709"/>
      <c r="M5" s="2710"/>
      <c r="N5" s="2710"/>
      <c r="O5" s="2710"/>
      <c r="P5" s="3734"/>
      <c r="Q5" s="3735"/>
      <c r="R5" s="3717"/>
      <c r="S5" s="3718"/>
      <c r="T5" s="3717"/>
      <c r="U5" s="3718"/>
      <c r="V5" s="3740"/>
      <c r="W5" s="3740"/>
      <c r="X5" s="1349"/>
      <c r="Y5" s="3717"/>
      <c r="Z5" s="3718"/>
      <c r="AA5" s="3711"/>
      <c r="AB5" s="3711"/>
      <c r="AC5" s="3711"/>
    </row>
    <row r="6" spans="1:30" ht="15.75" thickBot="1">
      <c r="A6" s="357"/>
      <c r="B6" s="358"/>
      <c r="C6" s="3723" t="s">
        <v>1677</v>
      </c>
      <c r="D6" s="3724"/>
      <c r="E6" s="3725" t="s">
        <v>1677</v>
      </c>
      <c r="F6" s="3726"/>
      <c r="G6" s="3723" t="s">
        <v>1677</v>
      </c>
      <c r="H6" s="3724"/>
      <c r="I6" s="3723" t="s">
        <v>1677</v>
      </c>
      <c r="J6" s="3724"/>
      <c r="K6" s="556" t="s">
        <v>1678</v>
      </c>
      <c r="L6" s="2709"/>
      <c r="M6" s="2710"/>
      <c r="N6" s="2710"/>
      <c r="O6" s="2710"/>
      <c r="P6" s="3736"/>
      <c r="Q6" s="3737"/>
      <c r="R6" s="3717"/>
      <c r="S6" s="3718"/>
      <c r="T6" s="3738"/>
      <c r="U6" s="3739"/>
      <c r="V6" s="3740"/>
      <c r="W6" s="3740"/>
      <c r="X6" s="1349"/>
      <c r="Y6" s="3738"/>
      <c r="Z6" s="3739"/>
      <c r="AA6" s="3712"/>
      <c r="AB6" s="3712"/>
      <c r="AC6" s="3712"/>
    </row>
    <row r="7" spans="1:30" s="105" customFormat="1" ht="15.75" thickBot="1">
      <c r="A7" s="359" t="s">
        <v>1679</v>
      </c>
      <c r="B7" s="360"/>
      <c r="C7" s="361">
        <f>'数据-取费表'!B2</f>
        <v>45539</v>
      </c>
      <c r="D7" s="362">
        <v>100</v>
      </c>
      <c r="E7" s="363"/>
      <c r="F7" s="364">
        <f>SUMIF(69:69,YEAR(E7)&amp;"-"&amp;INT((MONTH(E7)+2)/3),70:70)</f>
        <v>0</v>
      </c>
      <c r="G7" s="1968"/>
      <c r="H7" s="362">
        <f>SUMIF(69:69,YEAR(G7)&amp;"-"&amp;INT((MONTH(G7)+2)/3),70:70)</f>
        <v>0</v>
      </c>
      <c r="I7" s="1968"/>
      <c r="J7" s="362">
        <f>SUMIF(69:69,YEAR(I7)&amp;"-"&amp;INT((MONTH(I7)+2)/3),70:70)</f>
        <v>0</v>
      </c>
      <c r="K7" s="557"/>
      <c r="L7" s="2711"/>
      <c r="M7" s="2712"/>
      <c r="N7" s="2712"/>
      <c r="O7" s="2712"/>
      <c r="P7" s="3713" t="s">
        <v>1680</v>
      </c>
      <c r="Q7" s="3741"/>
      <c r="R7" s="698" t="s">
        <v>14</v>
      </c>
      <c r="S7" s="699">
        <f t="shared" ref="S7:S15" si="0">F7</f>
        <v>0</v>
      </c>
      <c r="T7" s="698" t="s">
        <v>14</v>
      </c>
      <c r="U7" s="699">
        <f t="shared" ref="U7:U15" si="1">H7</f>
        <v>0</v>
      </c>
      <c r="V7" s="698" t="s">
        <v>14</v>
      </c>
      <c r="W7" s="699">
        <f t="shared" ref="W7:W15" si="2">J7</f>
        <v>0</v>
      </c>
      <c r="X7" s="700"/>
      <c r="Y7" s="3713" t="s">
        <v>1680</v>
      </c>
      <c r="Z7" s="3714"/>
      <c r="AA7" s="701" t="e">
        <f>D7/F7</f>
        <v>#DIV/0!</v>
      </c>
      <c r="AB7" s="701" t="e">
        <f>D7/H7</f>
        <v>#DIV/0!</v>
      </c>
      <c r="AC7" s="701" t="e">
        <f>D7/J7</f>
        <v>#DIV/0!</v>
      </c>
    </row>
    <row r="8" spans="1:30" s="105"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11"/>
      <c r="M8" s="2712"/>
      <c r="N8" s="2712"/>
      <c r="O8" s="2712"/>
      <c r="P8" s="3713" t="s">
        <v>1683</v>
      </c>
      <c r="Q8" s="3714"/>
      <c r="R8" s="698" t="s">
        <v>14</v>
      </c>
      <c r="S8" s="699">
        <f t="shared" si="0"/>
        <v>0</v>
      </c>
      <c r="T8" s="698" t="s">
        <v>14</v>
      </c>
      <c r="U8" s="699">
        <f t="shared" si="1"/>
        <v>0</v>
      </c>
      <c r="V8" s="698" t="s">
        <v>14</v>
      </c>
      <c r="W8" s="699">
        <f t="shared" si="2"/>
        <v>0</v>
      </c>
      <c r="X8" s="700"/>
      <c r="Y8" s="3713" t="s">
        <v>1683</v>
      </c>
      <c r="Z8" s="3714"/>
      <c r="AA8" s="701" t="e">
        <f t="shared" ref="AA8:AA45" si="3">D8/F8</f>
        <v>#DIV/0!</v>
      </c>
      <c r="AB8" s="701" t="e">
        <f t="shared" ref="AB8:AB45" si="4">D8/H8</f>
        <v>#DIV/0!</v>
      </c>
      <c r="AC8" s="701" t="e">
        <f t="shared" ref="AC8:AC45" si="5">D8/J8</f>
        <v>#DIV/0!</v>
      </c>
    </row>
    <row r="9" spans="1:30" s="105" customFormat="1">
      <c r="A9" s="366" t="s">
        <v>1684</v>
      </c>
      <c r="B9" s="63" t="s">
        <v>1685</v>
      </c>
      <c r="C9" s="1971"/>
      <c r="D9" s="123">
        <v>100</v>
      </c>
      <c r="E9" s="1971"/>
      <c r="F9" s="123">
        <f>SUMIF(74:74,E9,75:75)-SUMIF(74:74,C9,75:75)+100</f>
        <v>100</v>
      </c>
      <c r="G9" s="1971"/>
      <c r="H9" s="123">
        <f>SUMIF(74:74,G9,75:75)-SUMIF(74:74,C9,75:75)+100</f>
        <v>100</v>
      </c>
      <c r="I9" s="1971"/>
      <c r="J9" s="123">
        <f>SUMIF(74:74,I9,75:75)-SUMIF(74:74,C9,75:75)+100</f>
        <v>100</v>
      </c>
      <c r="K9" s="557"/>
      <c r="L9" s="2711"/>
      <c r="M9" s="2712"/>
      <c r="N9" s="2712"/>
      <c r="O9" s="2766"/>
      <c r="P9" s="3745" t="s">
        <v>1686</v>
      </c>
      <c r="Q9" s="1337" t="str">
        <f t="shared" ref="Q9:Q15" si="6">B9</f>
        <v>用途</v>
      </c>
      <c r="R9" s="698" t="s">
        <v>14</v>
      </c>
      <c r="S9" s="699">
        <f t="shared" si="0"/>
        <v>100</v>
      </c>
      <c r="T9" s="698" t="s">
        <v>14</v>
      </c>
      <c r="U9" s="699">
        <f t="shared" si="1"/>
        <v>100</v>
      </c>
      <c r="V9" s="698" t="s">
        <v>14</v>
      </c>
      <c r="W9" s="699">
        <f t="shared" si="2"/>
        <v>100</v>
      </c>
      <c r="X9" s="700"/>
      <c r="Y9" s="3659" t="s">
        <v>1687</v>
      </c>
      <c r="Z9" s="52" t="str">
        <f t="shared" ref="Z9:Z15" si="7">Q9</f>
        <v>用途</v>
      </c>
      <c r="AA9" s="701">
        <f t="shared" si="3"/>
        <v>1</v>
      </c>
      <c r="AB9" s="701">
        <f t="shared" si="4"/>
        <v>1</v>
      </c>
      <c r="AC9" s="701">
        <f t="shared" si="5"/>
        <v>1</v>
      </c>
    </row>
    <row r="10" spans="1:30" s="375" customFormat="1" ht="27">
      <c r="A10" s="371"/>
      <c r="B10" s="372" t="s">
        <v>1688</v>
      </c>
      <c r="C10" s="380"/>
      <c r="D10" s="124">
        <v>100</v>
      </c>
      <c r="E10" s="413"/>
      <c r="F10" s="124">
        <f>ROUND(100/'数据-取费表'!G16,0)</f>
        <v>126</v>
      </c>
      <c r="G10" s="411"/>
      <c r="H10" s="124">
        <f>ROUND(100/'数据-取费表'!G16,0)</f>
        <v>126</v>
      </c>
      <c r="I10" s="411"/>
      <c r="J10" s="124">
        <f>ROUND(100/'数据-取费表'!G16,0)</f>
        <v>126</v>
      </c>
      <c r="K10" s="617"/>
      <c r="L10" s="2713"/>
      <c r="M10" s="2714"/>
      <c r="N10" s="2714"/>
      <c r="O10" s="2767"/>
      <c r="P10" s="3745"/>
      <c r="Q10" s="1337" t="str">
        <f t="shared" si="6"/>
        <v>土地使用年限（年）</v>
      </c>
      <c r="R10" s="698" t="s">
        <v>14</v>
      </c>
      <c r="S10" s="699">
        <f t="shared" si="0"/>
        <v>126</v>
      </c>
      <c r="T10" s="698" t="s">
        <v>14</v>
      </c>
      <c r="U10" s="699">
        <f t="shared" si="1"/>
        <v>126</v>
      </c>
      <c r="V10" s="698" t="s">
        <v>14</v>
      </c>
      <c r="W10" s="699">
        <f t="shared" si="2"/>
        <v>126</v>
      </c>
      <c r="X10" s="700"/>
      <c r="Y10" s="3659"/>
      <c r="Z10" s="52" t="str">
        <f t="shared" si="7"/>
        <v>土地使用年限（年）</v>
      </c>
      <c r="AA10" s="701">
        <f t="shared" si="3"/>
        <v>0.79365079365079361</v>
      </c>
      <c r="AB10" s="701">
        <f t="shared" si="4"/>
        <v>0.79365079365079361</v>
      </c>
      <c r="AC10" s="701">
        <f t="shared" si="5"/>
        <v>0.79365079365079361</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5"/>
      <c r="M11" s="2710"/>
      <c r="N11" s="2710"/>
      <c r="O11" s="2768"/>
      <c r="P11" s="3745"/>
      <c r="Q11" s="1337" t="str">
        <f t="shared" si="6"/>
        <v>容积率</v>
      </c>
      <c r="R11" s="698" t="s">
        <v>14</v>
      </c>
      <c r="S11" s="699" t="e">
        <f t="shared" si="0"/>
        <v>#N/A</v>
      </c>
      <c r="T11" s="698" t="s">
        <v>14</v>
      </c>
      <c r="U11" s="699" t="e">
        <f t="shared" si="1"/>
        <v>#N/A</v>
      </c>
      <c r="V11" s="698" t="s">
        <v>14</v>
      </c>
      <c r="W11" s="699" t="e">
        <f t="shared" si="2"/>
        <v>#N/A</v>
      </c>
      <c r="X11" s="700"/>
      <c r="Y11" s="3659"/>
      <c r="Z11" s="52" t="str">
        <f t="shared" si="7"/>
        <v>容积率</v>
      </c>
      <c r="AA11" s="701" t="e">
        <f t="shared" si="3"/>
        <v>#N/A</v>
      </c>
      <c r="AB11" s="701" t="e">
        <f t="shared" si="4"/>
        <v>#N/A</v>
      </c>
      <c r="AC11" s="701" t="e">
        <f t="shared" si="5"/>
        <v>#N/A</v>
      </c>
    </row>
    <row r="12" spans="1:30" s="105" customFormat="1" ht="15">
      <c r="A12" s="379"/>
      <c r="B12" s="1887" t="s">
        <v>1870</v>
      </c>
      <c r="C12" s="380"/>
      <c r="D12" s="381">
        <v>100</v>
      </c>
      <c r="E12" s="413"/>
      <c r="F12" s="124">
        <f>SUMIF(81:81,E12,82:82)-SUMIF(81:81,C12,82:82)+100</f>
        <v>100</v>
      </c>
      <c r="G12" s="411"/>
      <c r="H12" s="124">
        <f>SUMIF(81:81,G12,82:82)-SUMIF(81:81,C12,82:82)+100</f>
        <v>100</v>
      </c>
      <c r="I12" s="413"/>
      <c r="J12" s="124">
        <f>SUMIF(81:81,I12,82:82)-SUMIF(81:81,C12,82:82)+100</f>
        <v>100</v>
      </c>
      <c r="K12" s="617"/>
      <c r="L12" s="2711"/>
      <c r="M12" s="2712"/>
      <c r="N12" s="2712"/>
      <c r="O12" s="2766"/>
      <c r="P12" s="3745"/>
      <c r="Q12" s="1337" t="str">
        <f t="shared" si="6"/>
        <v>配建</v>
      </c>
      <c r="R12" s="698" t="s">
        <v>14</v>
      </c>
      <c r="S12" s="699">
        <f t="shared" si="0"/>
        <v>100</v>
      </c>
      <c r="T12" s="698" t="s">
        <v>14</v>
      </c>
      <c r="U12" s="699">
        <f t="shared" si="1"/>
        <v>100</v>
      </c>
      <c r="V12" s="698" t="s">
        <v>14</v>
      </c>
      <c r="W12" s="699">
        <f t="shared" si="2"/>
        <v>100</v>
      </c>
      <c r="X12" s="700"/>
      <c r="Y12" s="3659"/>
      <c r="Z12" s="52" t="str">
        <f t="shared" si="7"/>
        <v>配建</v>
      </c>
      <c r="AA12" s="701">
        <f>D12/F12</f>
        <v>1</v>
      </c>
      <c r="AB12" s="701">
        <f>D12/H12</f>
        <v>1</v>
      </c>
      <c r="AC12" s="701">
        <f>D12/J12</f>
        <v>1</v>
      </c>
    </row>
    <row r="13" spans="1:30" ht="15">
      <c r="A13" s="376"/>
      <c r="B13" s="1887">
        <v>111</v>
      </c>
      <c r="C13" s="382"/>
      <c r="D13" s="383">
        <v>100</v>
      </c>
      <c r="E13" s="495"/>
      <c r="F13" s="124">
        <f>SUMIF(83:83,E13,84:84)-SUMIF(83:83,C13,84:84)+100</f>
        <v>100</v>
      </c>
      <c r="G13" s="619"/>
      <c r="H13" s="383">
        <f>SUMIF(83:83,G13,84:84)-SUMIF(83:83,C13,84:84)+100</f>
        <v>100</v>
      </c>
      <c r="I13" s="619"/>
      <c r="J13" s="383">
        <f>SUMIF(83:83,I13,84:84)-SUMIF(83:83,C13,84:84)+100</f>
        <v>100</v>
      </c>
      <c r="K13" s="617"/>
      <c r="L13" s="2716"/>
      <c r="M13" s="2710"/>
      <c r="N13" s="2710"/>
      <c r="O13" s="2768"/>
      <c r="P13" s="3745"/>
      <c r="Q13" s="1337">
        <f t="shared" si="6"/>
        <v>111</v>
      </c>
      <c r="R13" s="698" t="s">
        <v>14</v>
      </c>
      <c r="S13" s="699">
        <f t="shared" si="0"/>
        <v>100</v>
      </c>
      <c r="T13" s="698" t="s">
        <v>14</v>
      </c>
      <c r="U13" s="699">
        <f t="shared" si="1"/>
        <v>100</v>
      </c>
      <c r="V13" s="698" t="s">
        <v>14</v>
      </c>
      <c r="W13" s="699">
        <f t="shared" si="2"/>
        <v>100</v>
      </c>
      <c r="X13" s="700"/>
      <c r="Y13" s="3659"/>
      <c r="Z13" s="52">
        <f t="shared" si="7"/>
        <v>111</v>
      </c>
      <c r="AA13" s="701">
        <f>D13/F13</f>
        <v>1</v>
      </c>
      <c r="AB13" s="701">
        <f>D13/H13</f>
        <v>1</v>
      </c>
      <c r="AC13" s="701">
        <f>D13/J13</f>
        <v>1</v>
      </c>
    </row>
    <row r="14" spans="1:30" ht="15.75" thickBot="1">
      <c r="A14" s="384"/>
      <c r="B14" s="1889">
        <v>111</v>
      </c>
      <c r="C14" s="385"/>
      <c r="D14" s="386">
        <v>100</v>
      </c>
      <c r="E14" s="495"/>
      <c r="F14" s="386">
        <f>SUMIF(85:85,E14,86:86)-SUMIF(85:85,C14,86:86)+100</f>
        <v>100</v>
      </c>
      <c r="G14" s="619"/>
      <c r="H14" s="386">
        <f>SUMIF(85:85,G14,86:86)-SUMIF(85:85,C14,86:86)+100</f>
        <v>100</v>
      </c>
      <c r="I14" s="619"/>
      <c r="J14" s="386">
        <f>SUMIF(85:85,I14,86:86)-SUMIF(85:85,C14,86:86)+100</f>
        <v>100</v>
      </c>
      <c r="K14" s="617"/>
      <c r="L14" s="2716"/>
      <c r="M14" s="2710"/>
      <c r="N14" s="2710"/>
      <c r="O14" s="2768"/>
      <c r="P14" s="3745"/>
      <c r="Q14" s="1337">
        <f t="shared" si="6"/>
        <v>111</v>
      </c>
      <c r="R14" s="698" t="s">
        <v>14</v>
      </c>
      <c r="S14" s="699">
        <f t="shared" si="0"/>
        <v>100</v>
      </c>
      <c r="T14" s="698" t="s">
        <v>14</v>
      </c>
      <c r="U14" s="699">
        <f t="shared" si="1"/>
        <v>100</v>
      </c>
      <c r="V14" s="698" t="s">
        <v>14</v>
      </c>
      <c r="W14" s="699">
        <f t="shared" si="2"/>
        <v>100</v>
      </c>
      <c r="X14" s="700"/>
      <c r="Y14" s="3659"/>
      <c r="Z14" s="52">
        <f t="shared" si="7"/>
        <v>111</v>
      </c>
      <c r="AA14" s="701">
        <f>D14/F14</f>
        <v>1</v>
      </c>
      <c r="AB14" s="701">
        <f>D14/H14</f>
        <v>1</v>
      </c>
      <c r="AC14" s="701">
        <f>D14/J14</f>
        <v>1</v>
      </c>
    </row>
    <row r="15" spans="1:30" ht="15">
      <c r="A15" s="388" t="s">
        <v>1690</v>
      </c>
      <c r="B15" s="61" t="s">
        <v>1257</v>
      </c>
      <c r="C15" s="1890">
        <f>估价对象房地状况!C15</f>
        <v>0</v>
      </c>
      <c r="D15" s="389">
        <v>100</v>
      </c>
      <c r="E15" s="390"/>
      <c r="F15" s="389">
        <f>SUMIF(87:87,E16,88:88)-SUMIF(87:87,C16,88:88)+100</f>
        <v>100</v>
      </c>
      <c r="G15" s="390"/>
      <c r="H15" s="389">
        <f>SUMIF(87:87,G16,88:88)-SUMIF(87:87,C16,88:88)+100</f>
        <v>100</v>
      </c>
      <c r="I15" s="392"/>
      <c r="J15" s="389">
        <f>SUMIF(87:87,I16,88:88)-SUMIF(87:87,C16,88:88)+100</f>
        <v>100</v>
      </c>
      <c r="K15" s="618"/>
      <c r="L15" s="2716"/>
      <c r="M15" s="2710"/>
      <c r="N15" s="2710"/>
      <c r="O15" s="2768"/>
      <c r="P15" s="3747" t="s">
        <v>1691</v>
      </c>
      <c r="Q15" s="1346" t="str">
        <f t="shared" si="6"/>
        <v>居住社区成熟度</v>
      </c>
      <c r="R15" s="702" t="s">
        <v>14</v>
      </c>
      <c r="S15" s="703">
        <f t="shared" si="0"/>
        <v>100</v>
      </c>
      <c r="T15" s="702" t="s">
        <v>14</v>
      </c>
      <c r="U15" s="703">
        <f t="shared" si="1"/>
        <v>100</v>
      </c>
      <c r="V15" s="702" t="s">
        <v>14</v>
      </c>
      <c r="W15" s="703">
        <f t="shared" si="2"/>
        <v>100</v>
      </c>
      <c r="X15" s="1349"/>
      <c r="Y15" s="3747" t="s">
        <v>1691</v>
      </c>
      <c r="Z15" s="1350" t="str">
        <f t="shared" si="7"/>
        <v>居住社区成熟度</v>
      </c>
      <c r="AA15" s="1347">
        <f t="shared" si="3"/>
        <v>1</v>
      </c>
      <c r="AB15" s="1347">
        <f t="shared" si="4"/>
        <v>1</v>
      </c>
      <c r="AC15" s="1347">
        <f t="shared" si="5"/>
        <v>1</v>
      </c>
    </row>
    <row r="16" spans="1:30" ht="15">
      <c r="A16" s="376"/>
      <c r="B16" s="394"/>
      <c r="C16" s="395"/>
      <c r="D16" s="396"/>
      <c r="E16" s="1892"/>
      <c r="F16" s="396"/>
      <c r="G16" s="1892"/>
      <c r="H16" s="398"/>
      <c r="I16" s="1891"/>
      <c r="J16" s="396"/>
      <c r="K16" s="617"/>
      <c r="L16" s="2716"/>
      <c r="M16" s="2710"/>
      <c r="N16" s="2710"/>
      <c r="O16" s="2768"/>
      <c r="P16" s="3748"/>
      <c r="Q16" s="1346"/>
      <c r="R16" s="702"/>
      <c r="S16" s="703"/>
      <c r="T16" s="702"/>
      <c r="U16" s="703"/>
      <c r="V16" s="702"/>
      <c r="W16" s="703"/>
      <c r="X16" s="1349"/>
      <c r="Y16" s="3748"/>
      <c r="Z16" s="1350"/>
      <c r="AA16" s="1347">
        <v>1</v>
      </c>
      <c r="AB16" s="1347">
        <v>1</v>
      </c>
      <c r="AC16" s="1347">
        <v>1</v>
      </c>
    </row>
    <row r="17" spans="1:29" ht="15">
      <c r="A17" s="376"/>
      <c r="B17" s="399" t="s">
        <v>1777</v>
      </c>
      <c r="C17" s="1949">
        <f>估价对象房地状况!C16</f>
        <v>0</v>
      </c>
      <c r="D17" s="398">
        <v>100</v>
      </c>
      <c r="E17" s="400"/>
      <c r="F17" s="398">
        <f>SUMIF(89:89,E18,90:90)-SUMIF(89:89,C18,90:90)+100</f>
        <v>100</v>
      </c>
      <c r="G17" s="400"/>
      <c r="H17" s="403">
        <f>SUMIF(89:89,G18,90:90)-SUMIF(89:89,C18,90:90)+100</f>
        <v>100</v>
      </c>
      <c r="I17" s="402"/>
      <c r="J17" s="403">
        <f>SUMIF(89:89,I18,90:90)-SUMIF(89:89,C18,90:90)+100</f>
        <v>100</v>
      </c>
      <c r="K17" s="618"/>
      <c r="L17" s="2716"/>
      <c r="M17" s="2710"/>
      <c r="N17" s="2710"/>
      <c r="O17" s="2768"/>
      <c r="P17" s="3748"/>
      <c r="Q17" s="1346" t="str">
        <f>B17</f>
        <v>商业繁华度</v>
      </c>
      <c r="R17" s="702" t="s">
        <v>14</v>
      </c>
      <c r="S17" s="703">
        <f>F17</f>
        <v>100</v>
      </c>
      <c r="T17" s="702" t="s">
        <v>14</v>
      </c>
      <c r="U17" s="703">
        <f>H17</f>
        <v>100</v>
      </c>
      <c r="V17" s="702" t="s">
        <v>14</v>
      </c>
      <c r="W17" s="703">
        <f>J17</f>
        <v>100</v>
      </c>
      <c r="X17" s="1349"/>
      <c r="Y17" s="3748"/>
      <c r="Z17" s="1350" t="str">
        <f>Q17</f>
        <v>商业繁华度</v>
      </c>
      <c r="AA17" s="1347">
        <f t="shared" si="3"/>
        <v>1</v>
      </c>
      <c r="AB17" s="1347">
        <f t="shared" si="4"/>
        <v>1</v>
      </c>
      <c r="AC17" s="1347">
        <f t="shared" si="5"/>
        <v>1</v>
      </c>
    </row>
    <row r="18" spans="1:29" ht="15">
      <c r="A18" s="376"/>
      <c r="B18" s="404"/>
      <c r="C18" s="1895"/>
      <c r="D18" s="398"/>
      <c r="E18" s="1897"/>
      <c r="F18" s="398"/>
      <c r="G18" s="1897"/>
      <c r="H18" s="396"/>
      <c r="I18" s="1896"/>
      <c r="J18" s="396"/>
      <c r="K18" s="617"/>
      <c r="L18" s="2716"/>
      <c r="M18" s="2710"/>
      <c r="N18" s="2710"/>
      <c r="O18" s="2768"/>
      <c r="P18" s="3748"/>
      <c r="Q18" s="1346"/>
      <c r="R18" s="702"/>
      <c r="S18" s="703"/>
      <c r="T18" s="702"/>
      <c r="U18" s="703"/>
      <c r="V18" s="702"/>
      <c r="W18" s="703"/>
      <c r="X18" s="1349"/>
      <c r="Y18" s="3748"/>
      <c r="Z18" s="1350"/>
      <c r="AA18" s="1347">
        <v>1</v>
      </c>
      <c r="AB18" s="1347">
        <v>1</v>
      </c>
      <c r="AC18" s="1347">
        <v>1</v>
      </c>
    </row>
    <row r="19" spans="1:29" ht="15">
      <c r="A19" s="376"/>
      <c r="B19" s="399" t="s">
        <v>1811</v>
      </c>
      <c r="C19" s="1949">
        <f>估价对象房地状况!C17</f>
        <v>0</v>
      </c>
      <c r="D19" s="403">
        <v>100</v>
      </c>
      <c r="E19" s="405"/>
      <c r="F19" s="403">
        <f>SUMIF(91:91,E20,92:92)-SUMIF(91:91,C20,92:92)+100</f>
        <v>100</v>
      </c>
      <c r="G19" s="405"/>
      <c r="H19" s="398">
        <f>SUMIF(91:91,G20,92:92)-SUMIF(91:91,C20,92:92)+100</f>
        <v>100</v>
      </c>
      <c r="I19" s="407"/>
      <c r="J19" s="398">
        <f>SUMIF(91:91,I20,92:92)-SUMIF(91:91,C20,92:92)+100</f>
        <v>100</v>
      </c>
      <c r="K19" s="618"/>
      <c r="L19" s="2716"/>
      <c r="M19" s="2710"/>
      <c r="N19" s="2710"/>
      <c r="O19" s="2768"/>
      <c r="P19" s="3748"/>
      <c r="Q19" s="1346" t="str">
        <f>B19</f>
        <v>办公集聚程度</v>
      </c>
      <c r="R19" s="702" t="s">
        <v>14</v>
      </c>
      <c r="S19" s="703">
        <f>F19</f>
        <v>100</v>
      </c>
      <c r="T19" s="702" t="s">
        <v>14</v>
      </c>
      <c r="U19" s="703">
        <f>H19</f>
        <v>100</v>
      </c>
      <c r="V19" s="702" t="s">
        <v>14</v>
      </c>
      <c r="W19" s="703">
        <f>J19</f>
        <v>100</v>
      </c>
      <c r="X19" s="1349"/>
      <c r="Y19" s="3748"/>
      <c r="Z19" s="1350" t="str">
        <f>Q19</f>
        <v>办公集聚程度</v>
      </c>
      <c r="AA19" s="1347">
        <f t="shared" si="3"/>
        <v>1</v>
      </c>
      <c r="AB19" s="1347">
        <f t="shared" si="4"/>
        <v>1</v>
      </c>
      <c r="AC19" s="1347">
        <f t="shared" si="5"/>
        <v>1</v>
      </c>
    </row>
    <row r="20" spans="1:29" ht="15">
      <c r="A20" s="376"/>
      <c r="B20" s="404"/>
      <c r="C20" s="395"/>
      <c r="D20" s="396"/>
      <c r="E20" s="1892"/>
      <c r="F20" s="396"/>
      <c r="G20" s="1892"/>
      <c r="H20" s="396"/>
      <c r="I20" s="1891"/>
      <c r="J20" s="396"/>
      <c r="K20" s="617"/>
      <c r="L20" s="2716"/>
      <c r="M20" s="2710"/>
      <c r="N20" s="2710"/>
      <c r="O20" s="2768"/>
      <c r="P20" s="3748"/>
      <c r="Q20" s="1346"/>
      <c r="R20" s="702"/>
      <c r="S20" s="703"/>
      <c r="T20" s="702"/>
      <c r="U20" s="703"/>
      <c r="V20" s="702"/>
      <c r="W20" s="703"/>
      <c r="X20" s="1349"/>
      <c r="Y20" s="3748"/>
      <c r="Z20" s="1350"/>
      <c r="AA20" s="1347">
        <v>1</v>
      </c>
      <c r="AB20" s="1347">
        <v>1</v>
      </c>
      <c r="AC20" s="1347">
        <v>1</v>
      </c>
    </row>
    <row r="21" spans="1:29" ht="15">
      <c r="A21" s="376"/>
      <c r="B21" s="399" t="s">
        <v>1833</v>
      </c>
      <c r="C21" s="1894">
        <f>估价对象房地状况!C18</f>
        <v>0</v>
      </c>
      <c r="D21" s="398">
        <v>100</v>
      </c>
      <c r="E21" s="400"/>
      <c r="F21" s="403">
        <f>SUMIF(93:93,E22,94:94)-SUMIF(93:93,C22,94:94)+100</f>
        <v>100</v>
      </c>
      <c r="G21" s="400"/>
      <c r="H21" s="398">
        <f>SUMIF(93:93,G22,94:94)-SUMIF(93:93,C22,94:94)+100</f>
        <v>100</v>
      </c>
      <c r="I21" s="402"/>
      <c r="J21" s="398">
        <f>SUMIF(93:93,I22,94:94)-SUMIF(93:93,C22,94:94)+100</f>
        <v>100</v>
      </c>
      <c r="K21" s="618"/>
      <c r="L21" s="2716"/>
      <c r="M21" s="2710"/>
      <c r="N21" s="2710"/>
      <c r="O21" s="2768"/>
      <c r="P21" s="3748"/>
      <c r="Q21" s="1346" t="str">
        <f>B21</f>
        <v>交通便捷度</v>
      </c>
      <c r="R21" s="702" t="s">
        <v>14</v>
      </c>
      <c r="S21" s="703">
        <f>F21</f>
        <v>100</v>
      </c>
      <c r="T21" s="702" t="s">
        <v>14</v>
      </c>
      <c r="U21" s="703">
        <f>H21</f>
        <v>100</v>
      </c>
      <c r="V21" s="702" t="s">
        <v>14</v>
      </c>
      <c r="W21" s="703">
        <f>J21</f>
        <v>100</v>
      </c>
      <c r="X21" s="1349"/>
      <c r="Y21" s="3748"/>
      <c r="Z21" s="1350" t="str">
        <f>Q21</f>
        <v>交通便捷度</v>
      </c>
      <c r="AA21" s="1347">
        <f t="shared" si="3"/>
        <v>1</v>
      </c>
      <c r="AB21" s="1347">
        <f t="shared" si="4"/>
        <v>1</v>
      </c>
      <c r="AC21" s="1347">
        <f t="shared" si="5"/>
        <v>1</v>
      </c>
    </row>
    <row r="22" spans="1:29" ht="15">
      <c r="A22" s="376"/>
      <c r="B22" s="1125"/>
      <c r="C22" s="395"/>
      <c r="D22" s="398"/>
      <c r="E22" s="1892"/>
      <c r="F22" s="396"/>
      <c r="G22" s="1892"/>
      <c r="H22" s="396"/>
      <c r="I22" s="1891"/>
      <c r="J22" s="396"/>
      <c r="K22" s="617"/>
      <c r="L22" s="2716"/>
      <c r="M22" s="2710"/>
      <c r="N22" s="2710"/>
      <c r="O22" s="2768"/>
      <c r="P22" s="3748"/>
      <c r="Q22" s="1346"/>
      <c r="R22" s="702"/>
      <c r="S22" s="703"/>
      <c r="T22" s="702"/>
      <c r="U22" s="703"/>
      <c r="V22" s="702"/>
      <c r="W22" s="703"/>
      <c r="X22" s="1349"/>
      <c r="Y22" s="3748"/>
      <c r="Z22" s="1350"/>
      <c r="AA22" s="1347">
        <v>1</v>
      </c>
      <c r="AB22" s="1347">
        <v>1</v>
      </c>
      <c r="AC22" s="1347">
        <v>1</v>
      </c>
    </row>
    <row r="23" spans="1:29" ht="15">
      <c r="A23" s="355"/>
      <c r="B23" s="399" t="s">
        <v>1871</v>
      </c>
      <c r="C23" s="1130">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6"/>
      <c r="M23" s="2710"/>
      <c r="N23" s="2710"/>
      <c r="O23" s="2768"/>
      <c r="P23" s="3748"/>
      <c r="Q23" s="1346" t="str">
        <f t="shared" ref="Q23:Q37" si="8">B23</f>
        <v>区域土地利用方向</v>
      </c>
      <c r="R23" s="702" t="s">
        <v>14</v>
      </c>
      <c r="S23" s="703">
        <f>F23</f>
        <v>100</v>
      </c>
      <c r="T23" s="702" t="s">
        <v>14</v>
      </c>
      <c r="U23" s="703">
        <f>H23</f>
        <v>100</v>
      </c>
      <c r="V23" s="702" t="s">
        <v>14</v>
      </c>
      <c r="W23" s="703">
        <f>J23</f>
        <v>100</v>
      </c>
      <c r="X23" s="1349"/>
      <c r="Y23" s="3748"/>
      <c r="Z23" s="1350" t="str">
        <f>Q23</f>
        <v>区域土地利用方向</v>
      </c>
      <c r="AA23" s="1347">
        <f t="shared" si="3"/>
        <v>1</v>
      </c>
      <c r="AB23" s="1347">
        <f t="shared" si="4"/>
        <v>1</v>
      </c>
      <c r="AC23" s="1347">
        <f t="shared" si="5"/>
        <v>1</v>
      </c>
    </row>
    <row r="24" spans="1:29" ht="15">
      <c r="A24" s="355"/>
      <c r="B24" s="404"/>
      <c r="C24" s="562"/>
      <c r="D24" s="396"/>
      <c r="E24" s="1892"/>
      <c r="F24" s="396"/>
      <c r="G24" s="1891"/>
      <c r="H24" s="396"/>
      <c r="I24" s="1891"/>
      <c r="J24" s="396"/>
      <c r="K24" s="734"/>
      <c r="L24" s="2716"/>
      <c r="M24" s="2710"/>
      <c r="N24" s="2710"/>
      <c r="O24" s="2768"/>
      <c r="P24" s="3748"/>
      <c r="Q24" s="1346"/>
      <c r="R24" s="702"/>
      <c r="S24" s="703"/>
      <c r="T24" s="702"/>
      <c r="U24" s="703"/>
      <c r="V24" s="702"/>
      <c r="W24" s="703"/>
      <c r="X24" s="1349"/>
      <c r="Y24" s="3748"/>
      <c r="Z24" s="1350"/>
      <c r="AA24" s="1347"/>
      <c r="AB24" s="1347"/>
      <c r="AC24" s="1347"/>
    </row>
    <row r="25" spans="1:29" ht="27">
      <c r="A25" s="355"/>
      <c r="B25" s="1125" t="s">
        <v>1872</v>
      </c>
      <c r="C25" s="1949">
        <f>估价对象房地状况!C20</f>
        <v>0</v>
      </c>
      <c r="D25" s="398">
        <v>100</v>
      </c>
      <c r="E25" s="400"/>
      <c r="F25" s="398">
        <f>SUMIF(97:97,E26,98:98)-SUMIF(97:97,C26,98:98)+100</f>
        <v>100</v>
      </c>
      <c r="G25" s="400"/>
      <c r="H25" s="398">
        <f>SUMIF(97:97,G26,98:98)-SUMIF(97:97,C26,98:98)+100</f>
        <v>100</v>
      </c>
      <c r="I25" s="402"/>
      <c r="J25" s="398">
        <f>SUMIF(97:97,I26,98:98)-SUMIF(97:97,C26,98:98)+100</f>
        <v>100</v>
      </c>
      <c r="K25" s="618"/>
      <c r="L25" s="2716"/>
      <c r="M25" s="2710"/>
      <c r="N25" s="2710"/>
      <c r="O25" s="2768"/>
      <c r="P25" s="3748"/>
      <c r="Q25" s="1346" t="str">
        <f t="shared" si="8"/>
        <v>自然及人文环境状况</v>
      </c>
      <c r="R25" s="702" t="s">
        <v>14</v>
      </c>
      <c r="S25" s="703">
        <f>F25</f>
        <v>100</v>
      </c>
      <c r="T25" s="702" t="s">
        <v>14</v>
      </c>
      <c r="U25" s="703">
        <f>H25</f>
        <v>100</v>
      </c>
      <c r="V25" s="702" t="s">
        <v>14</v>
      </c>
      <c r="W25" s="703">
        <f>J25</f>
        <v>100</v>
      </c>
      <c r="X25" s="1349"/>
      <c r="Y25" s="3748"/>
      <c r="Z25" s="1350" t="str">
        <f>Q25</f>
        <v>自然及人文环境状况</v>
      </c>
      <c r="AA25" s="1347">
        <f t="shared" si="3"/>
        <v>1</v>
      </c>
      <c r="AB25" s="1347">
        <f t="shared" si="4"/>
        <v>1</v>
      </c>
      <c r="AC25" s="1347">
        <f t="shared" si="5"/>
        <v>1</v>
      </c>
    </row>
    <row r="26" spans="1:29" ht="15">
      <c r="A26" s="355"/>
      <c r="B26" s="404"/>
      <c r="C26" s="395"/>
      <c r="D26" s="396"/>
      <c r="E26" s="1898"/>
      <c r="F26" s="396"/>
      <c r="G26" s="1898"/>
      <c r="H26" s="396"/>
      <c r="I26" s="395"/>
      <c r="J26" s="396"/>
      <c r="K26" s="617"/>
      <c r="L26" s="2716"/>
      <c r="M26" s="2710"/>
      <c r="N26" s="2710"/>
      <c r="O26" s="2768"/>
      <c r="P26" s="3748"/>
      <c r="Q26" s="1346"/>
      <c r="R26" s="702"/>
      <c r="S26" s="703"/>
      <c r="T26" s="702"/>
      <c r="U26" s="703"/>
      <c r="V26" s="702"/>
      <c r="W26" s="703"/>
      <c r="X26" s="1349"/>
      <c r="Y26" s="3748"/>
      <c r="Z26" s="1350"/>
      <c r="AA26" s="1347">
        <v>1</v>
      </c>
      <c r="AB26" s="1347">
        <v>1</v>
      </c>
      <c r="AC26" s="1347">
        <v>1</v>
      </c>
    </row>
    <row r="27" spans="1:29" s="105" customFormat="1" ht="15">
      <c r="A27" s="594"/>
      <c r="B27" s="1125" t="s">
        <v>1778</v>
      </c>
      <c r="C27" s="1894">
        <f>估价对象房地状况!C21</f>
        <v>0</v>
      </c>
      <c r="D27" s="398">
        <v>100</v>
      </c>
      <c r="E27" s="400"/>
      <c r="F27" s="398">
        <f>SUMIF(99:99,E28,100:100)-SUMIF(99:99,C28,100:100)+100</f>
        <v>100</v>
      </c>
      <c r="G27" s="400"/>
      <c r="H27" s="398">
        <f>SUMIF(99:99,G28,100:100)-SUMIF(99:99,C28,100:100)+100</f>
        <v>100</v>
      </c>
      <c r="I27" s="402"/>
      <c r="J27" s="398">
        <f>SUMIF(99:99,I28,100:100)-SUMIF(99:99,C28,100:100)+100</f>
        <v>100</v>
      </c>
      <c r="K27" s="618"/>
      <c r="L27" s="2711"/>
      <c r="M27" s="2712"/>
      <c r="N27" s="2712"/>
      <c r="O27" s="2766"/>
      <c r="P27" s="3748"/>
      <c r="Q27" s="1337" t="str">
        <f t="shared" si="8"/>
        <v>公共配套设施</v>
      </c>
      <c r="R27" s="698" t="s">
        <v>14</v>
      </c>
      <c r="S27" s="699">
        <f>F27</f>
        <v>100</v>
      </c>
      <c r="T27" s="698" t="s">
        <v>14</v>
      </c>
      <c r="U27" s="699">
        <f>H27</f>
        <v>100</v>
      </c>
      <c r="V27" s="698" t="s">
        <v>14</v>
      </c>
      <c r="W27" s="699">
        <f>J27</f>
        <v>100</v>
      </c>
      <c r="X27" s="700"/>
      <c r="Y27" s="3748"/>
      <c r="Z27" s="52" t="str">
        <f>Q27</f>
        <v>公共配套设施</v>
      </c>
      <c r="AA27" s="1347">
        <f>D27/F27</f>
        <v>1</v>
      </c>
      <c r="AB27" s="1347">
        <f>D27/H27</f>
        <v>1</v>
      </c>
      <c r="AC27" s="1347">
        <f>D27/J27</f>
        <v>1</v>
      </c>
    </row>
    <row r="28" spans="1:29" s="105" customFormat="1" ht="15">
      <c r="A28" s="594"/>
      <c r="B28" s="404"/>
      <c r="C28" s="1972"/>
      <c r="D28" s="396"/>
      <c r="E28" s="1898"/>
      <c r="F28" s="396"/>
      <c r="G28" s="1898"/>
      <c r="H28" s="396"/>
      <c r="I28" s="395"/>
      <c r="J28" s="396"/>
      <c r="K28" s="617"/>
      <c r="L28" s="2711"/>
      <c r="M28" s="2712"/>
      <c r="N28" s="2712"/>
      <c r="O28" s="2766"/>
      <c r="P28" s="3748"/>
      <c r="Q28" s="1337"/>
      <c r="R28" s="698"/>
      <c r="S28" s="699"/>
      <c r="T28" s="698"/>
      <c r="U28" s="699"/>
      <c r="V28" s="698"/>
      <c r="W28" s="699"/>
      <c r="X28" s="700"/>
      <c r="Y28" s="3748"/>
      <c r="Z28" s="52"/>
      <c r="AA28" s="1347">
        <v>1</v>
      </c>
      <c r="AB28" s="1347">
        <v>1</v>
      </c>
      <c r="AC28" s="1347">
        <v>1</v>
      </c>
    </row>
    <row r="29" spans="1:29" s="105" customFormat="1" ht="15">
      <c r="A29" s="594"/>
      <c r="B29" s="1125" t="s">
        <v>1779</v>
      </c>
      <c r="C29" s="1894">
        <f>估价对象房地状况!C22</f>
        <v>0</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1"/>
      <c r="M29" s="2712"/>
      <c r="N29" s="2712"/>
      <c r="O29" s="2766"/>
      <c r="P29" s="3748"/>
      <c r="Q29" s="1337" t="str">
        <f t="shared" ref="Q29" si="9">B29</f>
        <v>基础设施水平</v>
      </c>
      <c r="R29" s="698" t="s">
        <v>14</v>
      </c>
      <c r="S29" s="699">
        <f>F29</f>
        <v>100</v>
      </c>
      <c r="T29" s="698" t="s">
        <v>14</v>
      </c>
      <c r="U29" s="699">
        <f>H29</f>
        <v>100</v>
      </c>
      <c r="V29" s="698" t="s">
        <v>14</v>
      </c>
      <c r="W29" s="699">
        <f>J29</f>
        <v>100</v>
      </c>
      <c r="X29" s="700"/>
      <c r="Y29" s="3748"/>
      <c r="Z29" s="52" t="str">
        <f>Q29</f>
        <v>基础设施水平</v>
      </c>
      <c r="AA29" s="1347">
        <f>D29/F29</f>
        <v>1</v>
      </c>
      <c r="AB29" s="1347">
        <f>D29/H29</f>
        <v>1</v>
      </c>
      <c r="AC29" s="1347">
        <f>D29/J29</f>
        <v>1</v>
      </c>
    </row>
    <row r="30" spans="1:29" s="105" customFormat="1" ht="15">
      <c r="A30" s="594"/>
      <c r="B30" s="404"/>
      <c r="C30" s="1972"/>
      <c r="D30" s="396"/>
      <c r="E30" s="1973"/>
      <c r="F30" s="396"/>
      <c r="G30" s="1973"/>
      <c r="H30" s="396"/>
      <c r="I30" s="1973"/>
      <c r="J30" s="396"/>
      <c r="K30" s="617"/>
      <c r="L30" s="2711"/>
      <c r="M30" s="2712"/>
      <c r="N30" s="2712"/>
      <c r="O30" s="2766"/>
      <c r="P30" s="3748"/>
      <c r="Q30" s="1337"/>
      <c r="R30" s="698"/>
      <c r="S30" s="699"/>
      <c r="T30" s="698"/>
      <c r="U30" s="699"/>
      <c r="V30" s="698"/>
      <c r="W30" s="699"/>
      <c r="X30" s="700"/>
      <c r="Y30" s="3748"/>
      <c r="Z30" s="52"/>
      <c r="AA30" s="1347">
        <v>1</v>
      </c>
      <c r="AB30" s="1347">
        <v>1</v>
      </c>
      <c r="AC30" s="1347">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6"/>
      <c r="M31" s="2710"/>
      <c r="N31" s="2710"/>
      <c r="O31" s="2768"/>
      <c r="P31" s="3748"/>
      <c r="Q31" s="1346" t="str">
        <f t="shared" si="8"/>
        <v>临街状况</v>
      </c>
      <c r="R31" s="702" t="s">
        <v>14</v>
      </c>
      <c r="S31" s="703">
        <f t="shared" ref="S31:S45" si="10">F31</f>
        <v>100</v>
      </c>
      <c r="T31" s="702" t="s">
        <v>14</v>
      </c>
      <c r="U31" s="703">
        <f t="shared" ref="U31:U45" si="11">H31</f>
        <v>100</v>
      </c>
      <c r="V31" s="702" t="s">
        <v>14</v>
      </c>
      <c r="W31" s="703">
        <f t="shared" ref="W31:W45" si="12">J31</f>
        <v>100</v>
      </c>
      <c r="X31" s="1349"/>
      <c r="Y31" s="3748"/>
      <c r="Z31" s="1350" t="str">
        <f t="shared" ref="Z31:Z45" si="13">Q31</f>
        <v>临街状况</v>
      </c>
      <c r="AA31" s="1347">
        <f t="shared" si="3"/>
        <v>1</v>
      </c>
      <c r="AB31" s="1347">
        <f t="shared" si="4"/>
        <v>1</v>
      </c>
      <c r="AC31" s="1347">
        <f t="shared" si="5"/>
        <v>1</v>
      </c>
    </row>
    <row r="32" spans="1:29" ht="28.5">
      <c r="A32" s="376"/>
      <c r="B32" s="1125"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6"/>
      <c r="M32" s="2710"/>
      <c r="N32" s="2710"/>
      <c r="O32" s="2768"/>
      <c r="P32" s="3748"/>
      <c r="Q32" s="1346" t="str">
        <f t="shared" si="8"/>
        <v>毗邻道路的类型与等级</v>
      </c>
      <c r="R32" s="702" t="s">
        <v>14</v>
      </c>
      <c r="S32" s="703">
        <f t="shared" si="10"/>
        <v>100</v>
      </c>
      <c r="T32" s="702" t="s">
        <v>14</v>
      </c>
      <c r="U32" s="703">
        <f t="shared" si="11"/>
        <v>100</v>
      </c>
      <c r="V32" s="702" t="s">
        <v>14</v>
      </c>
      <c r="W32" s="703">
        <f t="shared" si="12"/>
        <v>100</v>
      </c>
      <c r="X32" s="1349"/>
      <c r="Y32" s="3748"/>
      <c r="Z32" s="1350" t="str">
        <f t="shared" si="13"/>
        <v>毗邻道路的类型与等级</v>
      </c>
      <c r="AA32" s="1347">
        <f t="shared" si="3"/>
        <v>1</v>
      </c>
      <c r="AB32" s="1347">
        <f t="shared" si="4"/>
        <v>1</v>
      </c>
      <c r="AC32" s="1347">
        <f t="shared" si="5"/>
        <v>1</v>
      </c>
    </row>
    <row r="33" spans="1:29" ht="15">
      <c r="A33" s="376"/>
      <c r="B33" s="404"/>
      <c r="C33" s="395"/>
      <c r="D33" s="396"/>
      <c r="E33" s="1898"/>
      <c r="F33" s="396"/>
      <c r="G33" s="1898"/>
      <c r="H33" s="396"/>
      <c r="I33" s="395"/>
      <c r="J33" s="396"/>
      <c r="K33" s="559"/>
      <c r="L33" s="2716"/>
      <c r="M33" s="2710"/>
      <c r="N33" s="2710"/>
      <c r="O33" s="2768"/>
      <c r="P33" s="3748"/>
      <c r="Q33" s="1346"/>
      <c r="R33" s="702"/>
      <c r="S33" s="703"/>
      <c r="T33" s="702"/>
      <c r="U33" s="703"/>
      <c r="V33" s="702"/>
      <c r="W33" s="703"/>
      <c r="X33" s="1349"/>
      <c r="Y33" s="3748"/>
      <c r="Z33" s="1350"/>
      <c r="AA33" s="1347">
        <v>1</v>
      </c>
      <c r="AB33" s="1347">
        <v>1</v>
      </c>
      <c r="AC33" s="1347">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6"/>
      <c r="M34" s="2710"/>
      <c r="N34" s="2710"/>
      <c r="O34" s="2768"/>
      <c r="P34" s="3748"/>
      <c r="Q34" s="1346" t="str">
        <f t="shared" si="8"/>
        <v>土地级别</v>
      </c>
      <c r="R34" s="702" t="s">
        <v>14</v>
      </c>
      <c r="S34" s="703">
        <f t="shared" si="10"/>
        <v>100</v>
      </c>
      <c r="T34" s="702" t="s">
        <v>14</v>
      </c>
      <c r="U34" s="703">
        <f t="shared" si="11"/>
        <v>100</v>
      </c>
      <c r="V34" s="702" t="s">
        <v>14</v>
      </c>
      <c r="W34" s="703">
        <f t="shared" si="12"/>
        <v>100</v>
      </c>
      <c r="X34" s="1349"/>
      <c r="Y34" s="3748"/>
      <c r="Z34" s="1350" t="str">
        <f t="shared" si="13"/>
        <v>土地级别</v>
      </c>
      <c r="AA34" s="1347">
        <f t="shared" si="3"/>
        <v>1</v>
      </c>
      <c r="AB34" s="1347">
        <f t="shared" si="4"/>
        <v>1</v>
      </c>
      <c r="AC34" s="1347">
        <f t="shared" si="5"/>
        <v>1</v>
      </c>
    </row>
    <row r="35" spans="1:29" ht="15">
      <c r="A35" s="355"/>
      <c r="B35" s="1127">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6"/>
      <c r="M35" s="2710"/>
      <c r="N35" s="2710"/>
      <c r="O35" s="2768"/>
      <c r="P35" s="3748"/>
      <c r="Q35" s="1346">
        <f t="shared" si="8"/>
        <v>111</v>
      </c>
      <c r="R35" s="702" t="s">
        <v>14</v>
      </c>
      <c r="S35" s="703">
        <f t="shared" si="10"/>
        <v>100</v>
      </c>
      <c r="T35" s="702" t="s">
        <v>14</v>
      </c>
      <c r="U35" s="703">
        <f t="shared" si="11"/>
        <v>100</v>
      </c>
      <c r="V35" s="702" t="s">
        <v>14</v>
      </c>
      <c r="W35" s="703">
        <f t="shared" si="12"/>
        <v>100</v>
      </c>
      <c r="X35" s="1349"/>
      <c r="Y35" s="3748"/>
      <c r="Z35" s="1350">
        <f t="shared" si="13"/>
        <v>111</v>
      </c>
      <c r="AA35" s="1347">
        <f t="shared" si="3"/>
        <v>1</v>
      </c>
      <c r="AB35" s="1347">
        <f t="shared" si="4"/>
        <v>1</v>
      </c>
      <c r="AC35" s="1347">
        <f t="shared" si="5"/>
        <v>1</v>
      </c>
    </row>
    <row r="36" spans="1:29" ht="15">
      <c r="A36" s="620"/>
      <c r="B36" s="1128">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6"/>
      <c r="M36" s="2710"/>
      <c r="N36" s="2710"/>
      <c r="O36" s="2768"/>
      <c r="P36" s="3756" t="s">
        <v>1696</v>
      </c>
      <c r="Q36" s="1346">
        <f t="shared" si="8"/>
        <v>111</v>
      </c>
      <c r="R36" s="702" t="s">
        <v>14</v>
      </c>
      <c r="S36" s="703">
        <f t="shared" si="10"/>
        <v>100</v>
      </c>
      <c r="T36" s="702" t="s">
        <v>14</v>
      </c>
      <c r="U36" s="703">
        <f t="shared" si="11"/>
        <v>100</v>
      </c>
      <c r="V36" s="702" t="s">
        <v>14</v>
      </c>
      <c r="W36" s="703">
        <f t="shared" si="12"/>
        <v>100</v>
      </c>
      <c r="X36" s="1349"/>
      <c r="Y36" s="3752" t="s">
        <v>1696</v>
      </c>
      <c r="Z36" s="1350">
        <f t="shared" si="13"/>
        <v>111</v>
      </c>
      <c r="AA36" s="1347">
        <f t="shared" si="3"/>
        <v>1</v>
      </c>
      <c r="AB36" s="1347">
        <f t="shared" si="4"/>
        <v>1</v>
      </c>
      <c r="AC36" s="1347">
        <f t="shared" si="5"/>
        <v>1</v>
      </c>
    </row>
    <row r="37" spans="1:29" s="419" customFormat="1" ht="15.75" thickBot="1">
      <c r="A37" s="621"/>
      <c r="B37" s="1129">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5"/>
      <c r="M37" s="2717"/>
      <c r="N37" s="2717"/>
      <c r="O37" s="2769"/>
      <c r="P37" s="3752"/>
      <c r="Q37" s="1346">
        <f t="shared" si="8"/>
        <v>111</v>
      </c>
      <c r="R37" s="705" t="s">
        <v>14</v>
      </c>
      <c r="S37" s="706">
        <f t="shared" si="10"/>
        <v>100</v>
      </c>
      <c r="T37" s="705" t="s">
        <v>14</v>
      </c>
      <c r="U37" s="706">
        <f t="shared" si="11"/>
        <v>100</v>
      </c>
      <c r="V37" s="705" t="s">
        <v>14</v>
      </c>
      <c r="W37" s="706">
        <f t="shared" si="12"/>
        <v>100</v>
      </c>
      <c r="X37" s="707"/>
      <c r="Y37" s="3752"/>
      <c r="Z37" s="708">
        <f t="shared" si="13"/>
        <v>111</v>
      </c>
      <c r="AA37" s="1347">
        <f t="shared" si="3"/>
        <v>1</v>
      </c>
      <c r="AB37" s="1347">
        <f t="shared" si="4"/>
        <v>1</v>
      </c>
      <c r="AC37" s="1347">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6"/>
      <c r="M38" s="2710"/>
      <c r="N38" s="2710"/>
      <c r="O38" s="2768"/>
      <c r="P38" s="3752"/>
      <c r="Q38" s="1346" t="str">
        <f>B38</f>
        <v>宗地面积</v>
      </c>
      <c r="R38" s="702" t="s">
        <v>14</v>
      </c>
      <c r="S38" s="703" t="e">
        <f t="shared" si="10"/>
        <v>#N/A</v>
      </c>
      <c r="T38" s="702" t="s">
        <v>14</v>
      </c>
      <c r="U38" s="703" t="e">
        <f t="shared" si="11"/>
        <v>#N/A</v>
      </c>
      <c r="V38" s="702" t="s">
        <v>14</v>
      </c>
      <c r="W38" s="703" t="e">
        <f t="shared" si="12"/>
        <v>#N/A</v>
      </c>
      <c r="X38" s="1349"/>
      <c r="Y38" s="3752"/>
      <c r="Z38" s="1350" t="str">
        <f t="shared" si="13"/>
        <v>宗地面积</v>
      </c>
      <c r="AA38" s="1347" t="e">
        <f t="shared" si="3"/>
        <v>#N/A</v>
      </c>
      <c r="AB38" s="1347" t="e">
        <f t="shared" si="4"/>
        <v>#N/A</v>
      </c>
      <c r="AC38" s="1347" t="e">
        <f t="shared" si="5"/>
        <v>#N/A</v>
      </c>
    </row>
    <row r="39" spans="1:29" ht="15">
      <c r="A39" s="420"/>
      <c r="B39" s="372" t="s">
        <v>1875</v>
      </c>
      <c r="C39" s="1900"/>
      <c r="D39" s="383">
        <v>100</v>
      </c>
      <c r="E39" s="1900"/>
      <c r="F39" s="383">
        <f>SUMIF(118:118,E39,119:119)-SUMIF(118:118,C39,119:119)+100</f>
        <v>100</v>
      </c>
      <c r="G39" s="1900"/>
      <c r="H39" s="383">
        <f>SUMIF(118:118,G39,119:119)-SUMIF(118:118,C39,119:119)+100</f>
        <v>100</v>
      </c>
      <c r="I39" s="1900"/>
      <c r="J39" s="383">
        <f>SUMIF(118:118,I39,119:119)-SUMIF(118:118,C39,119:119)+100</f>
        <v>100</v>
      </c>
      <c r="K39" s="558"/>
      <c r="L39" s="2716"/>
      <c r="M39" s="2710"/>
      <c r="N39" s="2710"/>
      <c r="O39" s="2768"/>
      <c r="P39" s="3752"/>
      <c r="Q39" s="1346" t="str">
        <f t="shared" ref="Q39:Q45" si="14">B39</f>
        <v>宗地形状</v>
      </c>
      <c r="R39" s="702" t="s">
        <v>14</v>
      </c>
      <c r="S39" s="703">
        <f t="shared" si="10"/>
        <v>100</v>
      </c>
      <c r="T39" s="702" t="s">
        <v>14</v>
      </c>
      <c r="U39" s="703">
        <f t="shared" si="11"/>
        <v>100</v>
      </c>
      <c r="V39" s="702" t="s">
        <v>14</v>
      </c>
      <c r="W39" s="703">
        <f t="shared" si="12"/>
        <v>100</v>
      </c>
      <c r="X39" s="1349"/>
      <c r="Y39" s="3752"/>
      <c r="Z39" s="1350" t="str">
        <f t="shared" si="13"/>
        <v>宗地形状</v>
      </c>
      <c r="AA39" s="1347">
        <f t="shared" si="3"/>
        <v>1</v>
      </c>
      <c r="AB39" s="1347">
        <f t="shared" si="4"/>
        <v>1</v>
      </c>
      <c r="AC39" s="1347">
        <f t="shared" si="5"/>
        <v>1</v>
      </c>
    </row>
    <row r="40" spans="1:29" ht="15">
      <c r="A40" s="420"/>
      <c r="B40" s="372" t="s">
        <v>1876</v>
      </c>
      <c r="C40" s="1900"/>
      <c r="D40" s="383">
        <v>100</v>
      </c>
      <c r="E40" s="1900"/>
      <c r="F40" s="383">
        <f>SUMIF(120:120,E40,121:121)-SUMIF(120:120,C40,121:121)+100</f>
        <v>100</v>
      </c>
      <c r="G40" s="1900"/>
      <c r="H40" s="383">
        <f>SUMIF(120:120,G40,121:121)-SUMIF(120:120,C40,121:121)+100</f>
        <v>100</v>
      </c>
      <c r="I40" s="1900"/>
      <c r="J40" s="383">
        <f>SUMIF(120:120,I40,121:121)-SUMIF(120:120,C40,121:121)+100</f>
        <v>100</v>
      </c>
      <c r="K40" s="558"/>
      <c r="L40" s="2716"/>
      <c r="M40" s="2710"/>
      <c r="N40" s="2710"/>
      <c r="O40" s="2768"/>
      <c r="P40" s="3752"/>
      <c r="Q40" s="1346" t="str">
        <f t="shared" si="14"/>
        <v>临街宽度及深度</v>
      </c>
      <c r="R40" s="702" t="s">
        <v>14</v>
      </c>
      <c r="S40" s="703">
        <f t="shared" si="10"/>
        <v>100</v>
      </c>
      <c r="T40" s="702" t="s">
        <v>14</v>
      </c>
      <c r="U40" s="703">
        <f t="shared" si="11"/>
        <v>100</v>
      </c>
      <c r="V40" s="702" t="s">
        <v>14</v>
      </c>
      <c r="W40" s="703">
        <f t="shared" si="12"/>
        <v>100</v>
      </c>
      <c r="X40" s="1349"/>
      <c r="Y40" s="3752"/>
      <c r="Z40" s="1350" t="str">
        <f t="shared" si="13"/>
        <v>临街宽度及深度</v>
      </c>
      <c r="AA40" s="1347">
        <f t="shared" si="3"/>
        <v>1</v>
      </c>
      <c r="AB40" s="1347">
        <f t="shared" si="4"/>
        <v>1</v>
      </c>
      <c r="AC40" s="1347">
        <f t="shared" si="5"/>
        <v>1</v>
      </c>
    </row>
    <row r="41" spans="1:29" s="105" customFormat="1" ht="15">
      <c r="A41" s="421"/>
      <c r="B41" s="372" t="s">
        <v>1877</v>
      </c>
      <c r="C41" s="1974"/>
      <c r="D41" s="124">
        <v>100</v>
      </c>
      <c r="E41" s="1974"/>
      <c r="F41" s="383">
        <f>SUMIF(122:122,E41,123:123)-SUMIF(122:122,C41,123:123)+100</f>
        <v>100</v>
      </c>
      <c r="G41" s="1974"/>
      <c r="H41" s="383">
        <f>SUMIF(122:122,G41,123:123)-SUMIF(122:122,C41,123:123)+100</f>
        <v>100</v>
      </c>
      <c r="I41" s="1974"/>
      <c r="J41" s="383">
        <f>SUMIF(122:122,I41,123:123)-SUMIF(122:122,C41,123:123)+100</f>
        <v>100</v>
      </c>
      <c r="K41" s="558"/>
      <c r="L41" s="2711"/>
      <c r="M41" s="2712"/>
      <c r="N41" s="2712"/>
      <c r="O41" s="2766"/>
      <c r="P41" s="3752"/>
      <c r="Q41" s="1346" t="str">
        <f t="shared" si="14"/>
        <v>宗地开发程度</v>
      </c>
      <c r="R41" s="698" t="s">
        <v>14</v>
      </c>
      <c r="S41" s="699">
        <f t="shared" si="10"/>
        <v>100</v>
      </c>
      <c r="T41" s="698" t="s">
        <v>14</v>
      </c>
      <c r="U41" s="699">
        <f t="shared" si="11"/>
        <v>100</v>
      </c>
      <c r="V41" s="698" t="s">
        <v>14</v>
      </c>
      <c r="W41" s="699">
        <f t="shared" si="12"/>
        <v>100</v>
      </c>
      <c r="X41" s="700"/>
      <c r="Y41" s="3752"/>
      <c r="Z41" s="52" t="str">
        <f t="shared" si="13"/>
        <v>宗地开发程度</v>
      </c>
      <c r="AA41" s="701">
        <f t="shared" si="3"/>
        <v>1</v>
      </c>
      <c r="AB41" s="701">
        <f t="shared" si="4"/>
        <v>1</v>
      </c>
      <c r="AC41" s="701">
        <f t="shared" si="5"/>
        <v>1</v>
      </c>
    </row>
    <row r="42" spans="1:29" ht="15">
      <c r="A42" s="420"/>
      <c r="B42" s="372" t="s">
        <v>1878</v>
      </c>
      <c r="C42" s="1900"/>
      <c r="D42" s="383">
        <v>100</v>
      </c>
      <c r="E42" s="1900"/>
      <c r="F42" s="383">
        <f>SUMIF(124:124,E42,125:125)-SUMIF(124:124,C42,125:125)+100</f>
        <v>100</v>
      </c>
      <c r="G42" s="1900"/>
      <c r="H42" s="383">
        <f>SUMIF(124:124,G42,125:125)-SUMIF(124:124,C42,125:125)+100</f>
        <v>100</v>
      </c>
      <c r="I42" s="1900"/>
      <c r="J42" s="383">
        <f>SUMIF(124:124,I42,125:125)-SUMIF(124:124,C42,125:125)+100</f>
        <v>100</v>
      </c>
      <c r="K42" s="558"/>
      <c r="L42" s="2716"/>
      <c r="M42" s="2710"/>
      <c r="N42" s="2710"/>
      <c r="O42" s="2768"/>
      <c r="P42" s="3752" t="s">
        <v>1696</v>
      </c>
      <c r="Q42" s="1346" t="str">
        <f t="shared" si="14"/>
        <v>工程地质条件</v>
      </c>
      <c r="R42" s="702" t="s">
        <v>14</v>
      </c>
      <c r="S42" s="703">
        <f t="shared" si="10"/>
        <v>100</v>
      </c>
      <c r="T42" s="702" t="s">
        <v>14</v>
      </c>
      <c r="U42" s="703">
        <f t="shared" si="11"/>
        <v>100</v>
      </c>
      <c r="V42" s="702" t="s">
        <v>14</v>
      </c>
      <c r="W42" s="703">
        <f t="shared" si="12"/>
        <v>100</v>
      </c>
      <c r="X42" s="1349"/>
      <c r="Y42" s="3752" t="s">
        <v>1696</v>
      </c>
      <c r="Z42" s="1350" t="str">
        <f t="shared" si="13"/>
        <v>工程地质条件</v>
      </c>
      <c r="AA42" s="1347">
        <f t="shared" si="3"/>
        <v>1</v>
      </c>
      <c r="AB42" s="1347">
        <f t="shared" si="4"/>
        <v>1</v>
      </c>
      <c r="AC42" s="1347">
        <f t="shared" si="5"/>
        <v>1</v>
      </c>
    </row>
    <row r="43" spans="1:29" ht="15">
      <c r="A43" s="420"/>
      <c r="B43" s="1128">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6"/>
      <c r="M43" s="2710"/>
      <c r="N43" s="2710"/>
      <c r="O43" s="2768"/>
      <c r="P43" s="3752"/>
      <c r="Q43" s="1346">
        <f t="shared" si="14"/>
        <v>111</v>
      </c>
      <c r="R43" s="702" t="s">
        <v>14</v>
      </c>
      <c r="S43" s="703">
        <f t="shared" si="10"/>
        <v>100</v>
      </c>
      <c r="T43" s="702" t="s">
        <v>14</v>
      </c>
      <c r="U43" s="703">
        <f t="shared" si="11"/>
        <v>100</v>
      </c>
      <c r="V43" s="702" t="s">
        <v>14</v>
      </c>
      <c r="W43" s="703">
        <f t="shared" si="12"/>
        <v>100</v>
      </c>
      <c r="X43" s="1349"/>
      <c r="Y43" s="3752"/>
      <c r="Z43" s="1350">
        <f t="shared" si="13"/>
        <v>111</v>
      </c>
      <c r="AA43" s="1347">
        <f t="shared" si="3"/>
        <v>1</v>
      </c>
      <c r="AB43" s="1347">
        <f t="shared" si="4"/>
        <v>1</v>
      </c>
      <c r="AC43" s="1347">
        <f t="shared" si="5"/>
        <v>1</v>
      </c>
    </row>
    <row r="44" spans="1:29" ht="15">
      <c r="A44" s="420"/>
      <c r="B44" s="1128">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6"/>
      <c r="M44" s="2710"/>
      <c r="N44" s="2710"/>
      <c r="O44" s="2768"/>
      <c r="P44" s="3752"/>
      <c r="Q44" s="1346">
        <f t="shared" si="14"/>
        <v>111</v>
      </c>
      <c r="R44" s="702" t="s">
        <v>14</v>
      </c>
      <c r="S44" s="703">
        <f t="shared" si="10"/>
        <v>100</v>
      </c>
      <c r="T44" s="702" t="s">
        <v>14</v>
      </c>
      <c r="U44" s="703">
        <f t="shared" si="11"/>
        <v>100</v>
      </c>
      <c r="V44" s="702" t="s">
        <v>14</v>
      </c>
      <c r="W44" s="703">
        <f t="shared" si="12"/>
        <v>100</v>
      </c>
      <c r="X44" s="1349"/>
      <c r="Y44" s="3752"/>
      <c r="Z44" s="1350">
        <f t="shared" si="13"/>
        <v>111</v>
      </c>
      <c r="AA44" s="1347">
        <f t="shared" si="3"/>
        <v>1</v>
      </c>
      <c r="AB44" s="1347">
        <f t="shared" si="4"/>
        <v>1</v>
      </c>
      <c r="AC44" s="1347">
        <f t="shared" si="5"/>
        <v>1</v>
      </c>
    </row>
    <row r="45" spans="1:29" s="419" customFormat="1" ht="15.75" thickBot="1">
      <c r="A45" s="416"/>
      <c r="B45" s="1128">
        <v>111</v>
      </c>
      <c r="C45" s="1975"/>
      <c r="D45" s="625">
        <v>100</v>
      </c>
      <c r="E45" s="619"/>
      <c r="F45" s="386">
        <f>SUMIF(130:130,E45,131:131)-SUMIF(130:130,C45,131:131)+100</f>
        <v>100</v>
      </c>
      <c r="G45" s="619"/>
      <c r="H45" s="386">
        <f>SUMIF(130:130,G45,131:131)-SUMIF(130:130,C45,131:131)+100</f>
        <v>100</v>
      </c>
      <c r="I45" s="619"/>
      <c r="J45" s="386">
        <f>SUMIF(130:130,I45,131:131)-SUMIF(130:130,C45,131:131)+100</f>
        <v>100</v>
      </c>
      <c r="K45" s="626"/>
      <c r="L45" s="2715"/>
      <c r="M45" s="2717"/>
      <c r="N45" s="2717"/>
      <c r="O45" s="2769"/>
      <c r="P45" s="3752"/>
      <c r="Q45" s="1346">
        <f t="shared" si="14"/>
        <v>111</v>
      </c>
      <c r="R45" s="705" t="s">
        <v>14</v>
      </c>
      <c r="S45" s="706">
        <f t="shared" si="10"/>
        <v>100</v>
      </c>
      <c r="T45" s="705" t="s">
        <v>14</v>
      </c>
      <c r="U45" s="706">
        <f t="shared" si="11"/>
        <v>100</v>
      </c>
      <c r="V45" s="705" t="s">
        <v>14</v>
      </c>
      <c r="W45" s="706">
        <f t="shared" si="12"/>
        <v>100</v>
      </c>
      <c r="X45" s="707"/>
      <c r="Y45" s="3752"/>
      <c r="Z45" s="708">
        <f t="shared" si="13"/>
        <v>111</v>
      </c>
      <c r="AA45" s="1347">
        <f t="shared" si="3"/>
        <v>1</v>
      </c>
      <c r="AB45" s="1347">
        <f t="shared" si="4"/>
        <v>1</v>
      </c>
      <c r="AC45" s="1347">
        <f t="shared" si="5"/>
        <v>1</v>
      </c>
    </row>
    <row r="46" spans="1:29" ht="15">
      <c r="A46" s="427" t="s">
        <v>1844</v>
      </c>
      <c r="B46" s="1976" t="s">
        <v>1879</v>
      </c>
      <c r="C46" s="627" t="s">
        <v>0</v>
      </c>
      <c r="D46" s="429"/>
      <c r="E46" s="430"/>
      <c r="F46" s="431"/>
      <c r="G46" s="432"/>
      <c r="H46" s="433"/>
      <c r="I46" s="430"/>
      <c r="J46" s="433"/>
      <c r="K46" s="711"/>
      <c r="L46" s="2718"/>
      <c r="M46" s="2719"/>
      <c r="N46" s="2710"/>
      <c r="O46" s="2719"/>
      <c r="P46" s="3745" t="str">
        <f>A46</f>
        <v>成交单价</v>
      </c>
      <c r="Q46" s="3745"/>
      <c r="R46" s="3740">
        <f>E46</f>
        <v>0</v>
      </c>
      <c r="S46" s="3740"/>
      <c r="T46" s="3740">
        <f>G46</f>
        <v>0</v>
      </c>
      <c r="U46" s="3740"/>
      <c r="V46" s="3740">
        <f>I46</f>
        <v>0</v>
      </c>
      <c r="W46" s="3740"/>
      <c r="X46" s="687"/>
      <c r="Y46" s="709"/>
      <c r="Z46" s="687"/>
      <c r="AA46" s="687"/>
      <c r="AB46" s="687"/>
      <c r="AC46" s="687"/>
    </row>
    <row r="47" spans="1:29" ht="15.75" thickBot="1">
      <c r="A47" s="434" t="s">
        <v>1793</v>
      </c>
      <c r="B47" s="628"/>
      <c r="C47" s="437" t="e">
        <f>R48</f>
        <v>#DIV/0!</v>
      </c>
      <c r="D47" s="2311" t="s">
        <v>2138</v>
      </c>
      <c r="E47" s="437" t="e">
        <f>R47</f>
        <v>#DIV/0!</v>
      </c>
      <c r="F47" s="2312"/>
      <c r="G47" s="436" t="e">
        <f>T47</f>
        <v>#DIV/0!</v>
      </c>
      <c r="H47" s="2312"/>
      <c r="I47" s="437" t="e">
        <f>V47</f>
        <v>#DIV/0!</v>
      </c>
      <c r="J47" s="2312"/>
      <c r="K47" s="2314">
        <f>F47+H47+J47</f>
        <v>0</v>
      </c>
      <c r="L47" s="2718"/>
      <c r="M47" s="2719"/>
      <c r="N47" s="2719"/>
      <c r="O47" s="2719"/>
      <c r="P47" s="3745" t="str">
        <f>A47</f>
        <v>比较价值（元/平方米）</v>
      </c>
      <c r="Q47" s="3745"/>
      <c r="R47" s="3758" t="e">
        <f>ROUND(PRODUCT(R46,AA7:AA45),0)</f>
        <v>#DIV/0!</v>
      </c>
      <c r="S47" s="3758"/>
      <c r="T47" s="3758" t="e">
        <f>ROUND(PRODUCT(T46,AB7:AB45),0)</f>
        <v>#DIV/0!</v>
      </c>
      <c r="U47" s="3758"/>
      <c r="V47" s="3758" t="e">
        <f>ROUND(PRODUCT(V46,AC7:AC45),0)</f>
        <v>#DIV/0!</v>
      </c>
      <c r="W47" s="3758"/>
      <c r="X47" s="687"/>
      <c r="Y47" s="687"/>
      <c r="Z47" s="687"/>
      <c r="AA47" s="687"/>
      <c r="AB47" s="687"/>
      <c r="AC47" s="687"/>
    </row>
    <row r="48" spans="1:29" ht="15.75" thickBot="1">
      <c r="A48" s="438" t="s">
        <v>1880</v>
      </c>
      <c r="B48" s="439"/>
      <c r="C48" s="440" t="e">
        <f>R48</f>
        <v>#DIV/0!</v>
      </c>
      <c r="D48" s="440"/>
      <c r="E48" s="440"/>
      <c r="F48" s="440"/>
      <c r="G48" s="440"/>
      <c r="H48" s="440"/>
      <c r="I48" s="440"/>
      <c r="J48" s="440"/>
      <c r="K48" s="712"/>
      <c r="L48" s="2718"/>
      <c r="M48" s="2719"/>
      <c r="N48" s="2719"/>
      <c r="O48" s="2719"/>
      <c r="P48" s="3742" t="str">
        <f>A48</f>
        <v>估价对象XX用房的比较价值（楼面单价，元/平方米）</v>
      </c>
      <c r="Q48" s="3743"/>
      <c r="R48" s="3759" t="e">
        <f>ROUND(IF(D47="简单平均",AVERAGE(R47:W47),R47*F47+T47*H47+V47*J47),0)</f>
        <v>#DIV/0!</v>
      </c>
      <c r="S48" s="3759"/>
      <c r="T48" s="3759"/>
      <c r="U48" s="3759"/>
      <c r="V48" s="3759"/>
      <c r="W48" s="3759"/>
      <c r="X48" s="687"/>
      <c r="Y48" s="687"/>
      <c r="Z48" s="687"/>
      <c r="AA48" s="687"/>
      <c r="AB48" s="687"/>
      <c r="AC48" s="687"/>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8" customFormat="1" ht="13.5" customHeight="1">
      <c r="A53" s="2722"/>
      <c r="B53" s="2722"/>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8" customFormat="1" ht="15" thickBot="1">
      <c r="A54" s="2722"/>
      <c r="B54" s="2725"/>
      <c r="C54" s="690"/>
      <c r="D54" s="688"/>
      <c r="E54" s="688"/>
      <c r="F54" s="688"/>
      <c r="G54" s="688"/>
      <c r="H54" s="688"/>
      <c r="I54" s="688"/>
      <c r="J54" s="688"/>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9" t="s">
        <v>1881</v>
      </c>
      <c r="B55" s="630" t="s">
        <v>1882</v>
      </c>
      <c r="C55" s="1977" t="s">
        <v>1883</v>
      </c>
      <c r="D55" s="1978" t="s">
        <v>1884</v>
      </c>
      <c r="E55" s="631" t="s">
        <v>1885</v>
      </c>
      <c r="F55" s="884" t="s">
        <v>1886</v>
      </c>
      <c r="G55" s="3728" t="s">
        <v>1887</v>
      </c>
      <c r="H55" s="3760"/>
      <c r="I55" s="132"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7" customFormat="1">
      <c r="A56" s="633" t="s">
        <v>1890</v>
      </c>
      <c r="B56" s="634" t="e">
        <f>C48</f>
        <v>#DIV/0!</v>
      </c>
      <c r="C56" s="635">
        <v>1</v>
      </c>
      <c r="D56" s="938">
        <v>1</v>
      </c>
      <c r="E56" s="635">
        <f>'数据-汇总表'!E8+'数据-汇总表'!E9</f>
        <v>17437.989999999998</v>
      </c>
      <c r="F56" s="880" t="e">
        <f t="shared" ref="F56:F64" si="15">ROUND(B56*E56/10000,0)</f>
        <v>#DIV/0!</v>
      </c>
      <c r="G56" s="3727"/>
      <c r="H56" s="3745"/>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7" customFormat="1">
      <c r="A57" s="638" t="s">
        <v>1891</v>
      </c>
      <c r="B57" s="215" t="e">
        <f>ROUND($C$48*C57*D57,0)</f>
        <v>#DIV/0!</v>
      </c>
      <c r="C57" s="168">
        <f t="shared" ref="C57:C64" si="16">IF($C$55="北京市系数",I57,J57)</f>
        <v>0</v>
      </c>
      <c r="D57" s="939">
        <v>0.25</v>
      </c>
      <c r="E57" s="639"/>
      <c r="F57" s="880" t="e">
        <f t="shared" si="15"/>
        <v>#DIV/0!</v>
      </c>
      <c r="G57" s="3000" t="s">
        <v>1892</v>
      </c>
      <c r="H57" s="881">
        <f>项目基本情况!B37</f>
        <v>0</v>
      </c>
      <c r="I57" s="885">
        <f>SUMIF(修正!A57:A68,H57,修正!B57:B68)</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7" customFormat="1">
      <c r="A58" s="638" t="s">
        <v>1893</v>
      </c>
      <c r="B58" s="215" t="e">
        <f t="shared" ref="B58:B64" si="17">ROUND($C$48*C58*D58,0)</f>
        <v>#DIV/0!</v>
      </c>
      <c r="C58" s="168">
        <f t="shared" si="16"/>
        <v>0</v>
      </c>
      <c r="D58" s="939">
        <v>0.25</v>
      </c>
      <c r="E58" s="639"/>
      <c r="F58" s="880" t="e">
        <f t="shared" si="15"/>
        <v>#DIV/0!</v>
      </c>
      <c r="G58" s="3001"/>
      <c r="H58" s="881">
        <f>项目基本情况!B37</f>
        <v>0</v>
      </c>
      <c r="I58" s="885">
        <f>SUMIF(修正!A57:A68,H58,修正!C57:C68)</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7" customFormat="1">
      <c r="A59" s="638" t="s">
        <v>1894</v>
      </c>
      <c r="B59" s="215" t="e">
        <f t="shared" si="17"/>
        <v>#DIV/0!</v>
      </c>
      <c r="C59" s="168">
        <f t="shared" si="16"/>
        <v>0</v>
      </c>
      <c r="D59" s="939">
        <v>0.25</v>
      </c>
      <c r="E59" s="639"/>
      <c r="F59" s="880" t="e">
        <f t="shared" si="15"/>
        <v>#DIV/0!</v>
      </c>
      <c r="G59" s="3001"/>
      <c r="H59" s="881">
        <f>项目基本情况!B37</f>
        <v>0</v>
      </c>
      <c r="I59" s="885">
        <f>SUMIF(修正!A57:A68,H59,修正!D57:D68)</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7" customFormat="1">
      <c r="A60" s="638" t="s">
        <v>1895</v>
      </c>
      <c r="B60" s="215" t="e">
        <f t="shared" si="17"/>
        <v>#DIV/0!</v>
      </c>
      <c r="C60" s="168">
        <f t="shared" si="16"/>
        <v>0.25</v>
      </c>
      <c r="D60" s="939">
        <v>0.25</v>
      </c>
      <c r="E60" s="214">
        <f>'数据-汇总表'!E11</f>
        <v>0</v>
      </c>
      <c r="F60" s="880" t="e">
        <f t="shared" si="15"/>
        <v>#DIV/0!</v>
      </c>
      <c r="G60" s="1981" t="s">
        <v>1896</v>
      </c>
      <c r="H60" s="881" t="str">
        <f>项目基本情况!C37</f>
        <v>六级</v>
      </c>
      <c r="I60" s="885">
        <f>SUMIF(修正!A57:A68,H60,修正!E57:E68)</f>
        <v>0.25</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7" customFormat="1">
      <c r="A61" s="638" t="s">
        <v>1897</v>
      </c>
      <c r="B61" s="215" t="e">
        <f t="shared" si="17"/>
        <v>#DIV/0!</v>
      </c>
      <c r="C61" s="168">
        <f t="shared" si="16"/>
        <v>0.25</v>
      </c>
      <c r="D61" s="939">
        <v>0.25</v>
      </c>
      <c r="E61" s="214">
        <f>'数据-汇总表'!E12</f>
        <v>0</v>
      </c>
      <c r="F61" s="880" t="e">
        <f t="shared" si="15"/>
        <v>#DIV/0!</v>
      </c>
      <c r="G61" s="886" t="s">
        <v>1898</v>
      </c>
      <c r="H61" s="881" t="str">
        <f>IF(G61="商业",项目基本情况!B37,IF(G61="办公",项目基本情况!C37,IF(G61="住宅",项目基本情况!D37,项目基本情况!E37)))</f>
        <v>六级</v>
      </c>
      <c r="I61" s="885">
        <f>SUMIF(修正!A57:A68,H61,修正!F57:F68)</f>
        <v>0.25</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7" customFormat="1">
      <c r="A62" s="638" t="s">
        <v>1899</v>
      </c>
      <c r="B62" s="215" t="e">
        <f t="shared" si="17"/>
        <v>#DIV/0!</v>
      </c>
      <c r="C62" s="168">
        <f t="shared" si="16"/>
        <v>0</v>
      </c>
      <c r="D62" s="939">
        <v>0.25</v>
      </c>
      <c r="E62" s="214">
        <f>'数据-汇总表'!E13</f>
        <v>0</v>
      </c>
      <c r="F62" s="880" t="e">
        <f t="shared" si="15"/>
        <v>#DIV/0!</v>
      </c>
      <c r="G62" s="886" t="s">
        <v>1900</v>
      </c>
      <c r="H62" s="881">
        <f>IF(G62="商业",项目基本情况!B37,IF(G62="办公",项目基本情况!C37,IF(G62="住宅",项目基本情况!D37,项目基本情况!E37)))</f>
        <v>0</v>
      </c>
      <c r="I62" s="885">
        <f>SUMIF(修正!A57:A68,H62,修正!G57:G68)</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7" customFormat="1">
      <c r="A63" s="638" t="s">
        <v>1901</v>
      </c>
      <c r="B63" s="215" t="e">
        <f t="shared" si="17"/>
        <v>#DIV/0!</v>
      </c>
      <c r="C63" s="168">
        <f t="shared" si="16"/>
        <v>0</v>
      </c>
      <c r="D63" s="939">
        <v>0.25</v>
      </c>
      <c r="E63" s="214">
        <f>'数据-汇总表'!E14</f>
        <v>0</v>
      </c>
      <c r="F63" s="880" t="e">
        <f t="shared" si="15"/>
        <v>#DIV/0!</v>
      </c>
      <c r="G63" s="1981" t="s">
        <v>1892</v>
      </c>
      <c r="H63" s="881">
        <f>项目基本情况!B37</f>
        <v>0</v>
      </c>
      <c r="I63" s="885">
        <f>SUMIF(修正!A57:A68,H63,修正!G57:G68)</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7" customFormat="1" ht="15" thickBot="1">
      <c r="A64" s="638" t="s">
        <v>1902</v>
      </c>
      <c r="B64" s="215" t="e">
        <f t="shared" si="17"/>
        <v>#DIV/0!</v>
      </c>
      <c r="C64" s="168">
        <f t="shared" si="16"/>
        <v>0.15</v>
      </c>
      <c r="D64" s="939">
        <v>0.25</v>
      </c>
      <c r="E64" s="214">
        <f>'数据-汇总表'!E15</f>
        <v>0</v>
      </c>
      <c r="F64" s="880" t="e">
        <f t="shared" si="15"/>
        <v>#DIV/0!</v>
      </c>
      <c r="G64" s="1982" t="s">
        <v>1896</v>
      </c>
      <c r="H64" s="891" t="str">
        <f>项目基本情况!C37</f>
        <v>六级</v>
      </c>
      <c r="I64" s="887">
        <f>SUMIF(修正!A57:A68,H64,修正!G57:G68)</f>
        <v>0.15</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7" customFormat="1" ht="13.5" thickBot="1">
      <c r="A65" s="640" t="s">
        <v>1903</v>
      </c>
      <c r="B65" s="641" t="s">
        <v>22</v>
      </c>
      <c r="C65" s="641" t="s">
        <v>23</v>
      </c>
      <c r="D65" s="641" t="s">
        <v>392</v>
      </c>
      <c r="E65" s="641">
        <f>IF(B46="楼面地价",SUM(E56:E64),'数据-汇总表'!D3)</f>
        <v>17437.989999999998</v>
      </c>
      <c r="F65" s="642" t="e">
        <f>IF(B46="楼面地价",SUM(F56:F64),ROUND(C48*E65/10000,0))</f>
        <v>#DIV/0!</v>
      </c>
      <c r="G65" s="714"/>
      <c r="H65" s="714"/>
      <c r="I65" s="714"/>
      <c r="J65" s="714"/>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7"/>
      <c r="B66" s="689"/>
      <c r="C66" s="690"/>
      <c r="D66" s="687"/>
      <c r="E66" s="687"/>
      <c r="F66" s="687"/>
      <c r="G66" s="687"/>
      <c r="H66" s="687"/>
      <c r="I66" s="687"/>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7"/>
      <c r="B67" s="689"/>
      <c r="C67" s="689" t="str">
        <f>YEAR(C7)&amp;"-"&amp;MONTH(C7)&amp;"-1"</f>
        <v>2024-9-1</v>
      </c>
      <c r="D67" s="689">
        <f>EDATE(C67,-3)</f>
        <v>45444</v>
      </c>
      <c r="E67" s="689">
        <f>EDATE(D67,-3)</f>
        <v>45352</v>
      </c>
      <c r="F67" s="689">
        <f t="shared" ref="F67:O67" si="18">EDATE(E67,-3)</f>
        <v>45261</v>
      </c>
      <c r="G67" s="689">
        <f t="shared" si="18"/>
        <v>45170</v>
      </c>
      <c r="H67" s="689">
        <f t="shared" si="18"/>
        <v>45078</v>
      </c>
      <c r="I67" s="689">
        <f t="shared" si="18"/>
        <v>44986</v>
      </c>
      <c r="J67" s="689">
        <f t="shared" si="18"/>
        <v>44896</v>
      </c>
      <c r="K67" s="689">
        <f t="shared" si="18"/>
        <v>44805</v>
      </c>
      <c r="L67" s="689">
        <f t="shared" si="18"/>
        <v>44713</v>
      </c>
      <c r="M67" s="689">
        <f t="shared" si="18"/>
        <v>44621</v>
      </c>
      <c r="N67" s="689">
        <f t="shared" si="18"/>
        <v>44531</v>
      </c>
      <c r="O67" s="689">
        <f t="shared" si="18"/>
        <v>44440</v>
      </c>
      <c r="P67" s="2719"/>
      <c r="Q67" s="2719"/>
      <c r="R67" s="2719"/>
      <c r="S67" s="2719"/>
      <c r="T67" s="2719"/>
      <c r="U67" s="2719"/>
      <c r="V67" s="2719"/>
      <c r="W67" s="2719"/>
      <c r="X67" s="2719"/>
      <c r="Y67" s="2719"/>
      <c r="Z67" s="2719"/>
      <c r="AA67" s="2719"/>
      <c r="AB67" s="2719"/>
      <c r="AC67" s="2719"/>
    </row>
    <row r="68" spans="1:29" ht="21.75" thickBot="1">
      <c r="A68" s="691" t="s">
        <v>1798</v>
      </c>
      <c r="B68" s="687"/>
      <c r="C68" s="692"/>
      <c r="D68" s="692"/>
      <c r="E68" s="692"/>
      <c r="F68" s="693"/>
      <c r="G68" s="693"/>
      <c r="H68" s="692"/>
      <c r="I68" s="692"/>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4" customFormat="1" ht="15">
      <c r="A69" s="1983" t="s">
        <v>1904</v>
      </c>
      <c r="B69" s="1103"/>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70"/>
      <c r="Q69" s="2735"/>
      <c r="R69" s="2735"/>
      <c r="S69" s="2735"/>
      <c r="T69" s="2735"/>
      <c r="U69" s="2735"/>
      <c r="V69" s="2735"/>
      <c r="W69" s="2735"/>
      <c r="X69" s="2735"/>
      <c r="Y69" s="2735"/>
      <c r="Z69" s="2735"/>
      <c r="AA69" s="2735"/>
      <c r="AB69" s="2735"/>
      <c r="AC69" s="2735"/>
    </row>
    <row r="70" spans="1:29" s="105" customFormat="1" ht="30" customHeight="1">
      <c r="A70" s="1984"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2"/>
      <c r="N70" s="541"/>
      <c r="O70" s="1173"/>
      <c r="P70" s="2733"/>
      <c r="Q70" s="2655"/>
      <c r="R70" s="2655"/>
      <c r="S70" s="2655"/>
      <c r="T70" s="2655"/>
      <c r="U70" s="2655"/>
      <c r="V70" s="2655"/>
      <c r="W70" s="2655"/>
      <c r="X70" s="2655"/>
      <c r="Y70" s="2655"/>
      <c r="Z70" s="2655"/>
      <c r="AA70" s="2655"/>
      <c r="AB70" s="2655"/>
      <c r="AC70" s="2655"/>
    </row>
    <row r="71" spans="1:29" s="105" customFormat="1" ht="15.75" thickBot="1">
      <c r="A71" s="461" t="s">
        <v>1716</v>
      </c>
      <c r="B71" s="462"/>
      <c r="C71" s="463"/>
      <c r="D71" s="464"/>
      <c r="E71" s="464"/>
      <c r="F71" s="464"/>
      <c r="G71" s="464"/>
      <c r="H71" s="464"/>
      <c r="I71" s="464"/>
      <c r="J71" s="464"/>
      <c r="K71" s="464"/>
      <c r="L71" s="464"/>
      <c r="M71" s="465"/>
      <c r="N71" s="464"/>
      <c r="O71" s="937"/>
      <c r="P71" s="2733"/>
      <c r="Q71" s="2733"/>
      <c r="R71" s="2655"/>
      <c r="S71" s="2655"/>
      <c r="T71" s="2655"/>
      <c r="U71" s="2655"/>
      <c r="V71" s="2655"/>
      <c r="W71" s="2655"/>
      <c r="X71" s="2655"/>
      <c r="Y71" s="2655"/>
      <c r="Z71" s="2655"/>
      <c r="AA71" s="2655"/>
      <c r="AB71" s="2655"/>
      <c r="AC71" s="2655"/>
    </row>
    <row r="72" spans="1:29" s="105" customFormat="1" ht="15">
      <c r="A72" s="467" t="s">
        <v>1681</v>
      </c>
      <c r="B72" s="456"/>
      <c r="C72" s="468" t="s">
        <v>1776</v>
      </c>
      <c r="D72" s="469"/>
      <c r="E72" s="469"/>
      <c r="F72" s="469"/>
      <c r="G72" s="469"/>
      <c r="H72" s="469"/>
      <c r="I72" s="469"/>
      <c r="J72" s="469"/>
      <c r="K72" s="469"/>
      <c r="L72" s="470"/>
      <c r="M72" s="471"/>
      <c r="N72" s="2746"/>
      <c r="O72" s="2746"/>
      <c r="P72" s="2771"/>
      <c r="Q72" s="2733"/>
      <c r="R72" s="2655"/>
      <c r="S72" s="2655"/>
      <c r="T72" s="2655"/>
      <c r="U72" s="2655"/>
      <c r="V72" s="2655"/>
      <c r="W72" s="2655"/>
      <c r="X72" s="2655"/>
      <c r="Y72" s="2655"/>
      <c r="Z72" s="2655"/>
      <c r="AA72" s="2655"/>
      <c r="AB72" s="2655"/>
      <c r="AC72" s="2655"/>
    </row>
    <row r="73" spans="1:29" s="105" customFormat="1" ht="15.75" thickBot="1">
      <c r="A73" s="467"/>
      <c r="B73" s="456"/>
      <c r="C73" s="584">
        <v>100</v>
      </c>
      <c r="D73" s="458"/>
      <c r="E73" s="458"/>
      <c r="F73" s="458"/>
      <c r="G73" s="458"/>
      <c r="H73" s="458"/>
      <c r="I73" s="458"/>
      <c r="J73" s="458"/>
      <c r="K73" s="458"/>
      <c r="L73" s="458"/>
      <c r="M73" s="460"/>
      <c r="N73" s="2746"/>
      <c r="O73" s="2746"/>
      <c r="P73" s="2733"/>
      <c r="Q73" s="2733"/>
      <c r="R73" s="2655"/>
      <c r="S73" s="2655"/>
      <c r="T73" s="2655"/>
      <c r="U73" s="2655"/>
      <c r="V73" s="2655"/>
      <c r="W73" s="2655"/>
      <c r="X73" s="2655"/>
      <c r="Y73" s="2655"/>
      <c r="Z73" s="2655"/>
      <c r="AA73" s="2655"/>
      <c r="AB73" s="2655"/>
      <c r="AC73" s="2655"/>
    </row>
    <row r="74" spans="1:29">
      <c r="A74" s="473" t="s">
        <v>1719</v>
      </c>
      <c r="B74" s="474" t="s">
        <v>1685</v>
      </c>
      <c r="C74" s="476"/>
      <c r="D74" s="476"/>
      <c r="E74" s="476"/>
      <c r="F74" s="476"/>
      <c r="G74" s="476"/>
      <c r="H74" s="476"/>
      <c r="I74" s="476"/>
      <c r="J74" s="476"/>
      <c r="K74" s="477"/>
      <c r="L74" s="478"/>
      <c r="M74" s="479"/>
      <c r="N74" s="2747"/>
      <c r="O74" s="2747"/>
      <c r="P74" s="2772"/>
      <c r="Q74" s="2733"/>
      <c r="R74" s="2719"/>
      <c r="S74" s="2719"/>
      <c r="T74" s="2719"/>
      <c r="U74" s="2719"/>
      <c r="V74" s="2719"/>
      <c r="W74" s="2719"/>
      <c r="X74" s="2719"/>
      <c r="Y74" s="2719"/>
      <c r="Z74" s="2719"/>
      <c r="AA74" s="2719"/>
      <c r="AB74" s="2719"/>
      <c r="AC74" s="2719"/>
    </row>
    <row r="75" spans="1:29" ht="15.75" thickBot="1">
      <c r="A75" s="480"/>
      <c r="B75" s="481"/>
      <c r="C75" s="482"/>
      <c r="D75" s="482"/>
      <c r="E75" s="482"/>
      <c r="F75" s="482"/>
      <c r="G75" s="482"/>
      <c r="H75" s="482"/>
      <c r="I75" s="482"/>
      <c r="J75" s="482"/>
      <c r="K75" s="482"/>
      <c r="L75" s="482"/>
      <c r="M75" s="483"/>
      <c r="N75" s="2748"/>
      <c r="O75" s="2748"/>
      <c r="P75" s="2772"/>
      <c r="Q75" s="2733"/>
      <c r="R75" s="2719"/>
      <c r="S75" s="2719"/>
      <c r="T75" s="2719"/>
      <c r="U75" s="2719"/>
      <c r="V75" s="2719"/>
      <c r="W75" s="2719"/>
      <c r="X75" s="2719"/>
      <c r="Y75" s="2719"/>
      <c r="Z75" s="2719"/>
      <c r="AA75" s="2719"/>
      <c r="AB75" s="2719"/>
      <c r="AC75" s="2719"/>
    </row>
    <row r="76" spans="1:29" ht="27.75" thickTop="1">
      <c r="A76" s="480"/>
      <c r="B76" s="484" t="s">
        <v>1688</v>
      </c>
      <c r="C76" s="485"/>
      <c r="D76" s="485"/>
      <c r="E76" s="485"/>
      <c r="F76" s="485"/>
      <c r="G76" s="485"/>
      <c r="H76" s="485"/>
      <c r="I76" s="485"/>
      <c r="J76" s="485"/>
      <c r="K76" s="486"/>
      <c r="L76" s="487"/>
      <c r="M76" s="488"/>
      <c r="N76" s="2747"/>
      <c r="O76" s="2747"/>
      <c r="P76" s="2772"/>
      <c r="Q76" s="2733"/>
      <c r="R76" s="2719"/>
      <c r="S76" s="2719"/>
      <c r="T76" s="2719"/>
      <c r="U76" s="2719"/>
      <c r="V76" s="2719"/>
      <c r="W76" s="2719"/>
      <c r="X76" s="2719"/>
      <c r="Y76" s="2719"/>
      <c r="Z76" s="2719"/>
      <c r="AA76" s="2719"/>
      <c r="AB76" s="2719"/>
      <c r="AC76" s="2719"/>
    </row>
    <row r="77" spans="1:29" ht="15.75" thickBot="1">
      <c r="A77" s="480"/>
      <c r="B77" s="489"/>
      <c r="C77" s="490"/>
      <c r="D77" s="490"/>
      <c r="E77" s="490"/>
      <c r="F77" s="490"/>
      <c r="G77" s="490"/>
      <c r="H77" s="490"/>
      <c r="I77" s="490"/>
      <c r="J77" s="490"/>
      <c r="K77" s="490"/>
      <c r="L77" s="490"/>
      <c r="M77" s="491"/>
      <c r="N77" s="2748"/>
      <c r="O77" s="2748"/>
      <c r="P77" s="2772"/>
      <c r="Q77" s="2733"/>
      <c r="R77" s="2719"/>
      <c r="S77" s="2719"/>
      <c r="T77" s="2719"/>
      <c r="U77" s="2719"/>
      <c r="V77" s="2719"/>
      <c r="W77" s="2719"/>
      <c r="X77" s="2719"/>
      <c r="Y77" s="2719"/>
      <c r="Z77" s="2719"/>
      <c r="AA77" s="2719"/>
      <c r="AB77" s="2719"/>
      <c r="AC77" s="2719"/>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0"/>
      <c r="B79" s="494"/>
      <c r="C79" s="495"/>
      <c r="D79" s="495"/>
      <c r="E79" s="495"/>
      <c r="F79" s="495"/>
      <c r="G79" s="495"/>
      <c r="H79" s="495"/>
      <c r="I79" s="495"/>
      <c r="J79" s="495"/>
      <c r="K79" s="496"/>
      <c r="L79" s="497"/>
      <c r="M79" s="498"/>
      <c r="N79" s="2747"/>
      <c r="O79" s="2747"/>
      <c r="P79" s="2772"/>
      <c r="Q79" s="2733"/>
      <c r="R79" s="2719"/>
      <c r="S79" s="2719"/>
      <c r="T79" s="2719"/>
      <c r="U79" s="2719"/>
      <c r="V79" s="2719"/>
      <c r="W79" s="2719"/>
      <c r="X79" s="2719"/>
      <c r="Y79" s="2719"/>
      <c r="Z79" s="2719"/>
      <c r="AA79" s="2719"/>
      <c r="AB79" s="2719"/>
      <c r="AC79" s="2719"/>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8"/>
      <c r="O80" s="2748"/>
      <c r="P80" s="2772"/>
      <c r="Q80" s="2733"/>
      <c r="R80" s="2719"/>
      <c r="S80" s="2719"/>
      <c r="T80" s="2719"/>
      <c r="U80" s="2719"/>
      <c r="V80" s="2719"/>
      <c r="W80" s="2719"/>
      <c r="X80" s="2719"/>
      <c r="Y80" s="2719"/>
      <c r="Z80" s="2719"/>
      <c r="AA80" s="2719"/>
      <c r="AB80" s="2719"/>
      <c r="AC80" s="2719"/>
    </row>
    <row r="81" spans="1:29" s="419" customFormat="1" ht="15.75" thickTop="1">
      <c r="A81" s="499"/>
      <c r="B81" s="484" t="str">
        <f>B12</f>
        <v>配建</v>
      </c>
      <c r="C81" s="500"/>
      <c r="D81" s="500"/>
      <c r="E81" s="500"/>
      <c r="F81" s="500"/>
      <c r="G81" s="500"/>
      <c r="H81" s="501"/>
      <c r="I81" s="501"/>
      <c r="J81" s="501"/>
      <c r="K81" s="501"/>
      <c r="L81" s="502"/>
      <c r="M81" s="503"/>
      <c r="N81" s="2749"/>
      <c r="O81" s="2749"/>
      <c r="P81" s="2773"/>
      <c r="Q81" s="2740"/>
      <c r="R81" s="2741"/>
      <c r="S81" s="2741"/>
      <c r="T81" s="2741"/>
      <c r="U81" s="2741"/>
      <c r="V81" s="2741"/>
      <c r="W81" s="2741"/>
      <c r="X81" s="2741"/>
      <c r="Y81" s="2741"/>
      <c r="Z81" s="2741"/>
      <c r="AA81" s="2741"/>
      <c r="AB81" s="2741"/>
      <c r="AC81" s="2741"/>
    </row>
    <row r="82" spans="1:29" s="419" customFormat="1" ht="15.75" thickBot="1">
      <c r="A82" s="499"/>
      <c r="B82" s="489"/>
      <c r="C82" s="506"/>
      <c r="D82" s="482"/>
      <c r="E82" s="482"/>
      <c r="F82" s="482"/>
      <c r="G82" s="482"/>
      <c r="H82" s="482"/>
      <c r="I82" s="482"/>
      <c r="J82" s="482"/>
      <c r="K82" s="482"/>
      <c r="L82" s="482"/>
      <c r="M82" s="483"/>
      <c r="N82" s="2748"/>
      <c r="O82" s="2748"/>
      <c r="P82" s="2773"/>
      <c r="Q82" s="2740"/>
      <c r="R82" s="2741"/>
      <c r="S82" s="2741"/>
      <c r="T82" s="2741"/>
      <c r="U82" s="2741"/>
      <c r="V82" s="2741"/>
      <c r="W82" s="2741"/>
      <c r="X82" s="2741"/>
      <c r="Y82" s="2741"/>
      <c r="Z82" s="2741"/>
      <c r="AA82" s="2741"/>
      <c r="AB82" s="2741"/>
      <c r="AC82" s="2741"/>
    </row>
    <row r="83" spans="1:29" s="419" customFormat="1" ht="15.75" thickTop="1">
      <c r="A83" s="499"/>
      <c r="B83" s="484">
        <f>B13</f>
        <v>111</v>
      </c>
      <c r="C83" s="500"/>
      <c r="D83" s="500"/>
      <c r="E83" s="500"/>
      <c r="F83" s="500"/>
      <c r="G83" s="500"/>
      <c r="H83" s="501"/>
      <c r="I83" s="501"/>
      <c r="J83" s="501"/>
      <c r="K83" s="501"/>
      <c r="L83" s="502"/>
      <c r="M83" s="503"/>
      <c r="N83" s="2749"/>
      <c r="O83" s="2749"/>
      <c r="P83" s="2717"/>
      <c r="Q83" s="2743"/>
      <c r="R83" s="2741"/>
      <c r="S83" s="2741"/>
      <c r="T83" s="2741"/>
      <c r="U83" s="2741"/>
      <c r="V83" s="2741"/>
      <c r="W83" s="2741"/>
      <c r="X83" s="2741"/>
      <c r="Y83" s="2741"/>
      <c r="Z83" s="2741"/>
      <c r="AA83" s="2741"/>
      <c r="AB83" s="2741"/>
      <c r="AC83" s="2741"/>
    </row>
    <row r="84" spans="1:29" s="419" customFormat="1" ht="15.75" thickBot="1">
      <c r="A84" s="499"/>
      <c r="B84" s="489"/>
      <c r="C84" s="506"/>
      <c r="D84" s="506"/>
      <c r="E84" s="506"/>
      <c r="F84" s="506"/>
      <c r="G84" s="506"/>
      <c r="H84" s="508"/>
      <c r="I84" s="508"/>
      <c r="J84" s="508"/>
      <c r="K84" s="508"/>
      <c r="L84" s="508"/>
      <c r="M84" s="509"/>
      <c r="N84" s="2749"/>
      <c r="O84" s="2749"/>
      <c r="P84" s="2773"/>
      <c r="Q84" s="2740"/>
      <c r="R84" s="2741"/>
      <c r="S84" s="2741"/>
      <c r="T84" s="2741"/>
      <c r="U84" s="2741"/>
      <c r="V84" s="2741"/>
      <c r="W84" s="2741"/>
      <c r="X84" s="2741"/>
      <c r="Y84" s="2741"/>
      <c r="Z84" s="2741"/>
      <c r="AA84" s="2741"/>
      <c r="AB84" s="2741"/>
      <c r="AC84" s="2741"/>
    </row>
    <row r="85" spans="1:29" s="419" customFormat="1" ht="15.75" thickTop="1">
      <c r="A85" s="499"/>
      <c r="B85" s="492">
        <f>B14</f>
        <v>111</v>
      </c>
      <c r="C85" s="469"/>
      <c r="D85" s="469"/>
      <c r="E85" s="469"/>
      <c r="F85" s="469"/>
      <c r="G85" s="469"/>
      <c r="H85" s="510"/>
      <c r="I85" s="510"/>
      <c r="J85" s="510"/>
      <c r="K85" s="510"/>
      <c r="L85" s="511"/>
      <c r="M85" s="512"/>
      <c r="N85" s="2749"/>
      <c r="O85" s="2749"/>
      <c r="P85" s="2778"/>
      <c r="Q85" s="2740"/>
      <c r="R85" s="2741"/>
      <c r="S85" s="2741"/>
      <c r="T85" s="2741"/>
      <c r="U85" s="2741"/>
      <c r="V85" s="2741"/>
      <c r="W85" s="2741"/>
      <c r="X85" s="2741"/>
      <c r="Y85" s="2741"/>
      <c r="Z85" s="2741"/>
      <c r="AA85" s="2741"/>
      <c r="AB85" s="2741"/>
      <c r="AC85" s="2741"/>
    </row>
    <row r="86" spans="1:29" s="419" customFormat="1" ht="15.75" thickBot="1">
      <c r="A86" s="514"/>
      <c r="B86" s="515"/>
      <c r="C86" s="516"/>
      <c r="D86" s="516"/>
      <c r="E86" s="516"/>
      <c r="F86" s="516"/>
      <c r="G86" s="516"/>
      <c r="H86" s="517"/>
      <c r="I86" s="517"/>
      <c r="J86" s="517"/>
      <c r="K86" s="517"/>
      <c r="L86" s="517"/>
      <c r="M86" s="518"/>
      <c r="N86" s="2749"/>
      <c r="O86" s="2749"/>
      <c r="P86" s="2773"/>
      <c r="Q86" s="2740"/>
      <c r="R86" s="2741"/>
      <c r="S86" s="2741"/>
      <c r="T86" s="2741"/>
      <c r="U86" s="2741"/>
      <c r="V86" s="2741"/>
      <c r="W86" s="2741"/>
      <c r="X86" s="2741"/>
      <c r="Y86" s="2741"/>
      <c r="Z86" s="2741"/>
      <c r="AA86" s="2741"/>
      <c r="AB86" s="2741"/>
      <c r="AC86" s="2741"/>
    </row>
    <row r="87" spans="1:29">
      <c r="A87" s="473" t="s">
        <v>1690</v>
      </c>
      <c r="B87" s="474" t="s">
        <v>1720</v>
      </c>
      <c r="C87" s="519" t="s">
        <v>1721</v>
      </c>
      <c r="D87" s="519" t="s">
        <v>1722</v>
      </c>
      <c r="E87" s="519" t="s">
        <v>1723</v>
      </c>
      <c r="F87" s="519" t="s">
        <v>1724</v>
      </c>
      <c r="G87" s="519" t="s">
        <v>1725</v>
      </c>
      <c r="H87" s="475"/>
      <c r="I87" s="475"/>
      <c r="J87" s="475"/>
      <c r="K87" s="520"/>
      <c r="L87" s="521"/>
      <c r="M87" s="522"/>
      <c r="N87" s="2747"/>
      <c r="O87" s="2747"/>
      <c r="P87" s="2774"/>
      <c r="Q87" s="2733"/>
      <c r="R87" s="2719"/>
      <c r="S87" s="2719"/>
      <c r="T87" s="2719"/>
      <c r="U87" s="2719"/>
      <c r="V87" s="2719"/>
      <c r="W87" s="2719"/>
      <c r="X87" s="2719"/>
      <c r="Y87" s="2719"/>
      <c r="Z87" s="2719"/>
      <c r="AA87" s="2719"/>
      <c r="AB87" s="2719"/>
      <c r="AC87" s="2719"/>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8"/>
      <c r="O88" s="2748"/>
      <c r="P88" s="2772"/>
      <c r="Q88" s="2733"/>
      <c r="R88" s="2719"/>
      <c r="S88" s="2719"/>
      <c r="T88" s="2719"/>
      <c r="U88" s="2719"/>
      <c r="V88" s="2719"/>
      <c r="W88" s="2719"/>
      <c r="X88" s="2719"/>
      <c r="Y88" s="2719"/>
      <c r="Z88" s="2719"/>
      <c r="AA88" s="2719"/>
      <c r="AB88" s="2719"/>
      <c r="AC88" s="2719"/>
    </row>
    <row r="89" spans="1:29" ht="15.75" thickTop="1">
      <c r="A89" s="480"/>
      <c r="B89" s="484" t="s">
        <v>1906</v>
      </c>
      <c r="C89" s="524" t="s">
        <v>1721</v>
      </c>
      <c r="D89" s="524" t="s">
        <v>1722</v>
      </c>
      <c r="E89" s="524" t="s">
        <v>1723</v>
      </c>
      <c r="F89" s="524" t="s">
        <v>1724</v>
      </c>
      <c r="G89" s="524" t="s">
        <v>1725</v>
      </c>
      <c r="H89" s="485"/>
      <c r="I89" s="485"/>
      <c r="J89" s="485"/>
      <c r="K89" s="486"/>
      <c r="L89" s="487"/>
      <c r="M89" s="488"/>
      <c r="N89" s="2747"/>
      <c r="O89" s="2747"/>
      <c r="P89" s="2772"/>
      <c r="Q89" s="2733"/>
      <c r="R89" s="2719"/>
      <c r="S89" s="2719"/>
      <c r="T89" s="2719"/>
      <c r="U89" s="2719"/>
      <c r="V89" s="2719"/>
      <c r="W89" s="2719"/>
      <c r="X89" s="2719"/>
      <c r="Y89" s="2719"/>
      <c r="Z89" s="2719"/>
      <c r="AA89" s="2719"/>
      <c r="AB89" s="2719"/>
      <c r="AC89" s="271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8"/>
      <c r="O90" s="2748"/>
      <c r="P90" s="2772"/>
      <c r="Q90" s="2733"/>
      <c r="R90" s="2719"/>
      <c r="S90" s="2719"/>
      <c r="T90" s="2719"/>
      <c r="U90" s="2719"/>
      <c r="V90" s="2719"/>
      <c r="W90" s="2719"/>
      <c r="X90" s="2719"/>
      <c r="Y90" s="2719"/>
      <c r="Z90" s="2719"/>
      <c r="AA90" s="2719"/>
      <c r="AB90" s="2719"/>
      <c r="AC90" s="2719"/>
    </row>
    <row r="91" spans="1:29" ht="15.75" thickTop="1">
      <c r="A91" s="480"/>
      <c r="B91" s="484" t="s">
        <v>1821</v>
      </c>
      <c r="C91" s="524" t="s">
        <v>1721</v>
      </c>
      <c r="D91" s="524" t="s">
        <v>1722</v>
      </c>
      <c r="E91" s="524" t="s">
        <v>1723</v>
      </c>
      <c r="F91" s="524" t="s">
        <v>1724</v>
      </c>
      <c r="G91" s="524" t="s">
        <v>1725</v>
      </c>
      <c r="H91" s="485"/>
      <c r="I91" s="485"/>
      <c r="J91" s="485"/>
      <c r="K91" s="486"/>
      <c r="L91" s="487"/>
      <c r="M91" s="488"/>
      <c r="N91" s="2747"/>
      <c r="O91" s="2747"/>
      <c r="P91" s="2772"/>
      <c r="Q91" s="2733"/>
      <c r="R91" s="2719"/>
      <c r="S91" s="2719"/>
      <c r="T91" s="2719"/>
      <c r="U91" s="2719"/>
      <c r="V91" s="2719"/>
      <c r="W91" s="2719"/>
      <c r="X91" s="2719"/>
      <c r="Y91" s="2719"/>
      <c r="Z91" s="2719"/>
      <c r="AA91" s="2719"/>
      <c r="AB91" s="2719"/>
      <c r="AC91" s="271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8"/>
      <c r="O92" s="2748"/>
      <c r="P92" s="2772"/>
      <c r="Q92" s="2733"/>
      <c r="R92" s="2719"/>
      <c r="S92" s="2719"/>
      <c r="T92" s="2719"/>
      <c r="U92" s="2719"/>
      <c r="V92" s="2719"/>
      <c r="W92" s="2719"/>
      <c r="X92" s="2719"/>
      <c r="Y92" s="2719"/>
      <c r="Z92" s="2719"/>
      <c r="AA92" s="2719"/>
      <c r="AB92" s="2719"/>
      <c r="AC92" s="2719"/>
    </row>
    <row r="93" spans="1:29" ht="15.75" thickTop="1">
      <c r="A93" s="480"/>
      <c r="B93" s="484" t="s">
        <v>1726</v>
      </c>
      <c r="C93" s="524" t="s">
        <v>1721</v>
      </c>
      <c r="D93" s="524" t="s">
        <v>1722</v>
      </c>
      <c r="E93" s="524" t="s">
        <v>1723</v>
      </c>
      <c r="F93" s="524" t="s">
        <v>1724</v>
      </c>
      <c r="G93" s="524" t="s">
        <v>1725</v>
      </c>
      <c r="H93" s="485"/>
      <c r="I93" s="485"/>
      <c r="J93" s="485"/>
      <c r="K93" s="486"/>
      <c r="L93" s="487"/>
      <c r="M93" s="488"/>
      <c r="N93" s="2747"/>
      <c r="O93" s="2747"/>
      <c r="P93" s="2772"/>
      <c r="Q93" s="2733"/>
      <c r="R93" s="2719"/>
      <c r="S93" s="2719"/>
      <c r="T93" s="2719"/>
      <c r="U93" s="2719"/>
      <c r="V93" s="2719"/>
      <c r="W93" s="2719"/>
      <c r="X93" s="2719"/>
      <c r="Y93" s="2719"/>
      <c r="Z93" s="2719"/>
      <c r="AA93" s="2719"/>
      <c r="AB93" s="2719"/>
      <c r="AC93" s="2719"/>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8"/>
      <c r="O94" s="2748"/>
      <c r="P94" s="2772"/>
      <c r="Q94" s="2733"/>
      <c r="R94" s="2719"/>
      <c r="S94" s="2719"/>
      <c r="T94" s="2719"/>
      <c r="U94" s="2719"/>
      <c r="V94" s="2719"/>
      <c r="W94" s="2719"/>
      <c r="X94" s="2719"/>
      <c r="Y94" s="2719"/>
      <c r="Z94" s="2719"/>
      <c r="AA94" s="2719"/>
      <c r="AB94" s="2719"/>
      <c r="AC94" s="2719"/>
    </row>
    <row r="95" spans="1:29" s="105" customFormat="1" ht="15.75" thickTop="1">
      <c r="A95" s="525"/>
      <c r="B95" s="484" t="s">
        <v>1907</v>
      </c>
      <c r="C95" s="524" t="s">
        <v>1721</v>
      </c>
      <c r="D95" s="524" t="s">
        <v>1722</v>
      </c>
      <c r="E95" s="524" t="s">
        <v>1723</v>
      </c>
      <c r="F95" s="524" t="s">
        <v>1724</v>
      </c>
      <c r="G95" s="524" t="s">
        <v>1725</v>
      </c>
      <c r="H95" s="524"/>
      <c r="I95" s="524"/>
      <c r="J95" s="524"/>
      <c r="K95" s="524"/>
      <c r="L95" s="643"/>
      <c r="M95" s="567"/>
      <c r="N95" s="2746"/>
      <c r="O95" s="2746"/>
      <c r="P95" s="2772"/>
      <c r="Q95" s="2733"/>
      <c r="R95" s="2655"/>
      <c r="S95" s="2655"/>
      <c r="T95" s="2655"/>
      <c r="U95" s="2655"/>
      <c r="V95" s="2655"/>
      <c r="W95" s="2655"/>
      <c r="X95" s="2655"/>
      <c r="Y95" s="2655"/>
      <c r="Z95" s="2655"/>
      <c r="AA95" s="2655"/>
      <c r="AB95" s="2655"/>
      <c r="AC95" s="2655"/>
    </row>
    <row r="96" spans="1:29" s="105" customFormat="1" ht="15.75" thickBot="1">
      <c r="A96" s="525"/>
      <c r="B96" s="489"/>
      <c r="C96" s="528">
        <v>100</v>
      </c>
      <c r="D96" s="490">
        <f>C96-$K23</f>
        <v>100</v>
      </c>
      <c r="E96" s="490">
        <f>D96-$K23</f>
        <v>100</v>
      </c>
      <c r="F96" s="490">
        <f>E96-$K23</f>
        <v>100</v>
      </c>
      <c r="G96" s="490">
        <f>F96-$K23</f>
        <v>100</v>
      </c>
      <c r="H96" s="490"/>
      <c r="I96" s="490"/>
      <c r="J96" s="490"/>
      <c r="K96" s="490"/>
      <c r="L96" s="490"/>
      <c r="M96" s="491"/>
      <c r="N96" s="2748"/>
      <c r="O96" s="2748"/>
      <c r="P96" s="2772"/>
      <c r="Q96" s="2733"/>
      <c r="R96" s="2655"/>
      <c r="S96" s="2655"/>
      <c r="T96" s="2655"/>
      <c r="U96" s="2655"/>
      <c r="V96" s="2655"/>
      <c r="W96" s="2655"/>
      <c r="X96" s="2655"/>
      <c r="Y96" s="2655"/>
      <c r="Z96" s="2655"/>
      <c r="AA96" s="2655"/>
      <c r="AB96" s="2655"/>
      <c r="AC96" s="2655"/>
    </row>
    <row r="97" spans="1:29" s="105" customFormat="1" ht="27.75" thickTop="1">
      <c r="A97" s="525"/>
      <c r="B97" s="484" t="s">
        <v>1908</v>
      </c>
      <c r="C97" s="519" t="s">
        <v>1721</v>
      </c>
      <c r="D97" s="519" t="s">
        <v>1722</v>
      </c>
      <c r="E97" s="519" t="s">
        <v>1723</v>
      </c>
      <c r="F97" s="519" t="s">
        <v>1724</v>
      </c>
      <c r="G97" s="519" t="s">
        <v>1725</v>
      </c>
      <c r="H97" s="524"/>
      <c r="I97" s="524"/>
      <c r="J97" s="524"/>
      <c r="K97" s="524"/>
      <c r="L97" s="524"/>
      <c r="M97" s="567"/>
      <c r="N97" s="2746"/>
      <c r="O97" s="2746"/>
      <c r="P97" s="2772"/>
      <c r="Q97" s="2733"/>
      <c r="R97" s="2655"/>
      <c r="S97" s="2655"/>
      <c r="T97" s="2655"/>
      <c r="U97" s="2655"/>
      <c r="V97" s="2655"/>
      <c r="W97" s="2655"/>
      <c r="X97" s="2655"/>
      <c r="Y97" s="2655"/>
      <c r="Z97" s="2655"/>
      <c r="AA97" s="2655"/>
      <c r="AB97" s="2655"/>
      <c r="AC97" s="2655"/>
    </row>
    <row r="98" spans="1:29" s="105" customFormat="1" ht="15.75" thickBot="1">
      <c r="A98" s="525"/>
      <c r="B98" s="489"/>
      <c r="C98" s="490">
        <v>100</v>
      </c>
      <c r="D98" s="490">
        <f>C98-$K25</f>
        <v>100</v>
      </c>
      <c r="E98" s="490">
        <f>D98-$K25</f>
        <v>100</v>
      </c>
      <c r="F98" s="490">
        <f>E98-$K25</f>
        <v>100</v>
      </c>
      <c r="G98" s="490">
        <f>F98-$K25</f>
        <v>100</v>
      </c>
      <c r="H98" s="490"/>
      <c r="I98" s="490"/>
      <c r="J98" s="490"/>
      <c r="K98" s="490"/>
      <c r="L98" s="490"/>
      <c r="M98" s="491"/>
      <c r="N98" s="2748"/>
      <c r="O98" s="2748"/>
      <c r="P98" s="2772"/>
      <c r="Q98" s="2733"/>
      <c r="R98" s="2655"/>
      <c r="S98" s="2655"/>
      <c r="T98" s="2655"/>
      <c r="U98" s="2655"/>
      <c r="V98" s="2655"/>
      <c r="W98" s="2655"/>
      <c r="X98" s="2655"/>
      <c r="Y98" s="2655"/>
      <c r="Z98" s="2655"/>
      <c r="AA98" s="2655"/>
      <c r="AB98" s="2655"/>
      <c r="AC98" s="2655"/>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9"/>
      <c r="O99" s="2749"/>
      <c r="P99" s="2773"/>
      <c r="Q99" s="2740"/>
      <c r="R99" s="2741"/>
      <c r="S99" s="2741"/>
      <c r="T99" s="2741"/>
      <c r="U99" s="2741"/>
      <c r="V99" s="2741"/>
      <c r="W99" s="2741"/>
      <c r="X99" s="2741"/>
      <c r="Y99" s="2741"/>
      <c r="Z99" s="2741"/>
      <c r="AA99" s="2741"/>
      <c r="AB99" s="2741"/>
      <c r="AC99" s="2741"/>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9"/>
      <c r="O100" s="2749"/>
      <c r="P100" s="2773"/>
      <c r="Q100" s="2740"/>
      <c r="R100" s="2741"/>
      <c r="S100" s="2741"/>
      <c r="T100" s="2741"/>
      <c r="U100" s="2741"/>
      <c r="V100" s="2741"/>
      <c r="W100" s="2741"/>
      <c r="X100" s="2741"/>
      <c r="Y100" s="2741"/>
      <c r="Z100" s="2741"/>
      <c r="AA100" s="2741"/>
      <c r="AB100" s="2741"/>
      <c r="AC100" s="2741"/>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6"/>
      <c r="N101" s="2749"/>
      <c r="O101" s="2749"/>
      <c r="P101" s="2773"/>
      <c r="Q101" s="2740"/>
      <c r="R101" s="2741"/>
      <c r="S101" s="2741"/>
      <c r="T101" s="2741"/>
      <c r="U101" s="2741"/>
      <c r="V101" s="2741"/>
      <c r="W101" s="2741"/>
      <c r="X101" s="2741"/>
      <c r="Y101" s="2741"/>
      <c r="Z101" s="2741"/>
      <c r="AA101" s="2741"/>
      <c r="AB101" s="2741"/>
      <c r="AC101" s="2741"/>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7"/>
      <c r="O103" s="2747"/>
      <c r="P103" s="2772"/>
      <c r="Q103" s="2733"/>
      <c r="R103" s="2719"/>
      <c r="S103" s="2719"/>
      <c r="T103" s="2719"/>
      <c r="U103" s="2719"/>
      <c r="V103" s="2719"/>
      <c r="W103" s="2719"/>
      <c r="X103" s="2719"/>
      <c r="Y103" s="2719"/>
      <c r="Z103" s="2719"/>
      <c r="AA103" s="2719"/>
      <c r="AB103" s="2719"/>
      <c r="AC103" s="2719"/>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0"/>
      <c r="B105" s="484" t="s">
        <v>1815</v>
      </c>
      <c r="C105" s="500"/>
      <c r="D105" s="500"/>
      <c r="E105" s="500"/>
      <c r="F105" s="500"/>
      <c r="G105" s="500"/>
      <c r="H105" s="529"/>
      <c r="I105" s="529"/>
      <c r="J105" s="529"/>
      <c r="K105" s="530"/>
      <c r="L105" s="531"/>
      <c r="M105" s="532"/>
      <c r="N105" s="2747"/>
      <c r="O105" s="2747"/>
      <c r="P105" s="2772"/>
      <c r="Q105" s="2733"/>
      <c r="R105" s="2719"/>
      <c r="S105" s="2719"/>
      <c r="T105" s="2719"/>
      <c r="U105" s="2719"/>
      <c r="V105" s="2719"/>
      <c r="W105" s="2719"/>
      <c r="X105" s="2719"/>
      <c r="Y105" s="2719"/>
      <c r="Z105" s="2719"/>
      <c r="AA105" s="2719"/>
      <c r="AB105" s="2719"/>
      <c r="AC105" s="2719"/>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0"/>
      <c r="B107" s="484" t="s">
        <v>1873</v>
      </c>
      <c r="C107" s="529"/>
      <c r="D107" s="529"/>
      <c r="E107" s="529"/>
      <c r="F107" s="529"/>
      <c r="G107" s="529"/>
      <c r="H107" s="529"/>
      <c r="I107" s="529"/>
      <c r="J107" s="529"/>
      <c r="K107" s="530"/>
      <c r="L107" s="531"/>
      <c r="M107" s="532"/>
      <c r="N107" s="2747"/>
      <c r="O107" s="2747"/>
      <c r="P107" s="2772"/>
      <c r="Q107" s="2733"/>
      <c r="R107" s="2719"/>
      <c r="S107" s="2719"/>
      <c r="T107" s="2719"/>
      <c r="U107" s="2719"/>
      <c r="V107" s="2719"/>
      <c r="W107" s="2719"/>
      <c r="X107" s="2719"/>
      <c r="Y107" s="2719"/>
      <c r="Z107" s="2719"/>
      <c r="AA107" s="2719"/>
      <c r="AB107" s="2719"/>
      <c r="AC107" s="2719"/>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0"/>
      <c r="B109" s="492">
        <f>B35</f>
        <v>111</v>
      </c>
      <c r="C109" s="500"/>
      <c r="D109" s="500"/>
      <c r="E109" s="500"/>
      <c r="F109" s="500"/>
      <c r="G109" s="533"/>
      <c r="H109" s="533"/>
      <c r="I109" s="533"/>
      <c r="J109" s="533"/>
      <c r="K109" s="534"/>
      <c r="L109" s="535"/>
      <c r="M109" s="536"/>
      <c r="N109" s="2747"/>
      <c r="O109" s="2747"/>
      <c r="P109" s="2772"/>
      <c r="Q109" s="2733"/>
      <c r="R109" s="2719"/>
      <c r="S109" s="2719"/>
      <c r="T109" s="2719"/>
      <c r="U109" s="2719"/>
      <c r="V109" s="2719"/>
      <c r="W109" s="2719"/>
      <c r="X109" s="2719"/>
      <c r="Y109" s="2719"/>
      <c r="Z109" s="2719"/>
      <c r="AA109" s="2719"/>
      <c r="AB109" s="2719"/>
      <c r="AC109" s="2719"/>
    </row>
    <row r="110" spans="1:29" ht="15.75" thickBot="1">
      <c r="A110" s="480"/>
      <c r="B110" s="515"/>
      <c r="C110" s="506"/>
      <c r="D110" s="506"/>
      <c r="E110" s="506"/>
      <c r="F110" s="506"/>
      <c r="G110" s="537"/>
      <c r="H110" s="537"/>
      <c r="I110" s="537"/>
      <c r="J110" s="537"/>
      <c r="K110" s="537"/>
      <c r="L110" s="537"/>
      <c r="M110" s="538"/>
      <c r="N110" s="2748"/>
      <c r="O110" s="2748"/>
      <c r="P110" s="2772"/>
      <c r="Q110" s="2733"/>
      <c r="R110" s="2719"/>
      <c r="S110" s="2719"/>
      <c r="T110" s="2719"/>
      <c r="U110" s="2719"/>
      <c r="V110" s="2719"/>
      <c r="W110" s="2719"/>
      <c r="X110" s="2719"/>
      <c r="Y110" s="2719"/>
      <c r="Z110" s="2719"/>
      <c r="AA110" s="2719"/>
      <c r="AB110" s="2719"/>
      <c r="AC110" s="2719"/>
    </row>
    <row r="111" spans="1:29" ht="15" thickTop="1">
      <c r="A111" s="620"/>
      <c r="B111" s="484">
        <f>B36</f>
        <v>111</v>
      </c>
      <c r="C111" s="469"/>
      <c r="D111" s="469"/>
      <c r="E111" s="469"/>
      <c r="F111" s="469"/>
      <c r="G111" s="529"/>
      <c r="H111" s="529"/>
      <c r="I111" s="529"/>
      <c r="J111" s="529"/>
      <c r="K111" s="530"/>
      <c r="L111" s="531"/>
      <c r="M111" s="532"/>
      <c r="N111" s="2747"/>
      <c r="O111" s="2747"/>
      <c r="P111" s="2772"/>
      <c r="Q111" s="2733"/>
      <c r="R111" s="2719"/>
      <c r="S111" s="2719"/>
      <c r="T111" s="2719"/>
      <c r="U111" s="2719"/>
      <c r="V111" s="2719"/>
      <c r="W111" s="2719"/>
      <c r="X111" s="2719"/>
      <c r="Y111" s="2719"/>
      <c r="Z111" s="2719"/>
      <c r="AA111" s="2719"/>
      <c r="AB111" s="2719"/>
      <c r="AC111" s="2719"/>
    </row>
    <row r="112" spans="1:29" ht="15.75" thickBot="1">
      <c r="A112" s="480"/>
      <c r="B112" s="489"/>
      <c r="C112" s="516"/>
      <c r="D112" s="516"/>
      <c r="E112" s="516"/>
      <c r="F112" s="516"/>
      <c r="G112" s="482"/>
      <c r="H112" s="482"/>
      <c r="I112" s="482"/>
      <c r="J112" s="482"/>
      <c r="K112" s="482"/>
      <c r="L112" s="482"/>
      <c r="M112" s="483"/>
      <c r="N112" s="2748"/>
      <c r="O112" s="2748"/>
      <c r="P112" s="2772"/>
      <c r="Q112" s="2733"/>
      <c r="R112" s="2719"/>
      <c r="S112" s="2719"/>
      <c r="T112" s="2719"/>
      <c r="U112" s="2719"/>
      <c r="V112" s="2719"/>
      <c r="W112" s="2719"/>
      <c r="X112" s="2719"/>
      <c r="Y112" s="2719"/>
      <c r="Z112" s="2719"/>
      <c r="AA112" s="2719"/>
      <c r="AB112" s="2719"/>
      <c r="AC112" s="2719"/>
    </row>
    <row r="113" spans="1:29" s="419" customFormat="1" ht="15" thickTop="1">
      <c r="A113" s="539"/>
      <c r="B113" s="540">
        <f>B37</f>
        <v>111</v>
      </c>
      <c r="C113" s="541"/>
      <c r="D113" s="541"/>
      <c r="E113" s="541"/>
      <c r="F113" s="541"/>
      <c r="G113" s="541"/>
      <c r="H113" s="541"/>
      <c r="I113" s="541"/>
      <c r="J113" s="542"/>
      <c r="K113" s="542"/>
      <c r="L113" s="543"/>
      <c r="M113" s="544"/>
      <c r="N113" s="2749"/>
      <c r="O113" s="2749"/>
      <c r="P113" s="2773"/>
      <c r="Q113" s="2740"/>
      <c r="R113" s="2741"/>
      <c r="S113" s="2741"/>
      <c r="T113" s="2741"/>
      <c r="U113" s="2741"/>
      <c r="V113" s="2741"/>
      <c r="W113" s="2741"/>
      <c r="X113" s="2741"/>
      <c r="Y113" s="2741"/>
      <c r="Z113" s="2741"/>
      <c r="AA113" s="2741"/>
      <c r="AB113" s="2741"/>
      <c r="AC113" s="2741"/>
    </row>
    <row r="114" spans="1:29" s="419" customFormat="1" ht="15.75" thickBot="1">
      <c r="A114" s="499"/>
      <c r="B114" s="492"/>
      <c r="C114" s="458"/>
      <c r="D114" s="622"/>
      <c r="E114" s="622"/>
      <c r="F114" s="622"/>
      <c r="G114" s="622"/>
      <c r="H114" s="622"/>
      <c r="I114" s="622"/>
      <c r="J114" s="622"/>
      <c r="K114" s="622"/>
      <c r="L114" s="622"/>
      <c r="M114" s="644"/>
      <c r="N114" s="2748"/>
      <c r="O114" s="2748"/>
      <c r="P114" s="2773"/>
      <c r="Q114" s="2740"/>
      <c r="R114" s="2741"/>
      <c r="S114" s="2741"/>
      <c r="T114" s="2741"/>
      <c r="U114" s="2741"/>
      <c r="V114" s="2741"/>
      <c r="W114" s="2741"/>
      <c r="X114" s="2741"/>
      <c r="Y114" s="2741"/>
      <c r="Z114" s="2741"/>
      <c r="AA114" s="2741"/>
      <c r="AB114" s="2741"/>
      <c r="AC114" s="2741"/>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0"/>
      <c r="B116" s="492"/>
      <c r="C116" s="541"/>
      <c r="D116" s="541"/>
      <c r="E116" s="541"/>
      <c r="F116" s="541"/>
      <c r="G116" s="541"/>
      <c r="H116" s="541"/>
      <c r="I116" s="541"/>
      <c r="J116" s="542"/>
      <c r="K116" s="542"/>
      <c r="L116" s="543"/>
      <c r="M116" s="544"/>
      <c r="N116" s="2747"/>
      <c r="O116" s="2747"/>
      <c r="P116" s="2772"/>
      <c r="Q116" s="2733"/>
      <c r="R116" s="2719"/>
      <c r="S116" s="2719"/>
      <c r="T116" s="2719"/>
      <c r="U116" s="2719"/>
      <c r="V116" s="2719"/>
      <c r="W116" s="2719"/>
      <c r="X116" s="2719"/>
      <c r="Y116" s="2719"/>
      <c r="Z116" s="2719"/>
      <c r="AA116" s="2719"/>
      <c r="AB116" s="2719"/>
      <c r="AC116" s="2719"/>
    </row>
    <row r="117" spans="1:29" ht="15.75" thickBot="1">
      <c r="A117" s="480"/>
      <c r="B117" s="489"/>
      <c r="C117" s="516"/>
      <c r="D117" s="537"/>
      <c r="E117" s="537"/>
      <c r="F117" s="537"/>
      <c r="G117" s="537"/>
      <c r="H117" s="537"/>
      <c r="I117" s="537"/>
      <c r="J117" s="537"/>
      <c r="K117" s="537"/>
      <c r="L117" s="537"/>
      <c r="M117" s="538"/>
      <c r="N117" s="2748"/>
      <c r="O117" s="2748"/>
      <c r="P117" s="2772"/>
      <c r="Q117" s="2733"/>
      <c r="R117" s="2719"/>
      <c r="S117" s="2719"/>
      <c r="T117" s="2719"/>
      <c r="U117" s="2719"/>
      <c r="V117" s="2719"/>
      <c r="W117" s="2719"/>
      <c r="X117" s="2719"/>
      <c r="Y117" s="2719"/>
      <c r="Z117" s="2719"/>
      <c r="AA117" s="2719"/>
      <c r="AB117" s="2719"/>
      <c r="AC117" s="2719"/>
    </row>
    <row r="118" spans="1:29" ht="15" thickTop="1">
      <c r="A118" s="545"/>
      <c r="B118" s="484" t="s">
        <v>1914</v>
      </c>
      <c r="C118" s="529"/>
      <c r="D118" s="529"/>
      <c r="E118" s="529"/>
      <c r="F118" s="529"/>
      <c r="G118" s="529"/>
      <c r="H118" s="529"/>
      <c r="I118" s="529"/>
      <c r="J118" s="529"/>
      <c r="K118" s="530"/>
      <c r="L118" s="531"/>
      <c r="M118" s="532"/>
      <c r="N118" s="2747"/>
      <c r="O118" s="2747"/>
      <c r="P118" s="2772"/>
      <c r="Q118" s="2733"/>
      <c r="R118" s="2719"/>
      <c r="S118" s="2719"/>
      <c r="T118" s="2719"/>
      <c r="U118" s="2719"/>
      <c r="V118" s="2719"/>
      <c r="W118" s="2719"/>
      <c r="X118" s="2719"/>
      <c r="Y118" s="2719"/>
      <c r="Z118" s="2719"/>
      <c r="AA118" s="2719"/>
      <c r="AB118" s="2719"/>
      <c r="AC118" s="2719"/>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5"/>
      <c r="B120" s="484" t="s">
        <v>1915</v>
      </c>
      <c r="C120" s="500"/>
      <c r="D120" s="500"/>
      <c r="E120" s="500"/>
      <c r="F120" s="529"/>
      <c r="G120" s="529"/>
      <c r="H120" s="529"/>
      <c r="I120" s="529"/>
      <c r="J120" s="529"/>
      <c r="K120" s="530"/>
      <c r="L120" s="531"/>
      <c r="M120" s="532"/>
      <c r="N120" s="2747"/>
      <c r="O120" s="2747"/>
      <c r="P120" s="2772"/>
      <c r="Q120" s="2733"/>
      <c r="R120" s="2719"/>
      <c r="S120" s="2719"/>
      <c r="T120" s="2719"/>
      <c r="U120" s="2719"/>
      <c r="V120" s="2719"/>
      <c r="W120" s="2719"/>
      <c r="X120" s="2719"/>
      <c r="Y120" s="2719"/>
      <c r="Z120" s="2719"/>
      <c r="AA120" s="2719"/>
      <c r="AB120" s="2719"/>
      <c r="AC120" s="2719"/>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8"/>
      <c r="O121" s="2748"/>
      <c r="P121" s="2772"/>
      <c r="Q121" s="2733"/>
      <c r="R121" s="2719"/>
      <c r="S121" s="2719"/>
      <c r="T121" s="2719"/>
      <c r="U121" s="2719"/>
      <c r="V121" s="2719"/>
      <c r="W121" s="2719"/>
      <c r="X121" s="2719"/>
      <c r="Y121" s="2719"/>
      <c r="Z121" s="2719"/>
      <c r="AA121" s="2719"/>
      <c r="AB121" s="2719"/>
      <c r="AC121" s="2719"/>
    </row>
    <row r="122" spans="1:29" s="419" customFormat="1" ht="15" thickTop="1">
      <c r="A122" s="539"/>
      <c r="B122" s="484" t="s">
        <v>1916</v>
      </c>
      <c r="C122" s="500"/>
      <c r="D122" s="500"/>
      <c r="E122" s="500"/>
      <c r="F122" s="500"/>
      <c r="G122" s="500"/>
      <c r="H122" s="529"/>
      <c r="I122" s="529"/>
      <c r="J122" s="529"/>
      <c r="K122" s="530"/>
      <c r="L122" s="531"/>
      <c r="M122" s="532"/>
      <c r="N122" s="2749"/>
      <c r="O122" s="2749"/>
      <c r="P122" s="2773"/>
      <c r="Q122" s="2740"/>
      <c r="R122" s="2741"/>
      <c r="S122" s="2741"/>
      <c r="T122" s="2741"/>
      <c r="U122" s="2741"/>
      <c r="V122" s="2741"/>
      <c r="W122" s="2741"/>
      <c r="X122" s="2741"/>
      <c r="Y122" s="2741"/>
      <c r="Z122" s="2741"/>
      <c r="AA122" s="2741"/>
      <c r="AB122" s="2741"/>
      <c r="AC122" s="2741"/>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5"/>
      <c r="B124" s="484" t="s">
        <v>1917</v>
      </c>
      <c r="C124" s="500"/>
      <c r="D124" s="500"/>
      <c r="E124" s="529"/>
      <c r="F124" s="529"/>
      <c r="G124" s="529"/>
      <c r="H124" s="529"/>
      <c r="I124" s="529"/>
      <c r="J124" s="529"/>
      <c r="K124" s="530"/>
      <c r="L124" s="531"/>
      <c r="M124" s="532"/>
      <c r="N124" s="2747"/>
      <c r="O124" s="2747"/>
      <c r="P124" s="2772"/>
      <c r="Q124" s="2733"/>
      <c r="R124" s="2719"/>
      <c r="S124" s="2719"/>
      <c r="T124" s="2719"/>
      <c r="U124" s="2719"/>
      <c r="V124" s="2719"/>
      <c r="W124" s="2719"/>
      <c r="X124" s="2719"/>
      <c r="Y124" s="2719"/>
      <c r="Z124" s="2719"/>
      <c r="AA124" s="2719"/>
      <c r="AB124" s="2719"/>
      <c r="AC124" s="2719"/>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5"/>
      <c r="B126" s="484">
        <f>B43</f>
        <v>111</v>
      </c>
      <c r="C126" s="500"/>
      <c r="D126" s="500"/>
      <c r="E126" s="500"/>
      <c r="F126" s="500"/>
      <c r="G126" s="500"/>
      <c r="H126" s="529"/>
      <c r="I126" s="529"/>
      <c r="J126" s="529"/>
      <c r="K126" s="530"/>
      <c r="L126" s="531"/>
      <c r="M126" s="532"/>
      <c r="N126" s="2747"/>
      <c r="O126" s="2747"/>
      <c r="P126" s="2772"/>
      <c r="Q126" s="2733"/>
      <c r="R126" s="2719"/>
      <c r="S126" s="2719"/>
      <c r="T126" s="2719"/>
      <c r="U126" s="2719"/>
      <c r="V126" s="2719"/>
      <c r="W126" s="2719"/>
      <c r="X126" s="2719"/>
      <c r="Y126" s="2719"/>
      <c r="Z126" s="2719"/>
      <c r="AA126" s="2719"/>
      <c r="AB126" s="2719"/>
      <c r="AC126" s="2719"/>
    </row>
    <row r="127" spans="1:29" ht="15.75" thickBot="1">
      <c r="A127" s="480"/>
      <c r="B127" s="489"/>
      <c r="C127" s="506"/>
      <c r="D127" s="506"/>
      <c r="E127" s="506"/>
      <c r="F127" s="506"/>
      <c r="G127" s="482"/>
      <c r="H127" s="482"/>
      <c r="I127" s="482"/>
      <c r="J127" s="482"/>
      <c r="K127" s="482"/>
      <c r="L127" s="482"/>
      <c r="M127" s="483"/>
      <c r="N127" s="2748"/>
      <c r="O127" s="2748"/>
      <c r="P127" s="2772"/>
      <c r="Q127" s="2733"/>
      <c r="R127" s="2719"/>
      <c r="S127" s="2719"/>
      <c r="T127" s="2719"/>
      <c r="U127" s="2719"/>
      <c r="V127" s="2719"/>
      <c r="W127" s="2719"/>
      <c r="X127" s="2719"/>
      <c r="Y127" s="2719"/>
      <c r="Z127" s="2719"/>
      <c r="AA127" s="2719"/>
      <c r="AB127" s="2719"/>
      <c r="AC127" s="2719"/>
    </row>
    <row r="128" spans="1:29" ht="15" thickTop="1">
      <c r="A128" s="545"/>
      <c r="B128" s="484">
        <f>B44</f>
        <v>111</v>
      </c>
      <c r="C128" s="469"/>
      <c r="D128" s="469"/>
      <c r="E128" s="469"/>
      <c r="F128" s="469"/>
      <c r="G128" s="529"/>
      <c r="H128" s="529"/>
      <c r="I128" s="529"/>
      <c r="J128" s="529"/>
      <c r="K128" s="530"/>
      <c r="L128" s="531"/>
      <c r="M128" s="532"/>
      <c r="N128" s="2747"/>
      <c r="O128" s="2747"/>
      <c r="P128" s="2772"/>
      <c r="Q128" s="2733"/>
      <c r="R128" s="2719"/>
      <c r="S128" s="2719"/>
      <c r="T128" s="2719"/>
      <c r="U128" s="2719"/>
      <c r="V128" s="2719"/>
      <c r="W128" s="2719"/>
      <c r="X128" s="2719"/>
      <c r="Y128" s="2719"/>
      <c r="Z128" s="2719"/>
      <c r="AA128" s="2719"/>
      <c r="AB128" s="2719"/>
      <c r="AC128" s="2719"/>
    </row>
    <row r="129" spans="1:29" ht="15.75" thickBot="1">
      <c r="A129" s="480"/>
      <c r="B129" s="489"/>
      <c r="C129" s="516"/>
      <c r="D129" s="516"/>
      <c r="E129" s="516"/>
      <c r="F129" s="516"/>
      <c r="G129" s="482"/>
      <c r="H129" s="482"/>
      <c r="I129" s="482"/>
      <c r="J129" s="482"/>
      <c r="K129" s="482"/>
      <c r="L129" s="482"/>
      <c r="M129" s="483"/>
      <c r="N129" s="2748"/>
      <c r="O129" s="2748"/>
      <c r="P129" s="2772"/>
      <c r="Q129" s="2733"/>
      <c r="R129" s="2719"/>
      <c r="S129" s="2719"/>
      <c r="T129" s="2719"/>
      <c r="U129" s="2719"/>
      <c r="V129" s="2719"/>
      <c r="W129" s="2719"/>
      <c r="X129" s="2719"/>
      <c r="Y129" s="2719"/>
      <c r="Z129" s="2719"/>
      <c r="AA129" s="2719"/>
      <c r="AB129" s="2719"/>
      <c r="AC129" s="2719"/>
    </row>
    <row r="130" spans="1:29" s="419" customFormat="1" ht="15" thickTop="1">
      <c r="A130" s="539"/>
      <c r="B130" s="484">
        <f>B45</f>
        <v>111</v>
      </c>
      <c r="C130" s="469"/>
      <c r="D130" s="469"/>
      <c r="E130" s="469"/>
      <c r="F130" s="469"/>
      <c r="G130" s="501"/>
      <c r="H130" s="501"/>
      <c r="I130" s="501"/>
      <c r="J130" s="501"/>
      <c r="K130" s="501"/>
      <c r="L130" s="502"/>
      <c r="M130" s="503"/>
      <c r="N130" s="2749"/>
      <c r="O130" s="2749"/>
      <c r="P130" s="2773"/>
      <c r="Q130" s="2740"/>
      <c r="R130" s="2741"/>
      <c r="S130" s="2741"/>
      <c r="T130" s="2741"/>
      <c r="U130" s="2741"/>
      <c r="V130" s="2741"/>
      <c r="W130" s="2741"/>
      <c r="X130" s="2741"/>
      <c r="Y130" s="2741"/>
      <c r="Z130" s="2741"/>
      <c r="AA130" s="2741"/>
      <c r="AB130" s="2741"/>
      <c r="AC130" s="2741"/>
    </row>
    <row r="131" spans="1:29" s="419" customFormat="1" ht="15.75" thickBot="1">
      <c r="A131" s="514"/>
      <c r="B131" s="645"/>
      <c r="C131" s="516"/>
      <c r="D131" s="516"/>
      <c r="E131" s="516"/>
      <c r="F131" s="516"/>
      <c r="G131" s="537"/>
      <c r="H131" s="537"/>
      <c r="I131" s="537"/>
      <c r="J131" s="537"/>
      <c r="K131" s="537"/>
      <c r="L131" s="537"/>
      <c r="M131" s="538"/>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09" priority="13" stopIfTrue="1">
      <formula>$F$51="超过30%"</formula>
    </cfRule>
  </conditionalFormatting>
  <conditionalFormatting sqref="E52">
    <cfRule type="expression" dxfId="108" priority="11" stopIfTrue="1">
      <formula>$F$52="超过20%"</formula>
    </cfRule>
  </conditionalFormatting>
  <conditionalFormatting sqref="E53">
    <cfRule type="expression" dxfId="107" priority="10" stopIfTrue="1">
      <formula>$F$53="超过30%"</formula>
    </cfRule>
  </conditionalFormatting>
  <conditionalFormatting sqref="F7:F45 H7:H45 J7:J45">
    <cfRule type="cellIs" dxfId="106" priority="1" operator="notEqual">
      <formula>100</formula>
    </cfRule>
  </conditionalFormatting>
  <conditionalFormatting sqref="F47">
    <cfRule type="expression" dxfId="105" priority="4">
      <formula>$D$47="简单平均"</formula>
    </cfRule>
  </conditionalFormatting>
  <conditionalFormatting sqref="F51:F53 H51:H53 J51:J53">
    <cfRule type="containsText" dxfId="104" priority="14" stopIfTrue="1" operator="containsText" text="超过">
      <formula>NOT(ISERROR(SEARCH("超过",F51)))</formula>
    </cfRule>
  </conditionalFormatting>
  <conditionalFormatting sqref="G51">
    <cfRule type="expression" dxfId="103" priority="9" stopIfTrue="1">
      <formula>$H$53+$H$51="超过30%"</formula>
    </cfRule>
  </conditionalFormatting>
  <conditionalFormatting sqref="G52">
    <cfRule type="expression" dxfId="102" priority="8" stopIfTrue="1">
      <formula>$H$52="超过20%"</formula>
    </cfRule>
  </conditionalFormatting>
  <conditionalFormatting sqref="G53">
    <cfRule type="expression" dxfId="101" priority="12" stopIfTrue="1">
      <formula>$H$53="超过30%"</formula>
    </cfRule>
  </conditionalFormatting>
  <conditionalFormatting sqref="H47">
    <cfRule type="expression" dxfId="100" priority="3">
      <formula>$D$47="简单平均"</formula>
    </cfRule>
  </conditionalFormatting>
  <conditionalFormatting sqref="I51">
    <cfRule type="expression" dxfId="99" priority="7" stopIfTrue="1">
      <formula>$J$51="超过30%"</formula>
    </cfRule>
  </conditionalFormatting>
  <conditionalFormatting sqref="I52">
    <cfRule type="expression" dxfId="98" priority="6" stopIfTrue="1">
      <formula>$J$52="超过20%"</formula>
    </cfRule>
  </conditionalFormatting>
  <conditionalFormatting sqref="I53">
    <cfRule type="expression" dxfId="97" priority="5" stopIfTrue="1">
      <formula>$J$53="超过30%"</formula>
    </cfRule>
  </conditionalFormatting>
  <conditionalFormatting sqref="J47">
    <cfRule type="expression" dxfId="96"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估价对象为北京市房地产，为所有。根据《国有土地使用证》[]，估价对象（分摊）出让国有建设用地使用权面积为15255.5平方米，建筑面积为17747.63平方米。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估价对象为北京市房地产,属开发建设的，该项目尚在开发建设中。根据《国有土地使用证》[]，估价对象（分摊）出让国有建设用地使用权面积为15255.5平方米，规划建筑面积为17747.63平方米。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2024年9月4日（评估专业人员实地查勘之日）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4" t="str">
        <f>IF(项目基本情况!B9="房地产市场价值","——",IF(项目基本情况!E9="——","",定义!C57))</f>
        <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9" customFormat="1" ht="28.5" customHeight="1">
      <c r="A2" s="198" t="s">
        <v>1462</v>
      </c>
      <c r="B2" s="616" t="e">
        <f>F61</f>
        <v>#DIV/0!</v>
      </c>
      <c r="C2" s="902"/>
      <c r="D2" s="902"/>
      <c r="E2" s="902"/>
      <c r="F2" s="903"/>
      <c r="G2" s="902"/>
      <c r="H2" s="902"/>
      <c r="I2" s="902"/>
      <c r="J2" s="902"/>
      <c r="K2" s="904"/>
      <c r="L2" s="2728"/>
      <c r="M2" s="2729"/>
      <c r="N2" s="2729"/>
      <c r="O2" s="2729"/>
      <c r="P2" s="696"/>
      <c r="Q2" s="696"/>
      <c r="R2" s="696"/>
      <c r="S2" s="696"/>
      <c r="T2" s="696"/>
      <c r="U2" s="696"/>
      <c r="V2" s="696"/>
      <c r="W2" s="696"/>
      <c r="X2" s="696"/>
      <c r="Y2" s="696"/>
      <c r="Z2" s="696"/>
      <c r="AA2" s="696"/>
      <c r="AB2" s="696"/>
      <c r="AC2" s="697"/>
    </row>
    <row r="3" spans="1:29" s="349" customFormat="1" ht="28.5" customHeight="1" thickBot="1">
      <c r="A3" s="200" t="s">
        <v>1464</v>
      </c>
      <c r="B3" s="555" t="e">
        <f>ROUND(IF(D3="",B2*10000/'数据-汇总表'!E3,B2*10000/D3),0)</f>
        <v>#DIV/0!</v>
      </c>
      <c r="C3" s="200" t="s">
        <v>1869</v>
      </c>
      <c r="D3" s="1187"/>
      <c r="E3" s="902"/>
      <c r="F3" s="903"/>
      <c r="G3" s="902"/>
      <c r="H3" s="902"/>
      <c r="I3" s="902"/>
      <c r="J3" s="902"/>
      <c r="K3" s="904"/>
      <c r="L3" s="2728"/>
      <c r="M3" s="2729"/>
      <c r="N3" s="2729"/>
      <c r="O3" s="2729"/>
      <c r="P3" s="696"/>
      <c r="Q3" s="696"/>
      <c r="R3" s="696"/>
      <c r="S3" s="696"/>
      <c r="T3" s="696"/>
      <c r="U3" s="696"/>
      <c r="V3" s="696"/>
      <c r="W3" s="696"/>
      <c r="X3" s="696"/>
      <c r="Y3" s="696"/>
      <c r="Z3" s="696"/>
      <c r="AA3" s="696"/>
      <c r="AB3" s="713"/>
      <c r="AC3" s="710"/>
    </row>
    <row r="4" spans="1:29" ht="15">
      <c r="A4" s="352" t="s">
        <v>1769</v>
      </c>
      <c r="B4" s="353"/>
      <c r="C4" s="3728" t="s">
        <v>1770</v>
      </c>
      <c r="D4" s="3729"/>
      <c r="E4" s="3730" t="s">
        <v>1771</v>
      </c>
      <c r="F4" s="3731"/>
      <c r="G4" s="3728" t="s">
        <v>1772</v>
      </c>
      <c r="H4" s="3729"/>
      <c r="I4" s="3728" t="s">
        <v>1773</v>
      </c>
      <c r="J4" s="3729"/>
      <c r="K4" s="556" t="s">
        <v>1774</v>
      </c>
      <c r="L4" s="2709"/>
      <c r="M4" s="2710"/>
      <c r="N4" s="2710"/>
      <c r="O4" s="2710"/>
      <c r="P4" s="3732" t="s">
        <v>1775</v>
      </c>
      <c r="Q4" s="3733"/>
      <c r="R4" s="3715" t="s">
        <v>1771</v>
      </c>
      <c r="S4" s="3716"/>
      <c r="T4" s="3715" t="s">
        <v>1772</v>
      </c>
      <c r="U4" s="3716"/>
      <c r="V4" s="3740" t="s">
        <v>1773</v>
      </c>
      <c r="W4" s="3740"/>
      <c r="X4" s="1349"/>
      <c r="Y4" s="3715" t="s">
        <v>1775</v>
      </c>
      <c r="Z4" s="3716"/>
      <c r="AA4" s="3710" t="s">
        <v>1771</v>
      </c>
      <c r="AB4" s="3711" t="s">
        <v>1772</v>
      </c>
      <c r="AC4" s="3710" t="s">
        <v>1773</v>
      </c>
    </row>
    <row r="5" spans="1:29" ht="15">
      <c r="A5" s="355"/>
      <c r="B5" s="356"/>
      <c r="C5" s="3721" t="s">
        <v>1673</v>
      </c>
      <c r="D5" s="3722"/>
      <c r="E5" s="3719" t="s">
        <v>1674</v>
      </c>
      <c r="F5" s="3720"/>
      <c r="G5" s="3721" t="s">
        <v>1675</v>
      </c>
      <c r="H5" s="3722"/>
      <c r="I5" s="3721" t="s">
        <v>1676</v>
      </c>
      <c r="J5" s="3722"/>
      <c r="K5" s="556"/>
      <c r="L5" s="2709"/>
      <c r="M5" s="2710"/>
      <c r="N5" s="2710"/>
      <c r="O5" s="2710"/>
      <c r="P5" s="3734"/>
      <c r="Q5" s="3735"/>
      <c r="R5" s="3717"/>
      <c r="S5" s="3718"/>
      <c r="T5" s="3717"/>
      <c r="U5" s="3718"/>
      <c r="V5" s="3740"/>
      <c r="W5" s="3740"/>
      <c r="X5" s="1349"/>
      <c r="Y5" s="3717"/>
      <c r="Z5" s="3718"/>
      <c r="AA5" s="3711"/>
      <c r="AB5" s="3711"/>
      <c r="AC5" s="3711"/>
    </row>
    <row r="6" spans="1:29" ht="15.75" thickBot="1">
      <c r="A6" s="357"/>
      <c r="B6" s="358"/>
      <c r="C6" s="3761" t="s">
        <v>1919</v>
      </c>
      <c r="D6" s="3762"/>
      <c r="E6" s="3763" t="s">
        <v>1919</v>
      </c>
      <c r="F6" s="3764"/>
      <c r="G6" s="3761" t="s">
        <v>1919</v>
      </c>
      <c r="H6" s="3762"/>
      <c r="I6" s="3761" t="s">
        <v>1919</v>
      </c>
      <c r="J6" s="3762"/>
      <c r="K6" s="556" t="s">
        <v>1678</v>
      </c>
      <c r="L6" s="2709"/>
      <c r="M6" s="2710"/>
      <c r="N6" s="2710"/>
      <c r="O6" s="2710"/>
      <c r="P6" s="3736"/>
      <c r="Q6" s="3737"/>
      <c r="R6" s="3717"/>
      <c r="S6" s="3718"/>
      <c r="T6" s="3738"/>
      <c r="U6" s="3739"/>
      <c r="V6" s="3740"/>
      <c r="W6" s="3740"/>
      <c r="X6" s="1349"/>
      <c r="Y6" s="3738"/>
      <c r="Z6" s="3739"/>
      <c r="AA6" s="3712"/>
      <c r="AB6" s="3712"/>
      <c r="AC6" s="3712"/>
    </row>
    <row r="7" spans="1:29" s="105" customFormat="1" ht="15.75" thickBot="1">
      <c r="A7" s="359" t="s">
        <v>1679</v>
      </c>
      <c r="B7" s="360"/>
      <c r="C7" s="361">
        <f>'数据-取费表'!B2</f>
        <v>45539</v>
      </c>
      <c r="D7" s="362">
        <v>100</v>
      </c>
      <c r="E7" s="363"/>
      <c r="F7" s="364">
        <f>SUMIF(65:65,YEAR(E7)&amp;"-"&amp;INT((MONTH(E7)+2)/3),66:66)</f>
        <v>0</v>
      </c>
      <c r="G7" s="1968"/>
      <c r="H7" s="362">
        <f>SUMIF(65:65,YEAR(G7)&amp;"-"&amp;INT((MONTH(G7)+2)/3),66:66)</f>
        <v>0</v>
      </c>
      <c r="I7" s="1968"/>
      <c r="J7" s="362">
        <f>SUMIF(65:65,YEAR(I7)&amp;"-"&amp;INT((MONTH(I7)+2)/3),66:66)</f>
        <v>0</v>
      </c>
      <c r="K7" s="557"/>
      <c r="L7" s="2711"/>
      <c r="M7" s="2712"/>
      <c r="N7" s="2712"/>
      <c r="O7" s="2712"/>
      <c r="P7" s="3713" t="s">
        <v>1680</v>
      </c>
      <c r="Q7" s="3741"/>
      <c r="R7" s="698" t="s">
        <v>14</v>
      </c>
      <c r="S7" s="699">
        <f t="shared" ref="S7:S15" si="0">F7</f>
        <v>0</v>
      </c>
      <c r="T7" s="698" t="s">
        <v>14</v>
      </c>
      <c r="U7" s="699">
        <f t="shared" ref="U7:U15" si="1">H7</f>
        <v>0</v>
      </c>
      <c r="V7" s="698" t="s">
        <v>14</v>
      </c>
      <c r="W7" s="699">
        <f t="shared" ref="W7:W15" si="2">J7</f>
        <v>0</v>
      </c>
      <c r="X7" s="700"/>
      <c r="Y7" s="3713" t="s">
        <v>1680</v>
      </c>
      <c r="Z7" s="3714"/>
      <c r="AA7" s="701" t="e">
        <f>D7/F7</f>
        <v>#DIV/0!</v>
      </c>
      <c r="AB7" s="701" t="e">
        <f>D7/H7</f>
        <v>#DIV/0!</v>
      </c>
      <c r="AC7" s="701" t="e">
        <f>D7/J7</f>
        <v>#DIV/0!</v>
      </c>
    </row>
    <row r="8" spans="1:29" s="105"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11"/>
      <c r="M8" s="2712"/>
      <c r="N8" s="2712"/>
      <c r="O8" s="2712"/>
      <c r="P8" s="3713" t="s">
        <v>1683</v>
      </c>
      <c r="Q8" s="3714"/>
      <c r="R8" s="698" t="s">
        <v>14</v>
      </c>
      <c r="S8" s="699">
        <f t="shared" si="0"/>
        <v>0</v>
      </c>
      <c r="T8" s="698" t="s">
        <v>14</v>
      </c>
      <c r="U8" s="699">
        <f t="shared" si="1"/>
        <v>0</v>
      </c>
      <c r="V8" s="698" t="s">
        <v>14</v>
      </c>
      <c r="W8" s="699">
        <f t="shared" si="2"/>
        <v>0</v>
      </c>
      <c r="X8" s="700"/>
      <c r="Y8" s="3713" t="s">
        <v>1683</v>
      </c>
      <c r="Z8" s="3714"/>
      <c r="AA8" s="701" t="e">
        <f t="shared" ref="AA8:AA40" si="3">D8/F8</f>
        <v>#DIV/0!</v>
      </c>
      <c r="AB8" s="701" t="e">
        <f t="shared" ref="AB8:AB40" si="4">D8/H8</f>
        <v>#DIV/0!</v>
      </c>
      <c r="AC8" s="701" t="e">
        <f t="shared" ref="AC8:AC40" si="5">D8/J8</f>
        <v>#DIV/0!</v>
      </c>
    </row>
    <row r="9" spans="1:29" s="105" customFormat="1">
      <c r="A9" s="366" t="s">
        <v>1684</v>
      </c>
      <c r="B9" s="63" t="s">
        <v>1685</v>
      </c>
      <c r="C9" s="1971"/>
      <c r="D9" s="123">
        <v>100</v>
      </c>
      <c r="E9" s="1971"/>
      <c r="F9" s="123">
        <f>SUMIF(70:70,E9,71:71)-SUMIF(70:70,C9,71:71)+100</f>
        <v>100</v>
      </c>
      <c r="G9" s="1971"/>
      <c r="H9" s="123">
        <f>SUMIF(70:70,G9,71:71)-SUMIF(70:70,C9,71:71)+100</f>
        <v>100</v>
      </c>
      <c r="I9" s="1971"/>
      <c r="J9" s="123">
        <f>SUMIF(70:70,I9,71:71)-SUMIF(70:70,C9,71:71)+100</f>
        <v>100</v>
      </c>
      <c r="K9" s="557"/>
      <c r="L9" s="2711"/>
      <c r="M9" s="2712"/>
      <c r="N9" s="2712"/>
      <c r="O9" s="2766"/>
      <c r="P9" s="3745" t="s">
        <v>1686</v>
      </c>
      <c r="Q9" s="1337" t="str">
        <f t="shared" ref="Q9:Q15" si="6">B9</f>
        <v>用途</v>
      </c>
      <c r="R9" s="698" t="s">
        <v>14</v>
      </c>
      <c r="S9" s="699">
        <f t="shared" si="0"/>
        <v>100</v>
      </c>
      <c r="T9" s="698" t="s">
        <v>14</v>
      </c>
      <c r="U9" s="699">
        <f t="shared" si="1"/>
        <v>100</v>
      </c>
      <c r="V9" s="698" t="s">
        <v>14</v>
      </c>
      <c r="W9" s="699">
        <f t="shared" si="2"/>
        <v>100</v>
      </c>
      <c r="X9" s="700"/>
      <c r="Y9" s="3659" t="s">
        <v>1687</v>
      </c>
      <c r="Z9" s="52" t="str">
        <f t="shared" ref="Z9:Z15" si="7">Q9</f>
        <v>用途</v>
      </c>
      <c r="AA9" s="701">
        <f t="shared" si="3"/>
        <v>1</v>
      </c>
      <c r="AB9" s="701">
        <f t="shared" si="4"/>
        <v>1</v>
      </c>
      <c r="AC9" s="701">
        <f t="shared" si="5"/>
        <v>1</v>
      </c>
    </row>
    <row r="10" spans="1:29" s="375" customFormat="1" ht="27">
      <c r="A10" s="371"/>
      <c r="B10" s="372" t="s">
        <v>1688</v>
      </c>
      <c r="C10" s="380"/>
      <c r="D10" s="124">
        <v>100</v>
      </c>
      <c r="E10" s="380"/>
      <c r="F10" s="124">
        <f>ROUND(100/'数据-取费表'!G16,0)</f>
        <v>126</v>
      </c>
      <c r="G10" s="380"/>
      <c r="H10" s="124">
        <f>ROUND(100/'数据-取费表'!G16,0)</f>
        <v>126</v>
      </c>
      <c r="I10" s="380"/>
      <c r="J10" s="124">
        <f>ROUND(100/'数据-取费表'!G16,0)</f>
        <v>126</v>
      </c>
      <c r="K10" s="617"/>
      <c r="L10" s="2713"/>
      <c r="M10" s="2714"/>
      <c r="N10" s="2714"/>
      <c r="O10" s="2767"/>
      <c r="P10" s="3745"/>
      <c r="Q10" s="1337" t="str">
        <f t="shared" si="6"/>
        <v>土地使用年限（年）</v>
      </c>
      <c r="R10" s="698" t="s">
        <v>14</v>
      </c>
      <c r="S10" s="699">
        <f t="shared" si="0"/>
        <v>126</v>
      </c>
      <c r="T10" s="698" t="s">
        <v>14</v>
      </c>
      <c r="U10" s="699">
        <f t="shared" si="1"/>
        <v>126</v>
      </c>
      <c r="V10" s="698" t="s">
        <v>14</v>
      </c>
      <c r="W10" s="699">
        <f t="shared" si="2"/>
        <v>126</v>
      </c>
      <c r="X10" s="700"/>
      <c r="Y10" s="3659"/>
      <c r="Z10" s="52" t="str">
        <f t="shared" si="7"/>
        <v>土地使用年限（年）</v>
      </c>
      <c r="AA10" s="701">
        <f t="shared" si="3"/>
        <v>0.79365079365079361</v>
      </c>
      <c r="AB10" s="701">
        <f t="shared" si="4"/>
        <v>0.79365079365079361</v>
      </c>
      <c r="AC10" s="701">
        <f t="shared" si="5"/>
        <v>0.79365079365079361</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5"/>
      <c r="M11" s="2710"/>
      <c r="N11" s="2710"/>
      <c r="O11" s="2768"/>
      <c r="P11" s="3745"/>
      <c r="Q11" s="1337" t="str">
        <f t="shared" si="6"/>
        <v>容积率</v>
      </c>
      <c r="R11" s="698" t="s">
        <v>14</v>
      </c>
      <c r="S11" s="699" t="e">
        <f t="shared" si="0"/>
        <v>#N/A</v>
      </c>
      <c r="T11" s="698" t="s">
        <v>14</v>
      </c>
      <c r="U11" s="699" t="e">
        <f t="shared" si="1"/>
        <v>#N/A</v>
      </c>
      <c r="V11" s="698" t="s">
        <v>14</v>
      </c>
      <c r="W11" s="699" t="e">
        <f t="shared" si="2"/>
        <v>#N/A</v>
      </c>
      <c r="X11" s="700"/>
      <c r="Y11" s="3659"/>
      <c r="Z11" s="52" t="str">
        <f t="shared" si="7"/>
        <v>容积率</v>
      </c>
      <c r="AA11" s="701" t="e">
        <f t="shared" si="3"/>
        <v>#N/A</v>
      </c>
      <c r="AB11" s="701" t="e">
        <f t="shared" si="4"/>
        <v>#N/A</v>
      </c>
      <c r="AC11" s="701" t="e">
        <f t="shared" si="5"/>
        <v>#N/A</v>
      </c>
    </row>
    <row r="12" spans="1:29" s="105" customFormat="1" ht="15">
      <c r="A12" s="379"/>
      <c r="B12" s="1887">
        <v>111</v>
      </c>
      <c r="C12" s="380"/>
      <c r="D12" s="381">
        <v>100</v>
      </c>
      <c r="E12" s="495"/>
      <c r="F12" s="124">
        <f>SUMIF(77:77,E12,78:78)-SUMIF(77:77,C12,78:78)+100</f>
        <v>100</v>
      </c>
      <c r="G12" s="619"/>
      <c r="H12" s="124">
        <f>SUMIF(77:77,G12,78:78)-SUMIF(77:77,C12,78:78)+100</f>
        <v>100</v>
      </c>
      <c r="I12" s="495"/>
      <c r="J12" s="124">
        <f>SUMIF(77:77,I12,78:78)-SUMIF(77:77,C12,78:78)+100</f>
        <v>100</v>
      </c>
      <c r="K12" s="617"/>
      <c r="L12" s="2711"/>
      <c r="M12" s="2712"/>
      <c r="N12" s="2712"/>
      <c r="O12" s="2766"/>
      <c r="P12" s="3745"/>
      <c r="Q12" s="1337">
        <f t="shared" si="6"/>
        <v>111</v>
      </c>
      <c r="R12" s="698" t="s">
        <v>14</v>
      </c>
      <c r="S12" s="699">
        <f t="shared" si="0"/>
        <v>100</v>
      </c>
      <c r="T12" s="698" t="s">
        <v>14</v>
      </c>
      <c r="U12" s="699">
        <f t="shared" si="1"/>
        <v>100</v>
      </c>
      <c r="V12" s="698" t="s">
        <v>14</v>
      </c>
      <c r="W12" s="699">
        <f t="shared" si="2"/>
        <v>100</v>
      </c>
      <c r="X12" s="700"/>
      <c r="Y12" s="3659"/>
      <c r="Z12" s="52">
        <f t="shared" si="7"/>
        <v>111</v>
      </c>
      <c r="AA12" s="701">
        <f>D12/F12</f>
        <v>1</v>
      </c>
      <c r="AB12" s="701">
        <f>D12/H12</f>
        <v>1</v>
      </c>
      <c r="AC12" s="701">
        <f>D12/J12</f>
        <v>1</v>
      </c>
    </row>
    <row r="13" spans="1:29" ht="15">
      <c r="A13" s="376"/>
      <c r="B13" s="1887">
        <v>111</v>
      </c>
      <c r="C13" s="382"/>
      <c r="D13" s="383">
        <v>100</v>
      </c>
      <c r="E13" s="495"/>
      <c r="F13" s="124">
        <f>SUMIF(79:79,E13,80:80)-SUMIF(79:79,C13,80:80)+100</f>
        <v>100</v>
      </c>
      <c r="G13" s="619"/>
      <c r="H13" s="383">
        <f>SUMIF(79:79,G13,80:80)-SUMIF(79:79,C13,80:80)+100</f>
        <v>100</v>
      </c>
      <c r="I13" s="495"/>
      <c r="J13" s="383">
        <f>SUMIF(79:79,I13,80:80)-SUMIF(79:79,C13,80:80)+100</f>
        <v>100</v>
      </c>
      <c r="K13" s="617"/>
      <c r="L13" s="2716"/>
      <c r="M13" s="2710"/>
      <c r="N13" s="2710"/>
      <c r="O13" s="2768"/>
      <c r="P13" s="3745"/>
      <c r="Q13" s="1337">
        <f t="shared" si="6"/>
        <v>111</v>
      </c>
      <c r="R13" s="698" t="s">
        <v>14</v>
      </c>
      <c r="S13" s="699">
        <f t="shared" si="0"/>
        <v>100</v>
      </c>
      <c r="T13" s="698" t="s">
        <v>14</v>
      </c>
      <c r="U13" s="699">
        <f t="shared" si="1"/>
        <v>100</v>
      </c>
      <c r="V13" s="698" t="s">
        <v>14</v>
      </c>
      <c r="W13" s="699">
        <f t="shared" si="2"/>
        <v>100</v>
      </c>
      <c r="X13" s="700"/>
      <c r="Y13" s="3659"/>
      <c r="Z13" s="52">
        <f t="shared" si="7"/>
        <v>111</v>
      </c>
      <c r="AA13" s="701">
        <f t="shared" si="3"/>
        <v>1</v>
      </c>
      <c r="AB13" s="701">
        <f t="shared" si="4"/>
        <v>1</v>
      </c>
      <c r="AC13" s="701">
        <f t="shared" si="5"/>
        <v>1</v>
      </c>
    </row>
    <row r="14" spans="1:29" ht="15.75" thickBot="1">
      <c r="A14" s="384"/>
      <c r="B14" s="1889">
        <v>111</v>
      </c>
      <c r="C14" s="385"/>
      <c r="D14" s="386">
        <v>100</v>
      </c>
      <c r="E14" s="495"/>
      <c r="F14" s="386">
        <f>SUMIF(81:81,E14,82:82)-SUMIF(81:81,C14,82:82)+100</f>
        <v>100</v>
      </c>
      <c r="G14" s="619"/>
      <c r="H14" s="386">
        <f>SUMIF(81:81,G14,82:82)-SUMIF(81:81,C14,82:82)+100</f>
        <v>100</v>
      </c>
      <c r="I14" s="495"/>
      <c r="J14" s="386">
        <f>SUMIF(81:81,I14,82:82)-SUMIF(81:81,C14,82:82)+100</f>
        <v>100</v>
      </c>
      <c r="K14" s="617"/>
      <c r="L14" s="2716"/>
      <c r="M14" s="2710"/>
      <c r="N14" s="2710"/>
      <c r="O14" s="2768"/>
      <c r="P14" s="3745"/>
      <c r="Q14" s="1337">
        <f t="shared" si="6"/>
        <v>111</v>
      </c>
      <c r="R14" s="698" t="s">
        <v>14</v>
      </c>
      <c r="S14" s="699">
        <f t="shared" si="0"/>
        <v>100</v>
      </c>
      <c r="T14" s="698" t="s">
        <v>14</v>
      </c>
      <c r="U14" s="699">
        <f t="shared" si="1"/>
        <v>100</v>
      </c>
      <c r="V14" s="698" t="s">
        <v>14</v>
      </c>
      <c r="W14" s="699">
        <f t="shared" si="2"/>
        <v>100</v>
      </c>
      <c r="X14" s="700"/>
      <c r="Y14" s="3659"/>
      <c r="Z14" s="52">
        <f t="shared" si="7"/>
        <v>111</v>
      </c>
      <c r="AA14" s="701">
        <f t="shared" si="3"/>
        <v>1</v>
      </c>
      <c r="AB14" s="701">
        <f t="shared" si="4"/>
        <v>1</v>
      </c>
      <c r="AC14" s="701">
        <f t="shared" si="5"/>
        <v>1</v>
      </c>
    </row>
    <row r="15" spans="1:29" ht="15">
      <c r="A15" s="388" t="s">
        <v>1690</v>
      </c>
      <c r="B15" s="574" t="s">
        <v>1920</v>
      </c>
      <c r="C15" s="1965">
        <f>估价对象房地状况!G15</f>
        <v>0</v>
      </c>
      <c r="D15" s="389">
        <v>100</v>
      </c>
      <c r="E15" s="390"/>
      <c r="F15" s="389">
        <f>SUMIF(83:83,E16,84:84)-SUMIF(83:83,C16,84:84)+100</f>
        <v>100</v>
      </c>
      <c r="G15" s="390"/>
      <c r="H15" s="389">
        <f>SUMIF(83:83,G16,84:84)-SUMIF(83:83,C16,84:84)+100</f>
        <v>100</v>
      </c>
      <c r="I15" s="392"/>
      <c r="J15" s="389">
        <f>SUMIF(83:83,I16,84:84)-SUMIF(83:83,C16,84:84)+100</f>
        <v>100</v>
      </c>
      <c r="K15" s="618"/>
      <c r="L15" s="2716"/>
      <c r="M15" s="2710"/>
      <c r="N15" s="2710"/>
      <c r="O15" s="2768"/>
      <c r="P15" s="3747" t="s">
        <v>1691</v>
      </c>
      <c r="Q15" s="1346" t="str">
        <f t="shared" si="6"/>
        <v>产业集聚程度</v>
      </c>
      <c r="R15" s="702" t="s">
        <v>14</v>
      </c>
      <c r="S15" s="703">
        <f t="shared" si="0"/>
        <v>100</v>
      </c>
      <c r="T15" s="702" t="s">
        <v>14</v>
      </c>
      <c r="U15" s="703">
        <f t="shared" si="1"/>
        <v>100</v>
      </c>
      <c r="V15" s="702" t="s">
        <v>14</v>
      </c>
      <c r="W15" s="703">
        <f t="shared" si="2"/>
        <v>100</v>
      </c>
      <c r="X15" s="1349"/>
      <c r="Y15" s="3747" t="s">
        <v>1691</v>
      </c>
      <c r="Z15" s="1350" t="str">
        <f t="shared" si="7"/>
        <v>产业集聚程度</v>
      </c>
      <c r="AA15" s="1347">
        <f t="shared" si="3"/>
        <v>1</v>
      </c>
      <c r="AB15" s="1347">
        <f t="shared" si="4"/>
        <v>1</v>
      </c>
      <c r="AC15" s="1347">
        <f t="shared" si="5"/>
        <v>1</v>
      </c>
    </row>
    <row r="16" spans="1:29" ht="15">
      <c r="A16" s="376"/>
      <c r="B16" s="575"/>
      <c r="C16" s="395"/>
      <c r="D16" s="396"/>
      <c r="E16" s="1898"/>
      <c r="F16" s="396"/>
      <c r="G16" s="1898"/>
      <c r="H16" s="398"/>
      <c r="I16" s="1898"/>
      <c r="J16" s="396"/>
      <c r="K16" s="617"/>
      <c r="L16" s="2716"/>
      <c r="M16" s="2710"/>
      <c r="N16" s="2710"/>
      <c r="O16" s="2768"/>
      <c r="P16" s="3748"/>
      <c r="Q16" s="1346"/>
      <c r="R16" s="702"/>
      <c r="S16" s="703"/>
      <c r="T16" s="702"/>
      <c r="U16" s="703"/>
      <c r="V16" s="702"/>
      <c r="W16" s="703"/>
      <c r="X16" s="1349"/>
      <c r="Y16" s="3748"/>
      <c r="Z16" s="1350"/>
      <c r="AA16" s="1347">
        <v>1</v>
      </c>
      <c r="AB16" s="1347">
        <v>1</v>
      </c>
      <c r="AC16" s="1347">
        <v>1</v>
      </c>
    </row>
    <row r="17" spans="1:29" ht="15">
      <c r="A17" s="376"/>
      <c r="B17" s="576" t="s">
        <v>1833</v>
      </c>
      <c r="C17" s="1894">
        <f>估价对象房地状况!G16</f>
        <v>0</v>
      </c>
      <c r="D17" s="398">
        <v>100</v>
      </c>
      <c r="E17" s="400"/>
      <c r="F17" s="403">
        <f>SUMIF(85:85,E18,86:86)-SUMIF(85:85,C18,86:86)+100</f>
        <v>100</v>
      </c>
      <c r="G17" s="400"/>
      <c r="H17" s="403">
        <f>SUMIF(85:85,G18,86:86)-SUMIF(85:85,C18,86:86)+100</f>
        <v>100</v>
      </c>
      <c r="I17" s="402"/>
      <c r="J17" s="398">
        <f>SUMIF(85:85,I18,86:86)-SUMIF(85:85,C18,86:86)+100</f>
        <v>100</v>
      </c>
      <c r="K17" s="618"/>
      <c r="L17" s="2716"/>
      <c r="M17" s="2710"/>
      <c r="N17" s="2710"/>
      <c r="O17" s="2768"/>
      <c r="P17" s="3748"/>
      <c r="Q17" s="1346" t="str">
        <f>B17</f>
        <v>交通便捷度</v>
      </c>
      <c r="R17" s="702" t="s">
        <v>14</v>
      </c>
      <c r="S17" s="703">
        <f>F17</f>
        <v>100</v>
      </c>
      <c r="T17" s="702" t="s">
        <v>14</v>
      </c>
      <c r="U17" s="703">
        <f>H17</f>
        <v>100</v>
      </c>
      <c r="V17" s="702" t="s">
        <v>14</v>
      </c>
      <c r="W17" s="703">
        <f>J17</f>
        <v>100</v>
      </c>
      <c r="X17" s="1349"/>
      <c r="Y17" s="3748"/>
      <c r="Z17" s="1350" t="str">
        <f>Q17</f>
        <v>交通便捷度</v>
      </c>
      <c r="AA17" s="1347">
        <f t="shared" si="3"/>
        <v>1</v>
      </c>
      <c r="AB17" s="1347">
        <f t="shared" si="4"/>
        <v>1</v>
      </c>
      <c r="AC17" s="1347">
        <f t="shared" si="5"/>
        <v>1</v>
      </c>
    </row>
    <row r="18" spans="1:29" ht="15">
      <c r="A18" s="376"/>
      <c r="B18" s="577"/>
      <c r="C18" s="395"/>
      <c r="D18" s="396"/>
      <c r="E18" s="1892"/>
      <c r="F18" s="396"/>
      <c r="G18" s="1892"/>
      <c r="H18" s="396"/>
      <c r="I18" s="1891"/>
      <c r="J18" s="396"/>
      <c r="K18" s="617"/>
      <c r="L18" s="2716"/>
      <c r="M18" s="2710"/>
      <c r="N18" s="2710"/>
      <c r="O18" s="2768"/>
      <c r="P18" s="3748"/>
      <c r="Q18" s="1346"/>
      <c r="R18" s="702"/>
      <c r="S18" s="703"/>
      <c r="T18" s="702"/>
      <c r="U18" s="703"/>
      <c r="V18" s="702"/>
      <c r="W18" s="703"/>
      <c r="X18" s="1349"/>
      <c r="Y18" s="3748"/>
      <c r="Z18" s="1350"/>
      <c r="AA18" s="1347">
        <v>1</v>
      </c>
      <c r="AB18" s="1347">
        <v>1</v>
      </c>
      <c r="AC18" s="1347">
        <v>1</v>
      </c>
    </row>
    <row r="19" spans="1:29" ht="15">
      <c r="A19" s="376"/>
      <c r="B19" s="576" t="s">
        <v>1871</v>
      </c>
      <c r="C19" s="1894">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6"/>
      <c r="M19" s="2710"/>
      <c r="N19" s="2710"/>
      <c r="O19" s="2768"/>
      <c r="P19" s="3748"/>
      <c r="Q19" s="1346" t="str">
        <f t="shared" ref="Q19:Q33" si="8">B19</f>
        <v>区域土地利用方向</v>
      </c>
      <c r="R19" s="702" t="s">
        <v>14</v>
      </c>
      <c r="S19" s="703">
        <f>F19</f>
        <v>100</v>
      </c>
      <c r="T19" s="702" t="s">
        <v>14</v>
      </c>
      <c r="U19" s="703">
        <f>H19</f>
        <v>100</v>
      </c>
      <c r="V19" s="702" t="s">
        <v>14</v>
      </c>
      <c r="W19" s="703">
        <f>J19</f>
        <v>100</v>
      </c>
      <c r="X19" s="1349"/>
      <c r="Y19" s="3748"/>
      <c r="Z19" s="1350" t="str">
        <f>Q19</f>
        <v>区域土地利用方向</v>
      </c>
      <c r="AA19" s="1347">
        <f t="shared" si="3"/>
        <v>1</v>
      </c>
      <c r="AB19" s="1347">
        <f t="shared" si="4"/>
        <v>1</v>
      </c>
      <c r="AC19" s="1347">
        <f t="shared" si="5"/>
        <v>1</v>
      </c>
    </row>
    <row r="20" spans="1:29" ht="15">
      <c r="A20" s="355"/>
      <c r="B20" s="577"/>
      <c r="C20" s="395"/>
      <c r="D20" s="396"/>
      <c r="E20" s="1892"/>
      <c r="F20" s="396"/>
      <c r="G20" s="1892"/>
      <c r="H20" s="396"/>
      <c r="I20" s="1892"/>
      <c r="J20" s="396"/>
      <c r="K20" s="734"/>
      <c r="L20" s="2716"/>
      <c r="M20" s="2710"/>
      <c r="N20" s="2710"/>
      <c r="O20" s="2768"/>
      <c r="P20" s="3748"/>
      <c r="Q20" s="1346"/>
      <c r="R20" s="702"/>
      <c r="S20" s="703"/>
      <c r="T20" s="702"/>
      <c r="U20" s="703"/>
      <c r="V20" s="702"/>
      <c r="W20" s="703"/>
      <c r="X20" s="1349"/>
      <c r="Y20" s="3748"/>
      <c r="Z20" s="1350"/>
      <c r="AA20" s="1347"/>
      <c r="AB20" s="1347"/>
      <c r="AC20" s="1347"/>
    </row>
    <row r="21" spans="1:29" ht="15">
      <c r="A21" s="355"/>
      <c r="B21" s="576" t="s">
        <v>1921</v>
      </c>
      <c r="C21" s="1894">
        <f>估价对象房地状况!G18</f>
        <v>0</v>
      </c>
      <c r="D21" s="398">
        <v>100</v>
      </c>
      <c r="E21" s="400"/>
      <c r="F21" s="398">
        <f>SUMIF(89:89,E22,90:90)-SUMIF(89:89,C22,90:90)+100</f>
        <v>100</v>
      </c>
      <c r="G21" s="400"/>
      <c r="H21" s="398">
        <f>SUMIF(89:89,G22,90:90)-SUMIF(89:89,C22,90:90)+100</f>
        <v>100</v>
      </c>
      <c r="I21" s="402"/>
      <c r="J21" s="398">
        <f>SUMIF(89:89,I22,90:90)-SUMIF(89:89,C22,90:90)+100</f>
        <v>100</v>
      </c>
      <c r="K21" s="618"/>
      <c r="L21" s="2716"/>
      <c r="M21" s="2710"/>
      <c r="N21" s="2710"/>
      <c r="O21" s="2768"/>
      <c r="P21" s="3748"/>
      <c r="Q21" s="1346" t="str">
        <f t="shared" si="8"/>
        <v>环境状况</v>
      </c>
      <c r="R21" s="702" t="s">
        <v>14</v>
      </c>
      <c r="S21" s="703">
        <f>F21</f>
        <v>100</v>
      </c>
      <c r="T21" s="702" t="s">
        <v>14</v>
      </c>
      <c r="U21" s="703">
        <f>H21</f>
        <v>100</v>
      </c>
      <c r="V21" s="702" t="s">
        <v>14</v>
      </c>
      <c r="W21" s="703">
        <f>J21</f>
        <v>100</v>
      </c>
      <c r="X21" s="1349"/>
      <c r="Y21" s="3748"/>
      <c r="Z21" s="1350" t="str">
        <f>Q21</f>
        <v>环境状况</v>
      </c>
      <c r="AA21" s="1347">
        <f t="shared" si="3"/>
        <v>1</v>
      </c>
      <c r="AB21" s="1347">
        <f t="shared" si="4"/>
        <v>1</v>
      </c>
      <c r="AC21" s="1347">
        <f t="shared" si="5"/>
        <v>1</v>
      </c>
    </row>
    <row r="22" spans="1:29" ht="15">
      <c r="A22" s="355"/>
      <c r="B22" s="577"/>
      <c r="C22" s="395"/>
      <c r="D22" s="396"/>
      <c r="E22" s="1898"/>
      <c r="F22" s="396"/>
      <c r="G22" s="1898"/>
      <c r="H22" s="396"/>
      <c r="I22" s="395"/>
      <c r="J22" s="396"/>
      <c r="K22" s="617"/>
      <c r="L22" s="2716"/>
      <c r="M22" s="2710"/>
      <c r="N22" s="2710"/>
      <c r="O22" s="2768"/>
      <c r="P22" s="3748"/>
      <c r="Q22" s="1346"/>
      <c r="R22" s="702"/>
      <c r="S22" s="703"/>
      <c r="T22" s="702"/>
      <c r="U22" s="703"/>
      <c r="V22" s="702"/>
      <c r="W22" s="703"/>
      <c r="X22" s="1349"/>
      <c r="Y22" s="3748"/>
      <c r="Z22" s="1350"/>
      <c r="AA22" s="1347">
        <v>1</v>
      </c>
      <c r="AB22" s="1347">
        <v>1</v>
      </c>
      <c r="AC22" s="1347">
        <v>1</v>
      </c>
    </row>
    <row r="23" spans="1:29" s="105" customFormat="1" ht="15">
      <c r="A23" s="594"/>
      <c r="B23" s="578" t="s">
        <v>1778</v>
      </c>
      <c r="C23" s="1894">
        <f>估价对象房地状况!G19</f>
        <v>0</v>
      </c>
      <c r="D23" s="398">
        <v>100</v>
      </c>
      <c r="E23" s="400"/>
      <c r="F23" s="398">
        <f>SUMIF(91:91,E24,92:92)-SUMIF(91:91,C24,92:92)+100</f>
        <v>100</v>
      </c>
      <c r="G23" s="400"/>
      <c r="H23" s="398">
        <f>SUMIF(91:91,G24,92:92)-SUMIF(91:91,C24,92:92)+100</f>
        <v>100</v>
      </c>
      <c r="I23" s="402"/>
      <c r="J23" s="398">
        <f>SUMIF(91:91,I24,92:92)-SUMIF(91:91,C24,92:92)+100</f>
        <v>100</v>
      </c>
      <c r="K23" s="618"/>
      <c r="L23" s="2711"/>
      <c r="M23" s="2712"/>
      <c r="N23" s="2712"/>
      <c r="O23" s="2766"/>
      <c r="P23" s="3748"/>
      <c r="Q23" s="1337" t="str">
        <f t="shared" si="8"/>
        <v>公共配套设施</v>
      </c>
      <c r="R23" s="698" t="s">
        <v>14</v>
      </c>
      <c r="S23" s="699">
        <f>F23</f>
        <v>100</v>
      </c>
      <c r="T23" s="698" t="s">
        <v>14</v>
      </c>
      <c r="U23" s="699">
        <f>H23</f>
        <v>100</v>
      </c>
      <c r="V23" s="698" t="s">
        <v>14</v>
      </c>
      <c r="W23" s="699">
        <f>J23</f>
        <v>100</v>
      </c>
      <c r="X23" s="700"/>
      <c r="Y23" s="3748"/>
      <c r="Z23" s="52" t="str">
        <f>Q23</f>
        <v>公共配套设施</v>
      </c>
      <c r="AA23" s="1347">
        <f>D23/F23</f>
        <v>1</v>
      </c>
      <c r="AB23" s="1347">
        <f>D23/H23</f>
        <v>1</v>
      </c>
      <c r="AC23" s="1347">
        <f>D23/J23</f>
        <v>1</v>
      </c>
    </row>
    <row r="24" spans="1:29" s="105" customFormat="1" ht="15">
      <c r="A24" s="594"/>
      <c r="B24" s="577"/>
      <c r="C24" s="1972"/>
      <c r="D24" s="396"/>
      <c r="E24" s="1898"/>
      <c r="F24" s="396"/>
      <c r="G24" s="1898"/>
      <c r="H24" s="396"/>
      <c r="I24" s="395"/>
      <c r="J24" s="396"/>
      <c r="K24" s="617"/>
      <c r="L24" s="2711"/>
      <c r="M24" s="2712"/>
      <c r="N24" s="2712"/>
      <c r="O24" s="2766"/>
      <c r="P24" s="3748"/>
      <c r="Q24" s="1337"/>
      <c r="R24" s="698"/>
      <c r="S24" s="699"/>
      <c r="T24" s="698"/>
      <c r="U24" s="699"/>
      <c r="V24" s="698"/>
      <c r="W24" s="699"/>
      <c r="X24" s="700"/>
      <c r="Y24" s="3748"/>
      <c r="Z24" s="52"/>
      <c r="AA24" s="701">
        <v>1</v>
      </c>
      <c r="AB24" s="701">
        <v>1</v>
      </c>
      <c r="AC24" s="701">
        <v>1</v>
      </c>
    </row>
    <row r="25" spans="1:29" s="105" customFormat="1" ht="15">
      <c r="A25" s="594"/>
      <c r="B25" s="578" t="s">
        <v>1779</v>
      </c>
      <c r="C25" s="1894">
        <f>估价对象房地状况!G20</f>
        <v>0</v>
      </c>
      <c r="D25" s="398">
        <v>100</v>
      </c>
      <c r="E25" s="400"/>
      <c r="F25" s="398">
        <f>SUMIF(93:93,E26,94:94)-SUMIF(93:93,C26,94:94)+100</f>
        <v>100</v>
      </c>
      <c r="G25" s="400"/>
      <c r="H25" s="398">
        <f>SUMIF(93:93,G26,94:94)-SUMIF(93:93,C26,94:94)+100</f>
        <v>100</v>
      </c>
      <c r="I25" s="402"/>
      <c r="J25" s="398">
        <f>SUMIF(93:93,I26,94:94)-SUMIF(93:93,C26,94:94)+100</f>
        <v>100</v>
      </c>
      <c r="K25" s="618"/>
      <c r="L25" s="2711"/>
      <c r="M25" s="2712"/>
      <c r="N25" s="2712"/>
      <c r="O25" s="2766"/>
      <c r="P25" s="3748"/>
      <c r="Q25" s="1337" t="str">
        <f t="shared" ref="Q25" si="9">B25</f>
        <v>基础设施水平</v>
      </c>
      <c r="R25" s="698" t="s">
        <v>14</v>
      </c>
      <c r="S25" s="699">
        <f>F25</f>
        <v>100</v>
      </c>
      <c r="T25" s="698" t="s">
        <v>14</v>
      </c>
      <c r="U25" s="699">
        <f>H25</f>
        <v>100</v>
      </c>
      <c r="V25" s="698" t="s">
        <v>14</v>
      </c>
      <c r="W25" s="699">
        <f>J25</f>
        <v>100</v>
      </c>
      <c r="X25" s="700"/>
      <c r="Y25" s="3748"/>
      <c r="Z25" s="52" t="str">
        <f>Q25</f>
        <v>基础设施水平</v>
      </c>
      <c r="AA25" s="1347">
        <f>D25/F25</f>
        <v>1</v>
      </c>
      <c r="AB25" s="1347">
        <f>D25/H25</f>
        <v>1</v>
      </c>
      <c r="AC25" s="1347">
        <f>D25/J25</f>
        <v>1</v>
      </c>
    </row>
    <row r="26" spans="1:29" s="105" customFormat="1" ht="15">
      <c r="A26" s="594"/>
      <c r="B26" s="577"/>
      <c r="C26" s="1972"/>
      <c r="D26" s="396"/>
      <c r="E26" s="1973"/>
      <c r="F26" s="396"/>
      <c r="G26" s="1973"/>
      <c r="H26" s="396"/>
      <c r="I26" s="1973"/>
      <c r="J26" s="396"/>
      <c r="K26" s="617"/>
      <c r="L26" s="2711"/>
      <c r="M26" s="2712"/>
      <c r="N26" s="2712"/>
      <c r="O26" s="2766"/>
      <c r="P26" s="3748"/>
      <c r="Q26" s="1337"/>
      <c r="R26" s="698"/>
      <c r="S26" s="699"/>
      <c r="T26" s="698"/>
      <c r="U26" s="699"/>
      <c r="V26" s="698"/>
      <c r="W26" s="699"/>
      <c r="X26" s="700"/>
      <c r="Y26" s="3748"/>
      <c r="Z26" s="52"/>
      <c r="AA26" s="701">
        <v>1</v>
      </c>
      <c r="AB26" s="701">
        <v>1</v>
      </c>
      <c r="AC26" s="701">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6"/>
      <c r="M27" s="2710"/>
      <c r="N27" s="2710"/>
      <c r="O27" s="2768"/>
      <c r="P27" s="3748"/>
      <c r="Q27" s="1346" t="str">
        <f t="shared" si="8"/>
        <v>临街状况</v>
      </c>
      <c r="R27" s="702" t="s">
        <v>14</v>
      </c>
      <c r="S27" s="703">
        <f t="shared" ref="S27:S40" si="10">F27</f>
        <v>100</v>
      </c>
      <c r="T27" s="702" t="s">
        <v>14</v>
      </c>
      <c r="U27" s="703">
        <f t="shared" ref="U27:U40" si="11">H27</f>
        <v>100</v>
      </c>
      <c r="V27" s="702" t="s">
        <v>14</v>
      </c>
      <c r="W27" s="703">
        <f t="shared" ref="W27:W40" si="12">J27</f>
        <v>100</v>
      </c>
      <c r="X27" s="1349"/>
      <c r="Y27" s="3748"/>
      <c r="Z27" s="1350" t="str">
        <f t="shared" ref="Z27:Z40" si="13">Q27</f>
        <v>临街状况</v>
      </c>
      <c r="AA27" s="1347">
        <f t="shared" si="3"/>
        <v>1</v>
      </c>
      <c r="AB27" s="1347">
        <f t="shared" si="4"/>
        <v>1</v>
      </c>
      <c r="AC27" s="1347">
        <f t="shared" si="5"/>
        <v>1</v>
      </c>
    </row>
    <row r="28" spans="1:29" ht="28.5">
      <c r="A28" s="376"/>
      <c r="B28" s="578" t="s">
        <v>1815</v>
      </c>
      <c r="C28" s="1985">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6"/>
      <c r="M28" s="2710"/>
      <c r="N28" s="2710"/>
      <c r="O28" s="2768"/>
      <c r="P28" s="3748"/>
      <c r="Q28" s="1346" t="str">
        <f t="shared" si="8"/>
        <v>毗邻道路的类型与等级</v>
      </c>
      <c r="R28" s="702" t="s">
        <v>14</v>
      </c>
      <c r="S28" s="703">
        <f t="shared" si="10"/>
        <v>100</v>
      </c>
      <c r="T28" s="702" t="s">
        <v>14</v>
      </c>
      <c r="U28" s="703">
        <f t="shared" si="11"/>
        <v>100</v>
      </c>
      <c r="V28" s="702" t="s">
        <v>14</v>
      </c>
      <c r="W28" s="703">
        <f t="shared" si="12"/>
        <v>100</v>
      </c>
      <c r="X28" s="1349"/>
      <c r="Y28" s="3748"/>
      <c r="Z28" s="1350" t="str">
        <f t="shared" si="13"/>
        <v>毗邻道路的类型与等级</v>
      </c>
      <c r="AA28" s="1347">
        <f t="shared" si="3"/>
        <v>1</v>
      </c>
      <c r="AB28" s="1347">
        <f t="shared" si="4"/>
        <v>1</v>
      </c>
      <c r="AC28" s="1347">
        <f t="shared" si="5"/>
        <v>1</v>
      </c>
    </row>
    <row r="29" spans="1:29" ht="15">
      <c r="A29" s="376"/>
      <c r="B29" s="577"/>
      <c r="C29" s="395"/>
      <c r="D29" s="396"/>
      <c r="E29" s="1898"/>
      <c r="F29" s="396"/>
      <c r="G29" s="1898"/>
      <c r="H29" s="396"/>
      <c r="I29" s="1898"/>
      <c r="J29" s="396"/>
      <c r="K29" s="559"/>
      <c r="L29" s="2716"/>
      <c r="M29" s="2710"/>
      <c r="N29" s="2710"/>
      <c r="O29" s="2768"/>
      <c r="P29" s="3748"/>
      <c r="Q29" s="1346"/>
      <c r="R29" s="702"/>
      <c r="S29" s="703"/>
      <c r="T29" s="702"/>
      <c r="U29" s="703"/>
      <c r="V29" s="702"/>
      <c r="W29" s="703"/>
      <c r="X29" s="1349"/>
      <c r="Y29" s="3748"/>
      <c r="Z29" s="1350"/>
      <c r="AA29" s="1347">
        <v>1</v>
      </c>
      <c r="AB29" s="1347">
        <v>1</v>
      </c>
      <c r="AC29" s="1347">
        <v>1</v>
      </c>
    </row>
    <row r="30" spans="1:29" ht="15">
      <c r="A30" s="376"/>
      <c r="B30" s="599" t="s">
        <v>1873</v>
      </c>
      <c r="C30" s="1130">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6"/>
      <c r="M30" s="2710"/>
      <c r="N30" s="2710"/>
      <c r="O30" s="2768"/>
      <c r="P30" s="3748"/>
      <c r="Q30" s="1346" t="str">
        <f t="shared" si="8"/>
        <v>土地级别</v>
      </c>
      <c r="R30" s="702" t="s">
        <v>14</v>
      </c>
      <c r="S30" s="703">
        <f t="shared" si="10"/>
        <v>100</v>
      </c>
      <c r="T30" s="702" t="s">
        <v>14</v>
      </c>
      <c r="U30" s="703">
        <f t="shared" si="11"/>
        <v>100</v>
      </c>
      <c r="V30" s="702" t="s">
        <v>14</v>
      </c>
      <c r="W30" s="703">
        <f t="shared" si="12"/>
        <v>100</v>
      </c>
      <c r="X30" s="1349"/>
      <c r="Y30" s="3748"/>
      <c r="Z30" s="1350" t="str">
        <f t="shared" si="13"/>
        <v>土地级别</v>
      </c>
      <c r="AA30" s="1347">
        <f t="shared" si="3"/>
        <v>1</v>
      </c>
      <c r="AB30" s="1347">
        <f t="shared" si="4"/>
        <v>1</v>
      </c>
      <c r="AC30" s="1347">
        <f t="shared" si="5"/>
        <v>1</v>
      </c>
    </row>
    <row r="31" spans="1:29" ht="15">
      <c r="A31" s="355"/>
      <c r="B31" s="1960">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6"/>
      <c r="M31" s="2710"/>
      <c r="N31" s="2710"/>
      <c r="O31" s="2768"/>
      <c r="P31" s="3748"/>
      <c r="Q31" s="1346">
        <f t="shared" si="8"/>
        <v>111</v>
      </c>
      <c r="R31" s="702" t="s">
        <v>14</v>
      </c>
      <c r="S31" s="703">
        <f t="shared" si="10"/>
        <v>100</v>
      </c>
      <c r="T31" s="702" t="s">
        <v>14</v>
      </c>
      <c r="U31" s="703">
        <f t="shared" si="11"/>
        <v>100</v>
      </c>
      <c r="V31" s="702" t="s">
        <v>14</v>
      </c>
      <c r="W31" s="703">
        <f t="shared" si="12"/>
        <v>100</v>
      </c>
      <c r="X31" s="1349"/>
      <c r="Y31" s="3748"/>
      <c r="Z31" s="1350">
        <f t="shared" si="13"/>
        <v>111</v>
      </c>
      <c r="AA31" s="1347">
        <f t="shared" si="3"/>
        <v>1</v>
      </c>
      <c r="AB31" s="1347">
        <f t="shared" si="4"/>
        <v>1</v>
      </c>
      <c r="AC31" s="1347">
        <f t="shared" si="5"/>
        <v>1</v>
      </c>
    </row>
    <row r="32" spans="1:29" ht="15">
      <c r="A32" s="620"/>
      <c r="B32" s="1986">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6"/>
      <c r="M32" s="2710"/>
      <c r="N32" s="2710"/>
      <c r="O32" s="2768"/>
      <c r="P32" s="3756" t="s">
        <v>1696</v>
      </c>
      <c r="Q32" s="1346">
        <f t="shared" si="8"/>
        <v>111</v>
      </c>
      <c r="R32" s="702" t="s">
        <v>14</v>
      </c>
      <c r="S32" s="703">
        <f t="shared" si="10"/>
        <v>100</v>
      </c>
      <c r="T32" s="702" t="s">
        <v>14</v>
      </c>
      <c r="U32" s="703">
        <f t="shared" si="11"/>
        <v>100</v>
      </c>
      <c r="V32" s="702" t="s">
        <v>14</v>
      </c>
      <c r="W32" s="703">
        <f t="shared" si="12"/>
        <v>100</v>
      </c>
      <c r="X32" s="1349"/>
      <c r="Y32" s="3752" t="s">
        <v>1696</v>
      </c>
      <c r="Z32" s="1350">
        <f t="shared" si="13"/>
        <v>111</v>
      </c>
      <c r="AA32" s="1347">
        <f t="shared" si="3"/>
        <v>1</v>
      </c>
      <c r="AB32" s="1347">
        <f t="shared" si="4"/>
        <v>1</v>
      </c>
      <c r="AC32" s="1347">
        <f t="shared" si="5"/>
        <v>1</v>
      </c>
    </row>
    <row r="33" spans="1:31" s="419" customFormat="1" ht="15.75" thickBot="1">
      <c r="A33" s="621"/>
      <c r="B33" s="1987">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5"/>
      <c r="M33" s="2717"/>
      <c r="N33" s="2717"/>
      <c r="O33" s="2769"/>
      <c r="P33" s="3752"/>
      <c r="Q33" s="1346">
        <f t="shared" si="8"/>
        <v>111</v>
      </c>
      <c r="R33" s="705" t="s">
        <v>14</v>
      </c>
      <c r="S33" s="706">
        <f t="shared" si="10"/>
        <v>100</v>
      </c>
      <c r="T33" s="705" t="s">
        <v>14</v>
      </c>
      <c r="U33" s="706">
        <f t="shared" si="11"/>
        <v>100</v>
      </c>
      <c r="V33" s="705" t="s">
        <v>14</v>
      </c>
      <c r="W33" s="706">
        <f t="shared" si="12"/>
        <v>100</v>
      </c>
      <c r="X33" s="707"/>
      <c r="Y33" s="3752"/>
      <c r="Z33" s="708">
        <f t="shared" si="13"/>
        <v>111</v>
      </c>
      <c r="AA33" s="1347">
        <f t="shared" si="3"/>
        <v>1</v>
      </c>
      <c r="AB33" s="1347">
        <f t="shared" si="4"/>
        <v>1</v>
      </c>
      <c r="AC33" s="1347">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6"/>
      <c r="M34" s="2710"/>
      <c r="N34" s="2710"/>
      <c r="O34" s="2768"/>
      <c r="P34" s="3752"/>
      <c r="Q34" s="1346" t="str">
        <f>B34</f>
        <v>宗地面积</v>
      </c>
      <c r="R34" s="702" t="s">
        <v>14</v>
      </c>
      <c r="S34" s="703" t="e">
        <f t="shared" si="10"/>
        <v>#N/A</v>
      </c>
      <c r="T34" s="702" t="s">
        <v>14</v>
      </c>
      <c r="U34" s="703" t="e">
        <f t="shared" si="11"/>
        <v>#N/A</v>
      </c>
      <c r="V34" s="702" t="s">
        <v>14</v>
      </c>
      <c r="W34" s="703" t="e">
        <f t="shared" si="12"/>
        <v>#N/A</v>
      </c>
      <c r="X34" s="1349"/>
      <c r="Y34" s="3752"/>
      <c r="Z34" s="1350" t="str">
        <f t="shared" si="13"/>
        <v>宗地面积</v>
      </c>
      <c r="AA34" s="1347" t="e">
        <f t="shared" si="3"/>
        <v>#N/A</v>
      </c>
      <c r="AB34" s="1347" t="e">
        <f t="shared" si="4"/>
        <v>#N/A</v>
      </c>
      <c r="AC34" s="1347" t="e">
        <f t="shared" si="5"/>
        <v>#N/A</v>
      </c>
    </row>
    <row r="35" spans="1:31" ht="15">
      <c r="A35" s="420"/>
      <c r="B35" s="372" t="s">
        <v>1875</v>
      </c>
      <c r="C35" s="1900"/>
      <c r="D35" s="383">
        <v>100</v>
      </c>
      <c r="E35" s="1900"/>
      <c r="F35" s="383">
        <f>SUMIF(110:110,E35,111:111)-SUMIF(110:110,C35,111:111)+100</f>
        <v>100</v>
      </c>
      <c r="G35" s="1900"/>
      <c r="H35" s="383">
        <f>SUMIF(110:110,G35,111:111)-SUMIF(110:110,C35,111:111)+100</f>
        <v>100</v>
      </c>
      <c r="I35" s="1900"/>
      <c r="J35" s="383">
        <f>SUMIF(110:110,I35,111:111)-SUMIF(110:110,C35,111:111)+100</f>
        <v>100</v>
      </c>
      <c r="K35" s="558"/>
      <c r="L35" s="2716"/>
      <c r="M35" s="2710"/>
      <c r="N35" s="2710"/>
      <c r="O35" s="2768"/>
      <c r="P35" s="3752"/>
      <c r="Q35" s="1346" t="str">
        <f t="shared" ref="Q35:Q40" si="14">B35</f>
        <v>宗地形状</v>
      </c>
      <c r="R35" s="702" t="s">
        <v>14</v>
      </c>
      <c r="S35" s="703">
        <f t="shared" si="10"/>
        <v>100</v>
      </c>
      <c r="T35" s="702" t="s">
        <v>14</v>
      </c>
      <c r="U35" s="703">
        <f t="shared" si="11"/>
        <v>100</v>
      </c>
      <c r="V35" s="702" t="s">
        <v>14</v>
      </c>
      <c r="W35" s="703">
        <f t="shared" si="12"/>
        <v>100</v>
      </c>
      <c r="X35" s="1349"/>
      <c r="Y35" s="3752"/>
      <c r="Z35" s="1350" t="str">
        <f t="shared" si="13"/>
        <v>宗地形状</v>
      </c>
      <c r="AA35" s="1347">
        <f t="shared" si="3"/>
        <v>1</v>
      </c>
      <c r="AB35" s="1347">
        <f t="shared" si="4"/>
        <v>1</v>
      </c>
      <c r="AC35" s="1347">
        <f t="shared" si="5"/>
        <v>1</v>
      </c>
    </row>
    <row r="36" spans="1:31" s="105" customFormat="1" ht="15">
      <c r="A36" s="421"/>
      <c r="B36" s="372" t="s">
        <v>1877</v>
      </c>
      <c r="C36" s="1974"/>
      <c r="D36" s="124">
        <v>100</v>
      </c>
      <c r="E36" s="1974"/>
      <c r="F36" s="383">
        <f>SUMIF(112:112,E36,113:113)-SUMIF(112:112,C36,113:113)+100</f>
        <v>100</v>
      </c>
      <c r="G36" s="1974"/>
      <c r="H36" s="383">
        <f>SUMIF(112:112,G36,113:113)-SUMIF(112:112,C36,113:113)+100</f>
        <v>100</v>
      </c>
      <c r="I36" s="1974"/>
      <c r="J36" s="383">
        <f>SUMIF(112:112,I36,113:113)-SUMIF(112:112,C36,113:113)+100</f>
        <v>100</v>
      </c>
      <c r="K36" s="558"/>
      <c r="L36" s="2711"/>
      <c r="M36" s="2712"/>
      <c r="N36" s="2712"/>
      <c r="O36" s="2766"/>
      <c r="P36" s="3752"/>
      <c r="Q36" s="1346" t="str">
        <f t="shared" si="14"/>
        <v>宗地开发程度</v>
      </c>
      <c r="R36" s="698" t="s">
        <v>14</v>
      </c>
      <c r="S36" s="699">
        <f t="shared" si="10"/>
        <v>100</v>
      </c>
      <c r="T36" s="698" t="s">
        <v>14</v>
      </c>
      <c r="U36" s="699">
        <f t="shared" si="11"/>
        <v>100</v>
      </c>
      <c r="V36" s="698" t="s">
        <v>14</v>
      </c>
      <c r="W36" s="699">
        <f t="shared" si="12"/>
        <v>100</v>
      </c>
      <c r="X36" s="700"/>
      <c r="Y36" s="3752"/>
      <c r="Z36" s="52" t="str">
        <f t="shared" si="13"/>
        <v>宗地开发程度</v>
      </c>
      <c r="AA36" s="701">
        <f t="shared" si="3"/>
        <v>1</v>
      </c>
      <c r="AB36" s="701">
        <f t="shared" si="4"/>
        <v>1</v>
      </c>
      <c r="AC36" s="701">
        <f t="shared" si="5"/>
        <v>1</v>
      </c>
    </row>
    <row r="37" spans="1:31" ht="15">
      <c r="A37" s="420"/>
      <c r="B37" s="372" t="s">
        <v>1878</v>
      </c>
      <c r="C37" s="1900"/>
      <c r="D37" s="383">
        <v>100</v>
      </c>
      <c r="E37" s="1900"/>
      <c r="F37" s="383">
        <f>SUMIF(114:114,E37,115:115)-SUMIF(114:114,C37,115:115)+100</f>
        <v>100</v>
      </c>
      <c r="G37" s="1900"/>
      <c r="H37" s="383">
        <f>SUMIF(114:114,G37,115:115)-SUMIF(114:114,C37,115:115)+100</f>
        <v>100</v>
      </c>
      <c r="I37" s="1900"/>
      <c r="J37" s="383">
        <f>SUMIF(114:114,I37,115:115)-SUMIF(114:114,C37,115:115)+100</f>
        <v>100</v>
      </c>
      <c r="K37" s="558"/>
      <c r="L37" s="2716"/>
      <c r="M37" s="2710"/>
      <c r="N37" s="2710"/>
      <c r="O37" s="2768"/>
      <c r="P37" s="3752" t="s">
        <v>1696</v>
      </c>
      <c r="Q37" s="1346" t="str">
        <f t="shared" si="14"/>
        <v>工程地质条件</v>
      </c>
      <c r="R37" s="702" t="s">
        <v>14</v>
      </c>
      <c r="S37" s="703">
        <f t="shared" si="10"/>
        <v>100</v>
      </c>
      <c r="T37" s="702" t="s">
        <v>14</v>
      </c>
      <c r="U37" s="703">
        <f t="shared" si="11"/>
        <v>100</v>
      </c>
      <c r="V37" s="702" t="s">
        <v>14</v>
      </c>
      <c r="W37" s="703">
        <f t="shared" si="12"/>
        <v>100</v>
      </c>
      <c r="X37" s="1349"/>
      <c r="Y37" s="3752" t="s">
        <v>1696</v>
      </c>
      <c r="Z37" s="1350" t="str">
        <f t="shared" si="13"/>
        <v>工程地质条件</v>
      </c>
      <c r="AA37" s="1347">
        <f t="shared" si="3"/>
        <v>1</v>
      </c>
      <c r="AB37" s="1347">
        <f t="shared" si="4"/>
        <v>1</v>
      </c>
      <c r="AC37" s="1347">
        <f t="shared" si="5"/>
        <v>1</v>
      </c>
    </row>
    <row r="38" spans="1:31" ht="15">
      <c r="A38" s="420"/>
      <c r="B38" s="1128">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6"/>
      <c r="M38" s="2710"/>
      <c r="N38" s="2710"/>
      <c r="O38" s="2768"/>
      <c r="P38" s="3752"/>
      <c r="Q38" s="1346">
        <f t="shared" si="14"/>
        <v>111</v>
      </c>
      <c r="R38" s="702" t="s">
        <v>14</v>
      </c>
      <c r="S38" s="703">
        <f t="shared" si="10"/>
        <v>100</v>
      </c>
      <c r="T38" s="702" t="s">
        <v>14</v>
      </c>
      <c r="U38" s="703">
        <f t="shared" si="11"/>
        <v>100</v>
      </c>
      <c r="V38" s="702" t="s">
        <v>14</v>
      </c>
      <c r="W38" s="703">
        <f t="shared" si="12"/>
        <v>100</v>
      </c>
      <c r="X38" s="1349"/>
      <c r="Y38" s="3752"/>
      <c r="Z38" s="1350">
        <f t="shared" si="13"/>
        <v>111</v>
      </c>
      <c r="AA38" s="1347">
        <f t="shared" si="3"/>
        <v>1</v>
      </c>
      <c r="AB38" s="1347">
        <f t="shared" si="4"/>
        <v>1</v>
      </c>
      <c r="AC38" s="1347">
        <f t="shared" si="5"/>
        <v>1</v>
      </c>
    </row>
    <row r="39" spans="1:31" ht="15">
      <c r="A39" s="420"/>
      <c r="B39" s="1128">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6"/>
      <c r="M39" s="2710"/>
      <c r="N39" s="2710"/>
      <c r="O39" s="2768"/>
      <c r="P39" s="3752"/>
      <c r="Q39" s="1346">
        <f t="shared" si="14"/>
        <v>111</v>
      </c>
      <c r="R39" s="702" t="s">
        <v>14</v>
      </c>
      <c r="S39" s="703">
        <f t="shared" si="10"/>
        <v>100</v>
      </c>
      <c r="T39" s="702" t="s">
        <v>14</v>
      </c>
      <c r="U39" s="703">
        <f t="shared" si="11"/>
        <v>100</v>
      </c>
      <c r="V39" s="702" t="s">
        <v>14</v>
      </c>
      <c r="W39" s="703">
        <f t="shared" si="12"/>
        <v>100</v>
      </c>
      <c r="X39" s="1349"/>
      <c r="Y39" s="3752"/>
      <c r="Z39" s="1350">
        <f t="shared" si="13"/>
        <v>111</v>
      </c>
      <c r="AA39" s="1347">
        <f t="shared" si="3"/>
        <v>1</v>
      </c>
      <c r="AB39" s="1347">
        <f t="shared" si="4"/>
        <v>1</v>
      </c>
      <c r="AC39" s="1347">
        <f t="shared" si="5"/>
        <v>1</v>
      </c>
    </row>
    <row r="40" spans="1:31" s="419" customFormat="1" ht="15.75" thickBot="1">
      <c r="A40" s="416"/>
      <c r="B40" s="1128">
        <v>111</v>
      </c>
      <c r="C40" s="1975"/>
      <c r="D40" s="125">
        <v>100</v>
      </c>
      <c r="E40" s="619"/>
      <c r="F40" s="386">
        <f>SUMIF(120:120,E40,121:121)-SUMIF(120:120,C40,121:121)+100</f>
        <v>100</v>
      </c>
      <c r="G40" s="619"/>
      <c r="H40" s="386">
        <f>SUMIF(120:120,G40,121:121)-SUMIF(120:120,C40,121:121)+100</f>
        <v>100</v>
      </c>
      <c r="I40" s="495"/>
      <c r="J40" s="386">
        <f>SUMIF(120:120,I40,121:121)-SUMIF(120:120,C40,121:121)+100</f>
        <v>100</v>
      </c>
      <c r="K40" s="626"/>
      <c r="L40" s="2715"/>
      <c r="M40" s="2717"/>
      <c r="N40" s="2717"/>
      <c r="O40" s="2769"/>
      <c r="P40" s="3752"/>
      <c r="Q40" s="1346">
        <f t="shared" si="14"/>
        <v>111</v>
      </c>
      <c r="R40" s="705" t="s">
        <v>14</v>
      </c>
      <c r="S40" s="706">
        <f t="shared" si="10"/>
        <v>100</v>
      </c>
      <c r="T40" s="705" t="s">
        <v>14</v>
      </c>
      <c r="U40" s="706">
        <f t="shared" si="11"/>
        <v>100</v>
      </c>
      <c r="V40" s="705" t="s">
        <v>14</v>
      </c>
      <c r="W40" s="706">
        <f t="shared" si="12"/>
        <v>100</v>
      </c>
      <c r="X40" s="707"/>
      <c r="Y40" s="3752"/>
      <c r="Z40" s="708">
        <f t="shared" si="13"/>
        <v>111</v>
      </c>
      <c r="AA40" s="1347">
        <f t="shared" si="3"/>
        <v>1</v>
      </c>
      <c r="AB40" s="1347">
        <f t="shared" si="4"/>
        <v>1</v>
      </c>
      <c r="AC40" s="1347">
        <f t="shared" si="5"/>
        <v>1</v>
      </c>
    </row>
    <row r="41" spans="1:31" ht="15">
      <c r="A41" s="427" t="s">
        <v>1844</v>
      </c>
      <c r="B41" s="1976" t="s">
        <v>1922</v>
      </c>
      <c r="C41" s="627" t="s">
        <v>0</v>
      </c>
      <c r="D41" s="429"/>
      <c r="E41" s="430"/>
      <c r="F41" s="431"/>
      <c r="G41" s="432"/>
      <c r="H41" s="433"/>
      <c r="I41" s="430"/>
      <c r="J41" s="433"/>
      <c r="K41" s="711"/>
      <c r="L41" s="2718"/>
      <c r="M41" s="2710"/>
      <c r="N41" s="2710"/>
      <c r="O41" s="2719"/>
      <c r="P41" s="3745" t="str">
        <f>A41</f>
        <v>成交单价</v>
      </c>
      <c r="Q41" s="3745"/>
      <c r="R41" s="3740">
        <f>E41</f>
        <v>0</v>
      </c>
      <c r="S41" s="3740"/>
      <c r="T41" s="3740">
        <f>G41</f>
        <v>0</v>
      </c>
      <c r="U41" s="3740"/>
      <c r="V41" s="3740">
        <f>I41</f>
        <v>0</v>
      </c>
      <c r="W41" s="3740"/>
      <c r="X41" s="687"/>
      <c r="Y41" s="709"/>
      <c r="Z41" s="687"/>
      <c r="AA41" s="687"/>
      <c r="AB41" s="687"/>
      <c r="AC41" s="687"/>
    </row>
    <row r="42" spans="1:31" ht="15.75" thickBot="1">
      <c r="A42" s="434" t="s">
        <v>1793</v>
      </c>
      <c r="B42" s="628"/>
      <c r="C42" s="437" t="e">
        <f>R43</f>
        <v>#DIV/0!</v>
      </c>
      <c r="D42" s="2311" t="s">
        <v>2138</v>
      </c>
      <c r="E42" s="437" t="e">
        <f>R42</f>
        <v>#DIV/0!</v>
      </c>
      <c r="F42" s="2312"/>
      <c r="G42" s="436" t="e">
        <f>T42</f>
        <v>#DIV/0!</v>
      </c>
      <c r="H42" s="2312"/>
      <c r="I42" s="437" t="e">
        <f>V42</f>
        <v>#DIV/0!</v>
      </c>
      <c r="J42" s="2312"/>
      <c r="K42" s="2314">
        <f>F42+H42+J42</f>
        <v>0</v>
      </c>
      <c r="L42" s="2718"/>
      <c r="M42" s="2710"/>
      <c r="N42" s="2710"/>
      <c r="O42" s="2719"/>
      <c r="P42" s="3745" t="str">
        <f>A42</f>
        <v>比较价值（元/平方米）</v>
      </c>
      <c r="Q42" s="3745"/>
      <c r="R42" s="3758" t="e">
        <f>ROUND(PRODUCT(R41,AA7:AA40),0)</f>
        <v>#DIV/0!</v>
      </c>
      <c r="S42" s="3758"/>
      <c r="T42" s="3758" t="e">
        <f>ROUND(PRODUCT(T41,AB7:AB40),0)</f>
        <v>#DIV/0!</v>
      </c>
      <c r="U42" s="3758"/>
      <c r="V42" s="3758" t="e">
        <f>ROUND(PRODUCT(V41,AC7:AC40),0)</f>
        <v>#DIV/0!</v>
      </c>
      <c r="W42" s="3758"/>
      <c r="X42" s="687"/>
      <c r="Y42" s="687"/>
      <c r="Z42" s="687"/>
      <c r="AA42" s="687"/>
      <c r="AB42" s="687"/>
      <c r="AC42" s="687"/>
    </row>
    <row r="43" spans="1:31" ht="15.75" thickBot="1">
      <c r="A43" s="438" t="s">
        <v>1794</v>
      </c>
      <c r="B43" s="439"/>
      <c r="C43" s="440" t="e">
        <f>R43</f>
        <v>#DIV/0!</v>
      </c>
      <c r="D43" s="440"/>
      <c r="E43" s="440"/>
      <c r="F43" s="440"/>
      <c r="G43" s="440"/>
      <c r="H43" s="440"/>
      <c r="I43" s="440"/>
      <c r="J43" s="440"/>
      <c r="K43" s="712"/>
      <c r="L43" s="2718"/>
      <c r="M43" s="2710"/>
      <c r="N43" s="2710"/>
      <c r="O43" s="2719"/>
      <c r="P43" s="3742" t="str">
        <f>A43</f>
        <v>估价对象XX用房的比较价值（楼面单价，元/平方米）</v>
      </c>
      <c r="Q43" s="3743"/>
      <c r="R43" s="3759" t="e">
        <f>ROUND(IF(D42="简单平均",AVERAGE(R42:W42),R42*F42+T42*H42+V42*J42),0)</f>
        <v>#DIV/0!</v>
      </c>
      <c r="S43" s="3759"/>
      <c r="T43" s="3759"/>
      <c r="U43" s="3759"/>
      <c r="V43" s="3759"/>
      <c r="W43" s="3759"/>
      <c r="X43" s="687"/>
      <c r="Y43" s="687"/>
      <c r="Z43" s="687"/>
      <c r="AA43" s="687"/>
      <c r="AB43" s="687"/>
      <c r="AC43" s="687"/>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8" customFormat="1" ht="13.5" customHeight="1">
      <c r="A48" s="2722"/>
      <c r="B48" s="272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8" customFormat="1" ht="15" thickBot="1">
      <c r="A49" s="2722"/>
      <c r="B49" s="2725"/>
      <c r="C49" s="690"/>
      <c r="D49" s="688"/>
      <c r="E49" s="688"/>
      <c r="F49" s="688"/>
      <c r="G49" s="688"/>
      <c r="H49" s="688"/>
      <c r="I49" s="688"/>
      <c r="J49" s="688"/>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9" t="s">
        <v>1881</v>
      </c>
      <c r="B50" s="630" t="s">
        <v>1882</v>
      </c>
      <c r="C50" s="1977" t="s">
        <v>1883</v>
      </c>
      <c r="D50" s="1978" t="s">
        <v>1884</v>
      </c>
      <c r="E50" s="631" t="s">
        <v>1885</v>
      </c>
      <c r="F50" s="632" t="s">
        <v>1886</v>
      </c>
      <c r="G50" s="3728" t="s">
        <v>1887</v>
      </c>
      <c r="H50" s="3760"/>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7" customFormat="1">
      <c r="A51" s="633" t="s">
        <v>1890</v>
      </c>
      <c r="B51" s="634" t="e">
        <f>C43</f>
        <v>#DIV/0!</v>
      </c>
      <c r="C51" s="635">
        <v>1</v>
      </c>
      <c r="D51" s="938">
        <v>1</v>
      </c>
      <c r="E51" s="635">
        <f>'数据-汇总表'!E8+'数据-汇总表'!E9</f>
        <v>17437.989999999998</v>
      </c>
      <c r="F51" s="636" t="e">
        <f t="shared" ref="F51:F60" si="15">ROUND(B51*E51/10000,0)</f>
        <v>#DIV/0!</v>
      </c>
      <c r="G51" s="3727"/>
      <c r="H51" s="3745"/>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7" customFormat="1">
      <c r="A52" s="638" t="s">
        <v>1891</v>
      </c>
      <c r="B52" s="215" t="e">
        <f>ROUND($C$43*C52*D52,0)</f>
        <v>#DIV/0!</v>
      </c>
      <c r="C52" s="168">
        <f t="shared" ref="C52:C60" si="16">IF($C$50="北京市系数",I52,J52)</f>
        <v>0</v>
      </c>
      <c r="D52" s="939">
        <v>0.25</v>
      </c>
      <c r="E52" s="639"/>
      <c r="F52" s="636" t="e">
        <f t="shared" si="15"/>
        <v>#DIV/0!</v>
      </c>
      <c r="G52" s="3000" t="s">
        <v>1892</v>
      </c>
      <c r="H52" s="881">
        <f>项目基本情况!B37</f>
        <v>0</v>
      </c>
      <c r="I52" s="767">
        <f>SUMIF(修正!A57:A68,H52,修正!B57:B68)</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7" customFormat="1">
      <c r="A53" s="638" t="s">
        <v>1893</v>
      </c>
      <c r="B53" s="215" t="e">
        <f t="shared" ref="B53:B60" si="17">ROUND($C$43*C53*D53,0)</f>
        <v>#DIV/0!</v>
      </c>
      <c r="C53" s="168">
        <f t="shared" si="16"/>
        <v>0</v>
      </c>
      <c r="D53" s="939">
        <v>0.25</v>
      </c>
      <c r="E53" s="639"/>
      <c r="F53" s="636" t="e">
        <f t="shared" si="15"/>
        <v>#DIV/0!</v>
      </c>
      <c r="G53" s="3001"/>
      <c r="H53" s="881">
        <f>项目基本情况!B37</f>
        <v>0</v>
      </c>
      <c r="I53" s="767">
        <f>SUMIF(修正!A57:A68,H53,修正!C57:C68)</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7" customFormat="1">
      <c r="A54" s="638" t="s">
        <v>1894</v>
      </c>
      <c r="B54" s="215" t="e">
        <f t="shared" si="17"/>
        <v>#DIV/0!</v>
      </c>
      <c r="C54" s="168">
        <f t="shared" si="16"/>
        <v>0</v>
      </c>
      <c r="D54" s="939">
        <v>0.25</v>
      </c>
      <c r="E54" s="639"/>
      <c r="F54" s="636" t="e">
        <f t="shared" si="15"/>
        <v>#DIV/0!</v>
      </c>
      <c r="G54" s="3001"/>
      <c r="H54" s="881">
        <f>项目基本情况!B37</f>
        <v>0</v>
      </c>
      <c r="I54" s="767">
        <f>SUMIF(修正!A57:A68,H54,修正!D57:D68)</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7" customFormat="1" hidden="1">
      <c r="A55" s="638"/>
      <c r="B55" s="215"/>
      <c r="C55" s="168"/>
      <c r="D55" s="939"/>
      <c r="E55" s="639"/>
      <c r="F55" s="636"/>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7" customFormat="1">
      <c r="A56" s="638" t="s">
        <v>1895</v>
      </c>
      <c r="B56" s="215" t="e">
        <f t="shared" si="17"/>
        <v>#DIV/0!</v>
      </c>
      <c r="C56" s="168">
        <f t="shared" si="16"/>
        <v>0.25</v>
      </c>
      <c r="D56" s="939">
        <v>0.25</v>
      </c>
      <c r="E56" s="214">
        <f>'数据-汇总表'!E11</f>
        <v>0</v>
      </c>
      <c r="F56" s="636" t="e">
        <f t="shared" si="15"/>
        <v>#DIV/0!</v>
      </c>
      <c r="G56" s="1981" t="s">
        <v>1896</v>
      </c>
      <c r="H56" s="881" t="str">
        <f>项目基本情况!C37</f>
        <v>六级</v>
      </c>
      <c r="I56" s="767">
        <f>SUMIF(修正!A57:A68,H56,修正!E57:E68)</f>
        <v>0.25</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7" customFormat="1">
      <c r="A57" s="638" t="s">
        <v>1897</v>
      </c>
      <c r="B57" s="215" t="e">
        <f t="shared" si="17"/>
        <v>#DIV/0!</v>
      </c>
      <c r="C57" s="168">
        <f t="shared" si="16"/>
        <v>0.25</v>
      </c>
      <c r="D57" s="939">
        <v>0.25</v>
      </c>
      <c r="E57" s="214">
        <f>'数据-汇总表'!E12</f>
        <v>0</v>
      </c>
      <c r="F57" s="636" t="e">
        <f t="shared" si="15"/>
        <v>#DIV/0!</v>
      </c>
      <c r="G57" s="886" t="s">
        <v>1898</v>
      </c>
      <c r="H57" s="881" t="str">
        <f>IF(G57="商业",项目基本情况!B37,IF(G57="办公",项目基本情况!C37,IF(G57="住宅",项目基本情况!D37,项目基本情况!E37)))</f>
        <v>六级</v>
      </c>
      <c r="I57" s="767">
        <f>SUMIF(修正!A57:A68,H57,修正!F57:F68)</f>
        <v>0.25</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7" customFormat="1">
      <c r="A58" s="638" t="s">
        <v>1899</v>
      </c>
      <c r="B58" s="215" t="e">
        <f t="shared" si="17"/>
        <v>#DIV/0!</v>
      </c>
      <c r="C58" s="168">
        <f t="shared" si="16"/>
        <v>0</v>
      </c>
      <c r="D58" s="939">
        <v>0.25</v>
      </c>
      <c r="E58" s="214">
        <f>'数据-汇总表'!E13</f>
        <v>0</v>
      </c>
      <c r="F58" s="636" t="e">
        <f t="shared" si="15"/>
        <v>#DIV/0!</v>
      </c>
      <c r="G58" s="886" t="s">
        <v>1900</v>
      </c>
      <c r="H58" s="881">
        <f>IF(G58="商业",项目基本情况!B37,IF(G58="办公",项目基本情况!C37,IF(G58="住宅",项目基本情况!D37,项目基本情况!E37)))</f>
        <v>0</v>
      </c>
      <c r="I58" s="767">
        <f>SUMIF(修正!A57:A68,H58,修正!G57:G68)</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7" customFormat="1">
      <c r="A59" s="638" t="s">
        <v>1901</v>
      </c>
      <c r="B59" s="215" t="e">
        <f t="shared" si="17"/>
        <v>#DIV/0!</v>
      </c>
      <c r="C59" s="168">
        <f t="shared" si="16"/>
        <v>0</v>
      </c>
      <c r="D59" s="939">
        <v>0.25</v>
      </c>
      <c r="E59" s="214">
        <f>'数据-汇总表'!E14</f>
        <v>0</v>
      </c>
      <c r="F59" s="636" t="e">
        <f t="shared" si="15"/>
        <v>#DIV/0!</v>
      </c>
      <c r="G59" s="1981" t="s">
        <v>1892</v>
      </c>
      <c r="H59" s="881">
        <f>项目基本情况!B37</f>
        <v>0</v>
      </c>
      <c r="I59" s="767">
        <f>SUMIF(修正!A57:A68,H59,修正!G57:G68)</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7" customFormat="1" ht="15" thickBot="1">
      <c r="A60" s="638" t="s">
        <v>1902</v>
      </c>
      <c r="B60" s="215" t="e">
        <f t="shared" si="17"/>
        <v>#DIV/0!</v>
      </c>
      <c r="C60" s="168">
        <f t="shared" si="16"/>
        <v>0.15</v>
      </c>
      <c r="D60" s="939">
        <v>0.25</v>
      </c>
      <c r="E60" s="214">
        <f>'数据-汇总表'!E15</f>
        <v>0</v>
      </c>
      <c r="F60" s="636" t="e">
        <f t="shared" si="15"/>
        <v>#DIV/0!</v>
      </c>
      <c r="G60" s="1982" t="s">
        <v>1896</v>
      </c>
      <c r="H60" s="891" t="str">
        <f>项目基本情况!C37</f>
        <v>六级</v>
      </c>
      <c r="I60" s="767">
        <f>SUMIF(修正!A57:A68,H60,修正!G57:G68)</f>
        <v>0.15</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7" customFormat="1" ht="15" thickBot="1">
      <c r="A61" s="640" t="s">
        <v>1903</v>
      </c>
      <c r="B61" s="641" t="s">
        <v>22</v>
      </c>
      <c r="C61" s="641" t="s">
        <v>23</v>
      </c>
      <c r="D61" s="641" t="s">
        <v>392</v>
      </c>
      <c r="E61" s="641">
        <f>IF(B41="楼面地价",SUM(E51:E60),'数据-汇总表'!D3)</f>
        <v>15255.5</v>
      </c>
      <c r="F61" s="642"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9" t="str">
        <f>YEAR(C7)&amp;"-"&amp;MONTH(C7)&amp;"-1"</f>
        <v>2024-9-1</v>
      </c>
      <c r="D63" s="689">
        <f>EDATE(C63,-3)</f>
        <v>45444</v>
      </c>
      <c r="E63" s="689">
        <f>EDATE(D63,-3)</f>
        <v>45352</v>
      </c>
      <c r="F63" s="689">
        <f t="shared" ref="F63:O63" si="18">EDATE(E63,-3)</f>
        <v>45261</v>
      </c>
      <c r="G63" s="689">
        <f t="shared" si="18"/>
        <v>45170</v>
      </c>
      <c r="H63" s="689">
        <f t="shared" si="18"/>
        <v>45078</v>
      </c>
      <c r="I63" s="689">
        <f t="shared" si="18"/>
        <v>44986</v>
      </c>
      <c r="J63" s="689">
        <f t="shared" si="18"/>
        <v>44896</v>
      </c>
      <c r="K63" s="689">
        <f t="shared" si="18"/>
        <v>44805</v>
      </c>
      <c r="L63" s="689">
        <f t="shared" si="18"/>
        <v>44713</v>
      </c>
      <c r="M63" s="689">
        <f t="shared" si="18"/>
        <v>44621</v>
      </c>
      <c r="N63" s="689">
        <f t="shared" si="18"/>
        <v>44531</v>
      </c>
      <c r="O63" s="689">
        <f t="shared" si="18"/>
        <v>44440</v>
      </c>
      <c r="P63" s="2719"/>
      <c r="Q63" s="2719"/>
      <c r="R63" s="2719"/>
      <c r="S63" s="2719"/>
      <c r="T63" s="2719"/>
      <c r="U63" s="2719"/>
      <c r="V63" s="2719"/>
      <c r="W63" s="2719"/>
      <c r="X63" s="2719"/>
      <c r="Y63" s="2719"/>
      <c r="Z63" s="2719"/>
      <c r="AA63" s="2719"/>
      <c r="AB63" s="2719"/>
      <c r="AC63" s="2719"/>
      <c r="AD63" s="2719"/>
      <c r="AE63" s="2719"/>
    </row>
    <row r="64" spans="1:31" ht="21.75" thickBot="1">
      <c r="A64" s="691" t="s">
        <v>1798</v>
      </c>
      <c r="B64" s="687"/>
      <c r="C64" s="692"/>
      <c r="D64" s="692"/>
      <c r="E64" s="692"/>
      <c r="F64" s="693"/>
      <c r="G64" s="693"/>
      <c r="H64" s="692"/>
      <c r="I64" s="692"/>
      <c r="J64" s="692"/>
      <c r="K64" s="694"/>
      <c r="L64" s="695"/>
      <c r="M64" s="692"/>
      <c r="N64" s="692"/>
      <c r="O64" s="934"/>
      <c r="P64" s="2763"/>
      <c r="Q64" s="2733"/>
      <c r="R64" s="2719"/>
      <c r="S64" s="2719"/>
      <c r="T64" s="2719"/>
      <c r="U64" s="2719"/>
      <c r="V64" s="2719"/>
      <c r="W64" s="2719"/>
      <c r="X64" s="2719"/>
      <c r="Y64" s="2719"/>
      <c r="Z64" s="2719"/>
      <c r="AA64" s="2719"/>
      <c r="AB64" s="2719"/>
      <c r="AC64" s="2719"/>
      <c r="AD64" s="2719"/>
      <c r="AE64" s="2719"/>
    </row>
    <row r="65" spans="1:31" s="454" customFormat="1" ht="15">
      <c r="A65" s="1983" t="s">
        <v>1904</v>
      </c>
      <c r="B65" s="1103"/>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70"/>
      <c r="Q65" s="2735"/>
      <c r="R65" s="2735"/>
      <c r="S65" s="2735"/>
      <c r="T65" s="2735"/>
      <c r="U65" s="2735"/>
      <c r="V65" s="2735"/>
      <c r="W65" s="2735"/>
      <c r="X65" s="2735"/>
      <c r="Y65" s="2735"/>
      <c r="Z65" s="2735"/>
      <c r="AA65" s="2735"/>
      <c r="AB65" s="2735"/>
      <c r="AC65" s="2735"/>
      <c r="AD65" s="2735"/>
      <c r="AE65" s="2735"/>
    </row>
    <row r="66" spans="1:31" s="105" customFormat="1" ht="30.75" customHeight="1">
      <c r="A66" s="1988" t="s">
        <v>1924</v>
      </c>
      <c r="B66" s="285" t="str">
        <f>"北京市平均增长率"&amp;TEXT(基准地价修正!P28,"0.00%")</f>
        <v>北京市平均增长率0.00%</v>
      </c>
      <c r="C66" s="549">
        <v>100</v>
      </c>
      <c r="D66" s="541"/>
      <c r="E66" s="541"/>
      <c r="F66" s="541"/>
      <c r="G66" s="541"/>
      <c r="H66" s="541"/>
      <c r="I66" s="541"/>
      <c r="J66" s="541"/>
      <c r="K66" s="541"/>
      <c r="L66" s="541"/>
      <c r="M66" s="1172"/>
      <c r="N66" s="1172"/>
      <c r="O66" s="1174"/>
      <c r="P66" s="2733"/>
      <c r="Q66" s="2655"/>
      <c r="R66" s="2655"/>
      <c r="S66" s="2655"/>
      <c r="T66" s="2655"/>
      <c r="U66" s="2655"/>
      <c r="V66" s="2655"/>
      <c r="W66" s="2655"/>
      <c r="X66" s="2655"/>
      <c r="Y66" s="2655"/>
      <c r="Z66" s="2655"/>
      <c r="AA66" s="2655"/>
      <c r="AB66" s="2655"/>
      <c r="AC66" s="2655"/>
      <c r="AD66" s="2655"/>
      <c r="AE66" s="2655"/>
    </row>
    <row r="67" spans="1:31" s="105" customFormat="1" ht="15.75" thickBot="1">
      <c r="A67" s="461" t="s">
        <v>1716</v>
      </c>
      <c r="B67" s="462"/>
      <c r="C67" s="463"/>
      <c r="D67" s="464"/>
      <c r="E67" s="464"/>
      <c r="F67" s="464"/>
      <c r="G67" s="464"/>
      <c r="H67" s="464"/>
      <c r="I67" s="464"/>
      <c r="J67" s="464"/>
      <c r="K67" s="464"/>
      <c r="L67" s="464"/>
      <c r="M67" s="465"/>
      <c r="N67" s="465"/>
      <c r="O67" s="466"/>
      <c r="P67" s="2733"/>
      <c r="Q67" s="2733"/>
      <c r="R67" s="2655"/>
      <c r="S67" s="2655"/>
      <c r="T67" s="2655"/>
      <c r="U67" s="2655"/>
      <c r="V67" s="2655"/>
      <c r="W67" s="2655"/>
      <c r="X67" s="2655"/>
      <c r="Y67" s="2655"/>
      <c r="Z67" s="2655"/>
      <c r="AA67" s="2655"/>
      <c r="AB67" s="2655"/>
      <c r="AC67" s="2655"/>
      <c r="AD67" s="2655"/>
      <c r="AE67" s="2655"/>
    </row>
    <row r="68" spans="1:31" s="105" customFormat="1" ht="15">
      <c r="A68" s="467" t="s">
        <v>1681</v>
      </c>
      <c r="B68" s="456"/>
      <c r="C68" s="468" t="s">
        <v>1776</v>
      </c>
      <c r="D68" s="469"/>
      <c r="E68" s="469"/>
      <c r="F68" s="469"/>
      <c r="G68" s="469"/>
      <c r="H68" s="469"/>
      <c r="I68" s="469"/>
      <c r="J68" s="469"/>
      <c r="K68" s="469"/>
      <c r="L68" s="470"/>
      <c r="M68" s="471"/>
      <c r="N68" s="2746"/>
      <c r="O68" s="2746"/>
      <c r="P68" s="2771"/>
      <c r="Q68" s="2733"/>
      <c r="R68" s="2655"/>
      <c r="S68" s="2655"/>
      <c r="T68" s="2655"/>
      <c r="U68" s="2655"/>
      <c r="V68" s="2655"/>
      <c r="W68" s="2655"/>
      <c r="X68" s="2655"/>
      <c r="Y68" s="2655"/>
      <c r="Z68" s="2655"/>
      <c r="AA68" s="2655"/>
      <c r="AB68" s="2655"/>
      <c r="AC68" s="2655"/>
      <c r="AD68" s="2655"/>
      <c r="AE68" s="2655"/>
    </row>
    <row r="69" spans="1:31" s="105" customFormat="1" ht="15.75" thickBot="1">
      <c r="A69" s="467"/>
      <c r="B69" s="456"/>
      <c r="C69" s="584">
        <v>100</v>
      </c>
      <c r="D69" s="458"/>
      <c r="E69" s="458"/>
      <c r="F69" s="458"/>
      <c r="G69" s="458"/>
      <c r="H69" s="458"/>
      <c r="I69" s="458"/>
      <c r="J69" s="458"/>
      <c r="K69" s="458"/>
      <c r="L69" s="458"/>
      <c r="M69" s="460"/>
      <c r="N69" s="2746"/>
      <c r="O69" s="2746"/>
      <c r="P69" s="2733"/>
      <c r="Q69" s="2733"/>
      <c r="R69" s="2655"/>
      <c r="S69" s="2655"/>
      <c r="T69" s="2655"/>
      <c r="U69" s="2655"/>
      <c r="V69" s="2655"/>
      <c r="W69" s="2655"/>
      <c r="X69" s="2655"/>
      <c r="Y69" s="2655"/>
      <c r="Z69" s="2655"/>
      <c r="AA69" s="2655"/>
      <c r="AB69" s="2655"/>
      <c r="AC69" s="2655"/>
      <c r="AD69" s="2655"/>
      <c r="AE69" s="2655"/>
    </row>
    <row r="70" spans="1:31">
      <c r="A70" s="473" t="s">
        <v>1719</v>
      </c>
      <c r="B70" s="474" t="s">
        <v>1685</v>
      </c>
      <c r="C70" s="476"/>
      <c r="D70" s="476"/>
      <c r="E70" s="476"/>
      <c r="F70" s="476"/>
      <c r="G70" s="476"/>
      <c r="H70" s="476"/>
      <c r="I70" s="476"/>
      <c r="J70" s="476"/>
      <c r="K70" s="477"/>
      <c r="L70" s="478"/>
      <c r="M70" s="479"/>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0"/>
      <c r="B71" s="481"/>
      <c r="C71" s="482"/>
      <c r="D71" s="482"/>
      <c r="E71" s="482"/>
      <c r="F71" s="482"/>
      <c r="G71" s="482"/>
      <c r="H71" s="482"/>
      <c r="I71" s="482"/>
      <c r="J71" s="482"/>
      <c r="K71" s="482"/>
      <c r="L71" s="482"/>
      <c r="M71" s="483"/>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0"/>
      <c r="B72" s="484" t="s">
        <v>1688</v>
      </c>
      <c r="C72" s="485"/>
      <c r="D72" s="485"/>
      <c r="E72" s="485"/>
      <c r="F72" s="485"/>
      <c r="G72" s="485"/>
      <c r="H72" s="485"/>
      <c r="I72" s="485"/>
      <c r="J72" s="485"/>
      <c r="K72" s="486"/>
      <c r="L72" s="487"/>
      <c r="M72" s="488"/>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0"/>
      <c r="B73" s="489"/>
      <c r="C73" s="490"/>
      <c r="D73" s="490"/>
      <c r="E73" s="490"/>
      <c r="F73" s="490"/>
      <c r="G73" s="490"/>
      <c r="H73" s="490"/>
      <c r="I73" s="490"/>
      <c r="J73" s="490"/>
      <c r="K73" s="490"/>
      <c r="L73" s="490"/>
      <c r="M73" s="491"/>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0"/>
      <c r="B75" s="494"/>
      <c r="C75" s="495"/>
      <c r="D75" s="495"/>
      <c r="E75" s="495"/>
      <c r="F75" s="495"/>
      <c r="G75" s="495"/>
      <c r="H75" s="495"/>
      <c r="I75" s="495"/>
      <c r="J75" s="495"/>
      <c r="K75" s="496"/>
      <c r="L75" s="497"/>
      <c r="M75" s="498"/>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9" customFormat="1" ht="15.75" thickTop="1">
      <c r="A77" s="499"/>
      <c r="B77" s="484">
        <f>B12</f>
        <v>111</v>
      </c>
      <c r="C77" s="500"/>
      <c r="D77" s="500"/>
      <c r="E77" s="500"/>
      <c r="F77" s="500"/>
      <c r="G77" s="500"/>
      <c r="H77" s="501"/>
      <c r="I77" s="501"/>
      <c r="J77" s="501"/>
      <c r="K77" s="501"/>
      <c r="L77" s="502"/>
      <c r="M77" s="503"/>
      <c r="N77" s="2749"/>
      <c r="O77" s="2749"/>
      <c r="P77" s="2773"/>
      <c r="Q77" s="2740"/>
      <c r="R77" s="2741"/>
      <c r="S77" s="2741"/>
      <c r="T77" s="2741"/>
      <c r="U77" s="2741"/>
      <c r="V77" s="2741"/>
      <c r="W77" s="2741"/>
      <c r="X77" s="2741"/>
      <c r="Y77" s="2741"/>
      <c r="Z77" s="2741"/>
      <c r="AA77" s="2741"/>
      <c r="AB77" s="2741"/>
      <c r="AC77" s="2741"/>
      <c r="AD77" s="2741"/>
      <c r="AE77" s="2741"/>
    </row>
    <row r="78" spans="1:31" s="419" customFormat="1" ht="15.75" thickBot="1">
      <c r="A78" s="499"/>
      <c r="B78" s="489"/>
      <c r="C78" s="506"/>
      <c r="D78" s="482"/>
      <c r="E78" s="482"/>
      <c r="F78" s="482"/>
      <c r="G78" s="482"/>
      <c r="H78" s="482"/>
      <c r="I78" s="482"/>
      <c r="J78" s="482"/>
      <c r="K78" s="482"/>
      <c r="L78" s="482"/>
      <c r="M78" s="483"/>
      <c r="N78" s="2748"/>
      <c r="O78" s="2748"/>
      <c r="P78" s="2773"/>
      <c r="Q78" s="2740"/>
      <c r="R78" s="2741"/>
      <c r="S78" s="2741"/>
      <c r="T78" s="2741"/>
      <c r="U78" s="2741"/>
      <c r="V78" s="2741"/>
      <c r="W78" s="2741"/>
      <c r="X78" s="2741"/>
      <c r="Y78" s="2741"/>
      <c r="Z78" s="2741"/>
      <c r="AA78" s="2741"/>
      <c r="AB78" s="2741"/>
      <c r="AC78" s="2741"/>
      <c r="AD78" s="2741"/>
      <c r="AE78" s="2741"/>
    </row>
    <row r="79" spans="1:31" s="419" customFormat="1" ht="15.75" thickTop="1">
      <c r="A79" s="499"/>
      <c r="B79" s="484">
        <f>B13</f>
        <v>111</v>
      </c>
      <c r="C79" s="500"/>
      <c r="D79" s="500"/>
      <c r="E79" s="500"/>
      <c r="F79" s="500"/>
      <c r="G79" s="500"/>
      <c r="H79" s="501"/>
      <c r="I79" s="501"/>
      <c r="J79" s="501"/>
      <c r="K79" s="501"/>
      <c r="L79" s="502"/>
      <c r="M79" s="503"/>
      <c r="N79" s="2749"/>
      <c r="O79" s="2749"/>
      <c r="P79" s="2717"/>
      <c r="Q79" s="2743"/>
      <c r="R79" s="2741"/>
      <c r="S79" s="2741"/>
      <c r="T79" s="2741"/>
      <c r="U79" s="2741"/>
      <c r="V79" s="2741"/>
      <c r="W79" s="2741"/>
      <c r="X79" s="2741"/>
      <c r="Y79" s="2741"/>
      <c r="Z79" s="2741"/>
      <c r="AA79" s="2741"/>
      <c r="AB79" s="2741"/>
      <c r="AC79" s="2741"/>
      <c r="AD79" s="2741"/>
      <c r="AE79" s="2741"/>
    </row>
    <row r="80" spans="1:31" s="419" customFormat="1" ht="15.75" thickBot="1">
      <c r="A80" s="499"/>
      <c r="B80" s="489"/>
      <c r="C80" s="506"/>
      <c r="D80" s="506"/>
      <c r="E80" s="506"/>
      <c r="F80" s="506"/>
      <c r="G80" s="506"/>
      <c r="H80" s="508"/>
      <c r="I80" s="508"/>
      <c r="J80" s="508"/>
      <c r="K80" s="508"/>
      <c r="L80" s="508"/>
      <c r="M80" s="509"/>
      <c r="N80" s="2749"/>
      <c r="O80" s="2749"/>
      <c r="P80" s="2773"/>
      <c r="Q80" s="2740"/>
      <c r="R80" s="2741"/>
      <c r="S80" s="2741"/>
      <c r="T80" s="2741"/>
      <c r="U80" s="2741"/>
      <c r="V80" s="2741"/>
      <c r="W80" s="2741"/>
      <c r="X80" s="2741"/>
      <c r="Y80" s="2741"/>
      <c r="Z80" s="2741"/>
      <c r="AA80" s="2741"/>
      <c r="AB80" s="2741"/>
      <c r="AC80" s="2741"/>
      <c r="AD80" s="2741"/>
      <c r="AE80" s="2741"/>
    </row>
    <row r="81" spans="1:31" s="419" customFormat="1" ht="15.75" thickTop="1">
      <c r="A81" s="499"/>
      <c r="B81" s="492">
        <f>B14</f>
        <v>111</v>
      </c>
      <c r="C81" s="469"/>
      <c r="D81" s="469"/>
      <c r="E81" s="469"/>
      <c r="F81" s="469"/>
      <c r="G81" s="469"/>
      <c r="H81" s="510"/>
      <c r="I81" s="510"/>
      <c r="J81" s="510"/>
      <c r="K81" s="510"/>
      <c r="L81" s="511"/>
      <c r="M81" s="512"/>
      <c r="N81" s="2749"/>
      <c r="O81" s="2749"/>
      <c r="P81" s="2778"/>
      <c r="Q81" s="2740"/>
      <c r="R81" s="2741"/>
      <c r="S81" s="2741"/>
      <c r="T81" s="2741"/>
      <c r="U81" s="2741"/>
      <c r="V81" s="2741"/>
      <c r="W81" s="2741"/>
      <c r="X81" s="2741"/>
      <c r="Y81" s="2741"/>
      <c r="Z81" s="2741"/>
      <c r="AA81" s="2741"/>
      <c r="AB81" s="2741"/>
      <c r="AC81" s="2741"/>
      <c r="AD81" s="2741"/>
      <c r="AE81" s="2741"/>
    </row>
    <row r="82" spans="1:31" s="419" customFormat="1" ht="15.75" thickBot="1">
      <c r="A82" s="514"/>
      <c r="B82" s="515"/>
      <c r="C82" s="516"/>
      <c r="D82" s="516"/>
      <c r="E82" s="516"/>
      <c r="F82" s="516"/>
      <c r="G82" s="516"/>
      <c r="H82" s="517"/>
      <c r="I82" s="517"/>
      <c r="J82" s="517"/>
      <c r="K82" s="517"/>
      <c r="L82" s="517"/>
      <c r="M82" s="518"/>
      <c r="N82" s="2749"/>
      <c r="O82" s="2749"/>
      <c r="P82" s="2773"/>
      <c r="Q82" s="2740"/>
      <c r="R82" s="2741"/>
      <c r="S82" s="2741"/>
      <c r="T82" s="2741"/>
      <c r="U82" s="2741"/>
      <c r="V82" s="2741"/>
      <c r="W82" s="2741"/>
      <c r="X82" s="2741"/>
      <c r="Y82" s="2741"/>
      <c r="Z82" s="2741"/>
      <c r="AA82" s="2741"/>
      <c r="AB82" s="2741"/>
      <c r="AC82" s="2741"/>
      <c r="AD82" s="2741"/>
      <c r="AE82" s="2741"/>
    </row>
    <row r="83" spans="1:31">
      <c r="A83" s="473" t="s">
        <v>1690</v>
      </c>
      <c r="B83" s="474" t="s">
        <v>1829</v>
      </c>
      <c r="C83" s="519" t="s">
        <v>1721</v>
      </c>
      <c r="D83" s="519" t="s">
        <v>1722</v>
      </c>
      <c r="E83" s="519" t="s">
        <v>1723</v>
      </c>
      <c r="F83" s="519" t="s">
        <v>1724</v>
      </c>
      <c r="G83" s="519" t="s">
        <v>1725</v>
      </c>
      <c r="H83" s="475"/>
      <c r="I83" s="475"/>
      <c r="J83" s="475"/>
      <c r="K83" s="520"/>
      <c r="L83" s="521"/>
      <c r="M83" s="522"/>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0"/>
      <c r="B85" s="484" t="s">
        <v>1726</v>
      </c>
      <c r="C85" s="524" t="s">
        <v>1721</v>
      </c>
      <c r="D85" s="524" t="s">
        <v>1722</v>
      </c>
      <c r="E85" s="524" t="s">
        <v>1723</v>
      </c>
      <c r="F85" s="524" t="s">
        <v>1724</v>
      </c>
      <c r="G85" s="524" t="s">
        <v>1725</v>
      </c>
      <c r="H85" s="485"/>
      <c r="I85" s="485"/>
      <c r="J85" s="485"/>
      <c r="K85" s="486"/>
      <c r="L85" s="487"/>
      <c r="M85" s="488"/>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8"/>
      <c r="O86" s="2748"/>
      <c r="P86" s="2772"/>
      <c r="Q86" s="2733"/>
      <c r="R86" s="2719"/>
      <c r="S86" s="2719"/>
      <c r="T86" s="2719"/>
      <c r="U86" s="2719"/>
      <c r="V86" s="2719"/>
      <c r="W86" s="2719"/>
      <c r="X86" s="2719"/>
      <c r="Y86" s="2719"/>
      <c r="Z86" s="2719"/>
      <c r="AA86" s="2719"/>
      <c r="AB86" s="2719"/>
      <c r="AC86" s="2719"/>
      <c r="AD86" s="2719"/>
      <c r="AE86" s="2719"/>
    </row>
    <row r="87" spans="1:31" s="105" customFormat="1" ht="15.75" thickTop="1">
      <c r="A87" s="525"/>
      <c r="B87" s="484" t="s">
        <v>1907</v>
      </c>
      <c r="C87" s="519" t="s">
        <v>1721</v>
      </c>
      <c r="D87" s="519" t="s">
        <v>1722</v>
      </c>
      <c r="E87" s="519" t="s">
        <v>1723</v>
      </c>
      <c r="F87" s="519" t="s">
        <v>1724</v>
      </c>
      <c r="G87" s="519" t="s">
        <v>1725</v>
      </c>
      <c r="H87" s="524"/>
      <c r="I87" s="524"/>
      <c r="J87" s="524"/>
      <c r="K87" s="524"/>
      <c r="L87" s="643"/>
      <c r="M87" s="567"/>
      <c r="N87" s="2746"/>
      <c r="O87" s="2746"/>
      <c r="P87" s="2772"/>
      <c r="Q87" s="2733"/>
      <c r="R87" s="2655"/>
      <c r="S87" s="2655"/>
      <c r="T87" s="2655"/>
      <c r="U87" s="2655"/>
      <c r="V87" s="2655"/>
      <c r="W87" s="2655"/>
      <c r="X87" s="2655"/>
      <c r="Y87" s="2655"/>
      <c r="Z87" s="2655"/>
      <c r="AA87" s="2655"/>
      <c r="AB87" s="2655"/>
      <c r="AC87" s="2655"/>
      <c r="AD87" s="2655"/>
      <c r="AE87" s="2655"/>
    </row>
    <row r="88" spans="1:31" s="105" customFormat="1" ht="15.75" thickBot="1">
      <c r="A88" s="525"/>
      <c r="B88" s="489"/>
      <c r="C88" s="528">
        <v>100</v>
      </c>
      <c r="D88" s="490">
        <f>C88-$K19</f>
        <v>100</v>
      </c>
      <c r="E88" s="490">
        <f>D88-$K19</f>
        <v>100</v>
      </c>
      <c r="F88" s="490">
        <f>E88-$K19</f>
        <v>100</v>
      </c>
      <c r="G88" s="490">
        <f>F88-$K19</f>
        <v>100</v>
      </c>
      <c r="H88" s="490"/>
      <c r="I88" s="490"/>
      <c r="J88" s="490"/>
      <c r="K88" s="490"/>
      <c r="L88" s="490"/>
      <c r="M88" s="491"/>
      <c r="N88" s="2748"/>
      <c r="O88" s="2748"/>
      <c r="P88" s="2772"/>
      <c r="Q88" s="2733"/>
      <c r="R88" s="2655"/>
      <c r="S88" s="2655"/>
      <c r="T88" s="2655"/>
      <c r="U88" s="2655"/>
      <c r="V88" s="2655"/>
      <c r="W88" s="2655"/>
      <c r="X88" s="2655"/>
      <c r="Y88" s="2655"/>
      <c r="Z88" s="2655"/>
      <c r="AA88" s="2655"/>
      <c r="AB88" s="2655"/>
      <c r="AC88" s="2655"/>
      <c r="AD88" s="2655"/>
      <c r="AE88" s="2655"/>
    </row>
    <row r="89" spans="1:31" s="105" customFormat="1" ht="27.75" thickTop="1">
      <c r="A89" s="525"/>
      <c r="B89" s="484" t="s">
        <v>1908</v>
      </c>
      <c r="C89" s="519" t="s">
        <v>1721</v>
      </c>
      <c r="D89" s="519" t="s">
        <v>1722</v>
      </c>
      <c r="E89" s="519" t="s">
        <v>1723</v>
      </c>
      <c r="F89" s="519" t="s">
        <v>1724</v>
      </c>
      <c r="G89" s="519" t="s">
        <v>1725</v>
      </c>
      <c r="H89" s="524"/>
      <c r="I89" s="524"/>
      <c r="J89" s="524"/>
      <c r="K89" s="524"/>
      <c r="L89" s="524"/>
      <c r="M89" s="567"/>
      <c r="N89" s="2746"/>
      <c r="O89" s="2746"/>
      <c r="P89" s="2772"/>
      <c r="Q89" s="2733"/>
      <c r="R89" s="2655"/>
      <c r="S89" s="2655"/>
      <c r="T89" s="2655"/>
      <c r="U89" s="2655"/>
      <c r="V89" s="2655"/>
      <c r="W89" s="2655"/>
      <c r="X89" s="2655"/>
      <c r="Y89" s="2655"/>
      <c r="Z89" s="2655"/>
      <c r="AA89" s="2655"/>
      <c r="AB89" s="2655"/>
      <c r="AC89" s="2655"/>
      <c r="AD89" s="2655"/>
      <c r="AE89" s="2655"/>
    </row>
    <row r="90" spans="1:31" s="105" customFormat="1" ht="15.75" thickBot="1">
      <c r="A90" s="525"/>
      <c r="B90" s="489"/>
      <c r="C90" s="490">
        <v>100</v>
      </c>
      <c r="D90" s="490">
        <f>C90-$K21</f>
        <v>100</v>
      </c>
      <c r="E90" s="490">
        <f>D90-$K21</f>
        <v>100</v>
      </c>
      <c r="F90" s="490">
        <f>E90-$K21</f>
        <v>100</v>
      </c>
      <c r="G90" s="490">
        <f>F90-$K21</f>
        <v>100</v>
      </c>
      <c r="H90" s="490"/>
      <c r="I90" s="490"/>
      <c r="J90" s="490"/>
      <c r="K90" s="490"/>
      <c r="L90" s="490"/>
      <c r="M90" s="491"/>
      <c r="N90" s="2748"/>
      <c r="O90" s="2748"/>
      <c r="P90" s="2772"/>
      <c r="Q90" s="2733"/>
      <c r="R90" s="2655"/>
      <c r="S90" s="2655"/>
      <c r="T90" s="2655"/>
      <c r="U90" s="2655"/>
      <c r="V90" s="2655"/>
      <c r="W90" s="2655"/>
      <c r="X90" s="2655"/>
      <c r="Y90" s="2655"/>
      <c r="Z90" s="2655"/>
      <c r="AA90" s="2655"/>
      <c r="AB90" s="2655"/>
      <c r="AC90" s="2655"/>
      <c r="AD90" s="2655"/>
      <c r="AE90" s="2655"/>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9"/>
      <c r="O91" s="2749"/>
      <c r="P91" s="2773"/>
      <c r="Q91" s="2740"/>
      <c r="R91" s="2741"/>
      <c r="S91" s="2741"/>
      <c r="T91" s="2741"/>
      <c r="U91" s="2741"/>
      <c r="V91" s="2741"/>
      <c r="W91" s="2741"/>
      <c r="X91" s="2741"/>
      <c r="Y91" s="2741"/>
      <c r="Z91" s="2741"/>
      <c r="AA91" s="2741"/>
      <c r="AB91" s="2741"/>
      <c r="AC91" s="2741"/>
      <c r="AD91" s="2741"/>
      <c r="AE91" s="2741"/>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9"/>
      <c r="O92" s="2749"/>
      <c r="P92" s="2773"/>
      <c r="Q92" s="2740"/>
      <c r="R92" s="2741"/>
      <c r="S92" s="2741"/>
      <c r="T92" s="2741"/>
      <c r="U92" s="2741"/>
      <c r="V92" s="2741"/>
      <c r="W92" s="2741"/>
      <c r="X92" s="2741"/>
      <c r="Y92" s="2741"/>
      <c r="Z92" s="2741"/>
      <c r="AA92" s="2741"/>
      <c r="AB92" s="2741"/>
      <c r="AC92" s="2741"/>
      <c r="AD92" s="2741"/>
      <c r="AE92" s="2741"/>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9"/>
      <c r="O93" s="2749"/>
      <c r="P93" s="2773"/>
      <c r="Q93" s="2740"/>
      <c r="R93" s="2741"/>
      <c r="S93" s="2741"/>
      <c r="T93" s="2741"/>
      <c r="U93" s="2741"/>
      <c r="V93" s="2741"/>
      <c r="W93" s="2741"/>
      <c r="X93" s="2741"/>
      <c r="Y93" s="2741"/>
      <c r="Z93" s="2741"/>
      <c r="AA93" s="2741"/>
      <c r="AB93" s="2741"/>
      <c r="AC93" s="2741"/>
      <c r="AD93" s="2741"/>
      <c r="AE93" s="2741"/>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0"/>
      <c r="B97" s="484" t="s">
        <v>1815</v>
      </c>
      <c r="C97" s="500"/>
      <c r="D97" s="500"/>
      <c r="E97" s="500"/>
      <c r="F97" s="500"/>
      <c r="G97" s="500"/>
      <c r="H97" s="529"/>
      <c r="I97" s="529"/>
      <c r="J97" s="529"/>
      <c r="K97" s="530"/>
      <c r="L97" s="531"/>
      <c r="M97" s="532"/>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0"/>
      <c r="B99" s="484" t="s">
        <v>1873</v>
      </c>
      <c r="C99" s="529"/>
      <c r="D99" s="529"/>
      <c r="E99" s="529"/>
      <c r="F99" s="529"/>
      <c r="G99" s="529"/>
      <c r="H99" s="529"/>
      <c r="I99" s="529"/>
      <c r="J99" s="529"/>
      <c r="K99" s="530"/>
      <c r="L99" s="531"/>
      <c r="M99" s="532"/>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0"/>
      <c r="B101" s="492">
        <f>B31</f>
        <v>111</v>
      </c>
      <c r="C101" s="500"/>
      <c r="D101" s="500"/>
      <c r="E101" s="500"/>
      <c r="F101" s="500"/>
      <c r="G101" s="533"/>
      <c r="H101" s="533"/>
      <c r="I101" s="533"/>
      <c r="J101" s="533"/>
      <c r="K101" s="534"/>
      <c r="L101" s="535"/>
      <c r="M101" s="536"/>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0"/>
      <c r="B102" s="515"/>
      <c r="C102" s="506"/>
      <c r="D102" s="482"/>
      <c r="E102" s="482"/>
      <c r="F102" s="482"/>
      <c r="G102" s="537"/>
      <c r="H102" s="537"/>
      <c r="I102" s="537"/>
      <c r="J102" s="537"/>
      <c r="K102" s="537"/>
      <c r="L102" s="537"/>
      <c r="M102" s="538"/>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0"/>
      <c r="B103" s="484">
        <f>B32</f>
        <v>111</v>
      </c>
      <c r="C103" s="500"/>
      <c r="D103" s="500"/>
      <c r="E103" s="500"/>
      <c r="F103" s="500"/>
      <c r="G103" s="529"/>
      <c r="H103" s="529"/>
      <c r="I103" s="529"/>
      <c r="J103" s="529"/>
      <c r="K103" s="530"/>
      <c r="L103" s="531"/>
      <c r="M103" s="532"/>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0"/>
      <c r="B104" s="489"/>
      <c r="C104" s="506"/>
      <c r="D104" s="506"/>
      <c r="E104" s="506"/>
      <c r="F104" s="506"/>
      <c r="G104" s="482"/>
      <c r="H104" s="482"/>
      <c r="I104" s="482"/>
      <c r="J104" s="482"/>
      <c r="K104" s="482"/>
      <c r="L104" s="482"/>
      <c r="M104" s="483"/>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9" customFormat="1" ht="15" thickTop="1">
      <c r="A105" s="539"/>
      <c r="B105" s="540">
        <f>B33</f>
        <v>111</v>
      </c>
      <c r="C105" s="469"/>
      <c r="D105" s="469"/>
      <c r="E105" s="469"/>
      <c r="F105" s="469"/>
      <c r="G105" s="541"/>
      <c r="H105" s="541"/>
      <c r="I105" s="541"/>
      <c r="J105" s="542"/>
      <c r="K105" s="542"/>
      <c r="L105" s="543"/>
      <c r="M105" s="544"/>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9" customFormat="1" ht="15.75" thickBot="1">
      <c r="A106" s="499"/>
      <c r="B106" s="492"/>
      <c r="C106" s="516"/>
      <c r="D106" s="516"/>
      <c r="E106" s="516"/>
      <c r="F106" s="516"/>
      <c r="G106" s="622"/>
      <c r="H106" s="622"/>
      <c r="I106" s="622"/>
      <c r="J106" s="622"/>
      <c r="K106" s="622"/>
      <c r="L106" s="622"/>
      <c r="M106" s="644"/>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0"/>
      <c r="B108" s="492"/>
      <c r="C108" s="541"/>
      <c r="D108" s="541"/>
      <c r="E108" s="541"/>
      <c r="F108" s="541"/>
      <c r="G108" s="541"/>
      <c r="H108" s="541"/>
      <c r="I108" s="541"/>
      <c r="J108" s="542"/>
      <c r="K108" s="542"/>
      <c r="L108" s="543"/>
      <c r="M108" s="544"/>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0"/>
      <c r="B109" s="489"/>
      <c r="C109" s="516"/>
      <c r="D109" s="537"/>
      <c r="E109" s="537"/>
      <c r="F109" s="537"/>
      <c r="G109" s="537"/>
      <c r="H109" s="537"/>
      <c r="I109" s="537"/>
      <c r="J109" s="537"/>
      <c r="K109" s="537"/>
      <c r="L109" s="537"/>
      <c r="M109" s="538"/>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5"/>
      <c r="B110" s="484" t="s">
        <v>1914</v>
      </c>
      <c r="C110" s="529"/>
      <c r="D110" s="529"/>
      <c r="E110" s="529"/>
      <c r="F110" s="529"/>
      <c r="G110" s="529"/>
      <c r="H110" s="529"/>
      <c r="I110" s="529"/>
      <c r="J110" s="529"/>
      <c r="K110" s="530"/>
      <c r="L110" s="531"/>
      <c r="M110" s="532"/>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9" customFormat="1" ht="15" thickTop="1">
      <c r="A112" s="539"/>
      <c r="B112" s="484" t="s">
        <v>1916</v>
      </c>
      <c r="C112" s="500"/>
      <c r="D112" s="500"/>
      <c r="E112" s="500"/>
      <c r="F112" s="500"/>
      <c r="G112" s="500"/>
      <c r="H112" s="529"/>
      <c r="I112" s="529"/>
      <c r="J112" s="529"/>
      <c r="K112" s="530"/>
      <c r="L112" s="531"/>
      <c r="M112" s="532"/>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5"/>
      <c r="B114" s="484" t="s">
        <v>1917</v>
      </c>
      <c r="C114" s="500"/>
      <c r="D114" s="500"/>
      <c r="E114" s="529"/>
      <c r="F114" s="529"/>
      <c r="G114" s="529"/>
      <c r="H114" s="529"/>
      <c r="I114" s="529"/>
      <c r="J114" s="529"/>
      <c r="K114" s="530"/>
      <c r="L114" s="531"/>
      <c r="M114" s="532"/>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5"/>
      <c r="B116" s="484">
        <f>B38</f>
        <v>111</v>
      </c>
      <c r="C116" s="500"/>
      <c r="D116" s="500"/>
      <c r="E116" s="500"/>
      <c r="F116" s="500"/>
      <c r="G116" s="500"/>
      <c r="H116" s="529"/>
      <c r="I116" s="529"/>
      <c r="J116" s="529"/>
      <c r="K116" s="530"/>
      <c r="L116" s="531"/>
      <c r="M116" s="532"/>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0"/>
      <c r="B117" s="489"/>
      <c r="C117" s="506"/>
      <c r="D117" s="482"/>
      <c r="E117" s="482"/>
      <c r="F117" s="482"/>
      <c r="G117" s="482"/>
      <c r="H117" s="482"/>
      <c r="I117" s="482"/>
      <c r="J117" s="482"/>
      <c r="K117" s="482"/>
      <c r="L117" s="482"/>
      <c r="M117" s="483"/>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5"/>
      <c r="B118" s="484">
        <f>B39</f>
        <v>111</v>
      </c>
      <c r="C118" s="500"/>
      <c r="D118" s="500"/>
      <c r="E118" s="500"/>
      <c r="F118" s="500"/>
      <c r="G118" s="529"/>
      <c r="H118" s="529"/>
      <c r="I118" s="529"/>
      <c r="J118" s="529"/>
      <c r="K118" s="530"/>
      <c r="L118" s="531"/>
      <c r="M118" s="532"/>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0"/>
      <c r="B119" s="489"/>
      <c r="C119" s="506"/>
      <c r="D119" s="506"/>
      <c r="E119" s="506"/>
      <c r="F119" s="506"/>
      <c r="G119" s="482"/>
      <c r="H119" s="482"/>
      <c r="I119" s="482"/>
      <c r="J119" s="482"/>
      <c r="K119" s="482"/>
      <c r="L119" s="482"/>
      <c r="M119" s="483"/>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9" customFormat="1" ht="15" thickTop="1">
      <c r="A120" s="539"/>
      <c r="B120" s="484">
        <f>B40</f>
        <v>111</v>
      </c>
      <c r="C120" s="469"/>
      <c r="D120" s="469"/>
      <c r="E120" s="469"/>
      <c r="F120" s="469"/>
      <c r="G120" s="501"/>
      <c r="H120" s="501"/>
      <c r="I120" s="501"/>
      <c r="J120" s="501"/>
      <c r="K120" s="501"/>
      <c r="L120" s="502"/>
      <c r="M120" s="503"/>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9" customFormat="1" ht="15.75" thickBot="1">
      <c r="A121" s="514"/>
      <c r="B121" s="645"/>
      <c r="C121" s="516"/>
      <c r="D121" s="516"/>
      <c r="E121" s="516"/>
      <c r="F121" s="516"/>
      <c r="G121" s="537"/>
      <c r="H121" s="537"/>
      <c r="I121" s="537"/>
      <c r="J121" s="537"/>
      <c r="K121" s="537"/>
      <c r="L121" s="537"/>
      <c r="M121" s="538"/>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95" priority="13" stopIfTrue="1">
      <formula>$F$46="超过30%"</formula>
    </cfRule>
  </conditionalFormatting>
  <conditionalFormatting sqref="E47">
    <cfRule type="expression" dxfId="94" priority="53" stopIfTrue="1">
      <formula>#REF!+$F$47="超过20%"</formula>
    </cfRule>
  </conditionalFormatting>
  <conditionalFormatting sqref="E48">
    <cfRule type="expression" dxfId="93" priority="10" stopIfTrue="1">
      <formula>$F$48="超过30%"</formula>
    </cfRule>
  </conditionalFormatting>
  <conditionalFormatting sqref="F7:F40 H7:H40 J7:J40">
    <cfRule type="cellIs" dxfId="92" priority="1" operator="notEqual">
      <formula>100</formula>
    </cfRule>
  </conditionalFormatting>
  <conditionalFormatting sqref="F42">
    <cfRule type="expression" dxfId="91" priority="4">
      <formula>$D$42="简单平均"</formula>
    </cfRule>
  </conditionalFormatting>
  <conditionalFormatting sqref="F46:F48 H46:H48 J46:J48">
    <cfRule type="containsText" dxfId="90" priority="14" stopIfTrue="1" operator="containsText" text="超过">
      <formula>NOT(ISERROR(SEARCH("超过",F46)))</formula>
    </cfRule>
  </conditionalFormatting>
  <conditionalFormatting sqref="G46">
    <cfRule type="expression" dxfId="89" priority="9" stopIfTrue="1">
      <formula>$H$46="超过30%"</formula>
    </cfRule>
  </conditionalFormatting>
  <conditionalFormatting sqref="G47">
    <cfRule type="expression" dxfId="88" priority="8" stopIfTrue="1">
      <formula>$H$47="超过20%"</formula>
    </cfRule>
  </conditionalFormatting>
  <conditionalFormatting sqref="G48">
    <cfRule type="expression" dxfId="87" priority="12" stopIfTrue="1">
      <formula>$H$48="超过30%"</formula>
    </cfRule>
  </conditionalFormatting>
  <conditionalFormatting sqref="H42">
    <cfRule type="expression" dxfId="86" priority="3">
      <formula>$D$42="简单平均"</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J42">
    <cfRule type="expression" dxfId="82"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2"/>
    <col min="46" max="16384" width="9" style="127"/>
  </cols>
  <sheetData>
    <row r="1" spans="1:45" ht="14.25" customHeight="1" thickBot="1">
      <c r="A1" s="143"/>
      <c r="B1" s="977" t="s">
        <v>2083</v>
      </c>
      <c r="C1" s="3768" t="s">
        <v>2084</v>
      </c>
      <c r="D1" s="3769"/>
      <c r="E1" s="3769"/>
      <c r="F1" s="3769"/>
      <c r="G1" s="3769"/>
      <c r="H1" s="3769"/>
      <c r="I1" s="3769"/>
      <c r="J1" s="3769"/>
      <c r="K1" s="3769"/>
      <c r="L1" s="3769"/>
      <c r="M1" s="3769"/>
      <c r="N1" s="3769"/>
      <c r="O1" s="3769"/>
      <c r="P1" s="3769"/>
      <c r="Q1" s="3769"/>
      <c r="R1" s="3769"/>
      <c r="S1" s="3770"/>
      <c r="T1" s="977" t="s">
        <v>2085</v>
      </c>
    </row>
    <row r="2" spans="1:45" s="652" customFormat="1">
      <c r="A2" s="978"/>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9"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0"/>
      <c r="B3" s="653"/>
      <c r="C3" s="654"/>
      <c r="D3" s="655"/>
      <c r="E3" s="655"/>
      <c r="F3" s="1299"/>
      <c r="G3" s="1299"/>
      <c r="H3" s="1299"/>
      <c r="I3" s="1299"/>
      <c r="J3" s="1299"/>
      <c r="K3" s="1299"/>
      <c r="L3" s="1300"/>
      <c r="M3" s="1301"/>
      <c r="N3" s="1301"/>
      <c r="O3" s="1299"/>
      <c r="P3" s="1299"/>
      <c r="Q3" s="1299"/>
      <c r="R3" s="1299"/>
      <c r="S3" s="1302"/>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1"/>
      <c r="B4" s="982"/>
      <c r="C4" s="983"/>
      <c r="D4" s="984"/>
      <c r="E4" s="984"/>
      <c r="F4" s="1303"/>
      <c r="G4" s="1303"/>
      <c r="H4" s="1303"/>
      <c r="I4" s="1303"/>
      <c r="J4" s="1303"/>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6" customFormat="1">
      <c r="A5" s="988"/>
      <c r="B5" s="1330" t="s">
        <v>2087</v>
      </c>
      <c r="C5" s="989"/>
      <c r="D5" s="990"/>
      <c r="E5" s="990"/>
      <c r="F5" s="1306"/>
      <c r="G5" s="1306"/>
      <c r="H5" s="1306"/>
      <c r="I5" s="1306"/>
      <c r="J5" s="1306"/>
      <c r="K5" s="1306"/>
      <c r="L5" s="1307"/>
      <c r="M5" s="1308"/>
      <c r="N5" s="1308"/>
      <c r="O5" s="1306"/>
      <c r="P5" s="1306"/>
      <c r="Q5" s="1306"/>
      <c r="R5" s="1306"/>
      <c r="S5" s="1309"/>
      <c r="T5" s="992"/>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6"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6" customFormat="1">
      <c r="A7" s="988"/>
      <c r="B7" s="1331" t="s">
        <v>2088</v>
      </c>
      <c r="C7" s="898"/>
      <c r="D7" s="892"/>
      <c r="E7" s="892"/>
      <c r="F7" s="1311"/>
      <c r="G7" s="1311"/>
      <c r="H7" s="1311"/>
      <c r="I7" s="1311"/>
      <c r="J7" s="1311"/>
      <c r="K7" s="1311"/>
      <c r="L7" s="1311"/>
      <c r="M7" s="1312"/>
      <c r="N7" s="1313"/>
      <c r="O7" s="1314"/>
      <c r="P7" s="1315"/>
      <c r="Q7" s="1316"/>
      <c r="R7" s="1317"/>
      <c r="S7" s="1318"/>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6"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6" customFormat="1">
      <c r="A9" s="988"/>
      <c r="B9" s="1331" t="s">
        <v>2089</v>
      </c>
      <c r="C9" s="898"/>
      <c r="D9" s="892"/>
      <c r="E9" s="892"/>
      <c r="F9" s="1311"/>
      <c r="G9" s="1311"/>
      <c r="H9" s="1311"/>
      <c r="I9" s="1311"/>
      <c r="J9" s="1311"/>
      <c r="K9" s="1311"/>
      <c r="L9" s="1319"/>
      <c r="M9" s="1312"/>
      <c r="N9" s="1313"/>
      <c r="O9" s="1314"/>
      <c r="P9" s="1315"/>
      <c r="Q9" s="1316"/>
      <c r="R9" s="1317"/>
      <c r="S9" s="1318"/>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6"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6" customFormat="1">
      <c r="A11" s="988"/>
      <c r="B11" s="1330" t="s">
        <v>2090</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6"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6"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6"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6"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6"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2"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6"/>
      <c r="B19" s="156"/>
      <c r="C19" s="156"/>
      <c r="D19" s="2144" t="s">
        <v>2095</v>
      </c>
      <c r="E19" s="1334"/>
      <c r="F19" s="1334"/>
      <c r="G19" s="1334"/>
      <c r="H19" s="1053"/>
      <c r="I19" s="156"/>
      <c r="J19" s="156"/>
      <c r="K19" s="156"/>
      <c r="L19" s="156"/>
      <c r="M19" s="156"/>
      <c r="N19" s="156"/>
      <c r="O19" s="156"/>
      <c r="P19" s="156"/>
      <c r="Q19" s="156"/>
      <c r="R19" s="715"/>
      <c r="S19" s="126"/>
    </row>
    <row r="20" spans="1:45" ht="16.5" thickBot="1">
      <c r="A20" s="659" t="s">
        <v>2096</v>
      </c>
      <c r="B20" s="291" t="e">
        <f ca="1">IF(D20="——",S22,S22-F20)</f>
        <v>#REF!</v>
      </c>
      <c r="C20" s="156"/>
      <c r="D20" s="2145"/>
      <c r="E20" s="1335"/>
      <c r="F20" s="977" t="e">
        <f ca="1">SUMIF(INDIRECT("'"&amp;H20&amp;"'"&amp;"!A:A"),"承租人权益价值",INDIRECT("'"&amp;H20&amp;"'"&amp;"!c:c"))</f>
        <v>#REF!</v>
      </c>
      <c r="G20" s="977" t="s">
        <v>2097</v>
      </c>
      <c r="H20" s="2146"/>
      <c r="I20" s="156"/>
      <c r="J20" s="156"/>
      <c r="K20" s="156"/>
      <c r="L20" s="156"/>
      <c r="M20" s="156"/>
      <c r="N20" s="156"/>
      <c r="O20" s="156"/>
      <c r="P20" s="156"/>
      <c r="Q20" s="156"/>
      <c r="R20" s="715"/>
      <c r="S20" s="126"/>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5"/>
      <c r="S21" s="126"/>
    </row>
    <row r="22" spans="1:45">
      <c r="A22" s="313" t="s">
        <v>2099</v>
      </c>
      <c r="B22" s="21">
        <f>SUM(B24:B10000)</f>
        <v>0</v>
      </c>
      <c r="C22" s="3765" t="s">
        <v>27</v>
      </c>
      <c r="D22" s="3766"/>
      <c r="E22" s="3766"/>
      <c r="F22" s="3766"/>
      <c r="G22" s="3766"/>
      <c r="H22" s="3766"/>
      <c r="I22" s="3766"/>
      <c r="J22" s="3766"/>
      <c r="K22" s="3766"/>
      <c r="L22" s="3766"/>
      <c r="M22" s="3766"/>
      <c r="N22" s="3766"/>
      <c r="O22" s="3766"/>
      <c r="P22" s="3766"/>
      <c r="Q22" s="3767"/>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2105</v>
      </c>
      <c r="B24" s="662"/>
      <c r="C24" s="2804">
        <v>1</v>
      </c>
      <c r="D24" s="2805"/>
      <c r="E24" s="2804">
        <v>1</v>
      </c>
      <c r="F24" s="2805"/>
      <c r="G24" s="2804">
        <v>1</v>
      </c>
      <c r="H24" s="2805"/>
      <c r="I24" s="2804">
        <v>1</v>
      </c>
      <c r="J24" s="2805"/>
      <c r="K24" s="2804">
        <v>1</v>
      </c>
      <c r="L24" s="2805"/>
      <c r="M24" s="2804">
        <v>1</v>
      </c>
      <c r="N24" s="2805"/>
      <c r="O24" s="2804">
        <v>1</v>
      </c>
      <c r="P24" s="2805"/>
      <c r="Q24" s="2804">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1"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f ca="1">SUMIF(B6:B13,"&lt;&gt;#ref!",B6:B13)</f>
        <v>3610</v>
      </c>
      <c r="C2" s="2139" t="s">
        <v>2074</v>
      </c>
      <c r="D2" s="2139" t="s">
        <v>2075</v>
      </c>
      <c r="E2" s="2606">
        <f ca="1">SUMIF(E6:E13,"&lt;&gt;#ref!",E6:E13)</f>
        <v>17437.989999999998</v>
      </c>
      <c r="F2" s="2787"/>
      <c r="G2" s="2787"/>
      <c r="H2" s="2787"/>
      <c r="I2" s="2787"/>
      <c r="J2" s="2787"/>
      <c r="K2" s="2787"/>
      <c r="L2" s="2787"/>
      <c r="M2" s="2787"/>
      <c r="N2" s="2787"/>
      <c r="O2" s="2787"/>
      <c r="P2" s="2787"/>
    </row>
    <row r="3" spans="1:16" ht="15.75">
      <c r="A3" s="2139" t="s">
        <v>2076</v>
      </c>
      <c r="B3" s="2596">
        <f ca="1">ROUND(B2*10000/E2,0)</f>
        <v>2070</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3610</v>
      </c>
      <c r="C6" s="2139" t="s">
        <v>2074</v>
      </c>
      <c r="D6" s="2787"/>
      <c r="E6" s="2606">
        <f ca="1">SUMIF(INDIRECT("'"&amp;A6&amp;"'"&amp;"!C:C"),"建筑面积",INDIRECT("'"&amp;A6&amp;"'"&amp;"!D:D"))</f>
        <v>17437.989999999998</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10"/>
      <c r="C1" s="1373" t="s">
        <v>3465</v>
      </c>
      <c r="D1" s="1356" t="s">
        <v>43</v>
      </c>
      <c r="E1" s="1357" t="s">
        <v>678</v>
      </c>
      <c r="F1" s="1056" t="e">
        <f ca="1">J53</f>
        <v>#N/A</v>
      </c>
      <c r="G1" s="1372" t="e">
        <f>MATCH(C1,'数据-取费表'!A6:A16,0)+5</f>
        <v>#N/A</v>
      </c>
      <c r="H1" s="2686"/>
      <c r="I1" s="2687"/>
      <c r="J1" s="2687"/>
      <c r="K1" s="2688"/>
      <c r="L1" s="2687"/>
      <c r="M1" s="2687"/>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80"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t="e">
        <f ca="1">C6+C10+C12</f>
        <v>#N/A</v>
      </c>
      <c r="D5" s="1358" t="s">
        <v>693</v>
      </c>
      <c r="E5" s="1065"/>
      <c r="F5" s="1066"/>
      <c r="G5" s="1378"/>
      <c r="H5" s="296">
        <v>1</v>
      </c>
      <c r="I5" s="297" t="s">
        <v>692</v>
      </c>
      <c r="J5" s="1064" t="e">
        <f ca="1">J6+J10+J12</f>
        <v>#N/A</v>
      </c>
      <c r="K5" s="1358" t="s">
        <v>693</v>
      </c>
      <c r="L5" s="1065"/>
      <c r="M5" s="1066"/>
    </row>
    <row r="6" spans="1:37" ht="18" customHeight="1">
      <c r="A6" s="1063" t="s">
        <v>398</v>
      </c>
      <c r="B6" s="3686" t="s">
        <v>694</v>
      </c>
      <c r="C6" s="1068" t="e">
        <f ca="1">ROUND(F6*F8*F7*(1-F9)/10000,0)</f>
        <v>#N/A</v>
      </c>
      <c r="D6" s="152" t="s">
        <v>2109</v>
      </c>
      <c r="E6" s="299" t="s">
        <v>696</v>
      </c>
      <c r="F6" s="300" t="e">
        <f ca="1">INDIRECT("'数据-取费表'!u"&amp;$G$1)</f>
        <v>#N/A</v>
      </c>
      <c r="G6" s="1378"/>
      <c r="H6" s="1063" t="s">
        <v>398</v>
      </c>
      <c r="I6" s="3686" t="s">
        <v>694</v>
      </c>
      <c r="J6" s="298" t="e">
        <f ca="1">ROUND(M6*M8*M7*(1-M9)/10000,0)</f>
        <v>#N/A</v>
      </c>
      <c r="K6" s="152" t="s">
        <v>2108</v>
      </c>
      <c r="L6" s="299" t="s">
        <v>696</v>
      </c>
      <c r="M6" s="300" t="e">
        <f ca="1">INDIRECT("'数据-取费表'!z"&amp;$G$1)</f>
        <v>#N/A</v>
      </c>
    </row>
    <row r="7" spans="1:37" ht="18" customHeight="1">
      <c r="A7" s="1067"/>
      <c r="B7" s="3687"/>
      <c r="C7" s="1069"/>
      <c r="D7" s="304"/>
      <c r="E7" s="3454" t="s">
        <v>697</v>
      </c>
      <c r="F7" s="300" t="e">
        <f ca="1">IF(INDIRECT("'数据-取费表'!ah"&amp;$G$1)="",INDIRECT("'数据-取费表'!k"&amp;$G$1),INDIRECT("'数据-取费表'!ah"&amp;$G$1))</f>
        <v>#N/A</v>
      </c>
      <c r="G7" s="1378"/>
      <c r="H7" s="301"/>
      <c r="I7" s="3687"/>
      <c r="J7" s="303"/>
      <c r="K7" s="304"/>
      <c r="L7" s="299" t="s">
        <v>697</v>
      </c>
      <c r="M7" s="300" t="e">
        <f ca="1">F7</f>
        <v>#N/A</v>
      </c>
    </row>
    <row r="8" spans="1:37" ht="18" customHeight="1">
      <c r="A8" s="301"/>
      <c r="B8" s="3687"/>
      <c r="C8" s="303"/>
      <c r="D8" s="304"/>
      <c r="E8" s="299" t="s">
        <v>698</v>
      </c>
      <c r="F8" s="300" t="e">
        <f ca="1">INDIRECT("'数据-取费表'!ai"&amp;$G$1)</f>
        <v>#N/A</v>
      </c>
      <c r="G8" s="1378"/>
      <c r="H8" s="301"/>
      <c r="I8" s="3687"/>
      <c r="J8" s="303"/>
      <c r="K8" s="304"/>
      <c r="L8" s="299" t="s">
        <v>698</v>
      </c>
      <c r="M8" s="300" t="e">
        <f ca="1">INDIRECT("'数据-取费表'!ai"&amp;$G$1)</f>
        <v>#N/A</v>
      </c>
    </row>
    <row r="9" spans="1:37" ht="18" customHeight="1">
      <c r="A9" s="301"/>
      <c r="B9" s="3688"/>
      <c r="C9" s="303"/>
      <c r="D9" s="304"/>
      <c r="E9" s="299" t="s">
        <v>699</v>
      </c>
      <c r="F9" s="309" t="e">
        <f ca="1">INDIRECT("'数据-取费表'!w"&amp;$G$1)</f>
        <v>#N/A</v>
      </c>
      <c r="G9" s="1378"/>
      <c r="H9" s="301"/>
      <c r="I9" s="3688"/>
      <c r="J9" s="303"/>
      <c r="K9" s="304"/>
      <c r="L9" s="310" t="s">
        <v>699</v>
      </c>
      <c r="M9" s="311" t="e">
        <f ca="1">INDIRECT("'数据-取费表'!ab"&amp;$G$1)</f>
        <v>#N/A</v>
      </c>
    </row>
    <row r="10" spans="1:37" ht="18" customHeight="1">
      <c r="A10" s="1063" t="s">
        <v>402</v>
      </c>
      <c r="B10" s="1359" t="s">
        <v>700</v>
      </c>
      <c r="C10" s="313" t="e">
        <f ca="1">ROUND(IF(F10="押一",C6/12*F11,IF(F10="押二",C6/12*2*F11,IF(F10="押三",C6/12*3*F11,C11*F11))),0)</f>
        <v>#N/A</v>
      </c>
      <c r="D10" s="1360" t="s">
        <v>2116</v>
      </c>
      <c r="E10" s="310" t="s">
        <v>701</v>
      </c>
      <c r="F10" s="1110" t="s">
        <v>3405</v>
      </c>
      <c r="G10" s="1378"/>
      <c r="H10" s="1063" t="s">
        <v>402</v>
      </c>
      <c r="I10" s="1359" t="s">
        <v>700</v>
      </c>
      <c r="J10" s="298">
        <f ca="1">ROUND(IF(M10="押一",J6/12*M11,IF(M10="押二",J6/12*2*M11,IF(M10="押三",J6/12*3*M11,J11*M11))),0)</f>
        <v>0</v>
      </c>
      <c r="K10" s="1360" t="s">
        <v>2116</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81"/>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t="e">
        <f ca="1">ROUND(C29*F13,0)</f>
        <v>#N/A</v>
      </c>
      <c r="D13" s="3450" t="s">
        <v>705</v>
      </c>
      <c r="E13" s="3450"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299" t="s">
        <v>707</v>
      </c>
      <c r="C14" s="315" t="e">
        <f ca="1">INDIRECT("'数据-取费表'!m"&amp;$G$1)+INDIRECT("'数据-取费表'!t"&amp;$G$1)</f>
        <v>#N/A</v>
      </c>
      <c r="D14" s="3457" t="s">
        <v>708</v>
      </c>
      <c r="E14" s="3456"/>
      <c r="F14" s="316"/>
      <c r="G14" s="1378"/>
      <c r="H14" s="976" t="s">
        <v>398</v>
      </c>
      <c r="I14" s="299" t="s">
        <v>709</v>
      </c>
      <c r="J14" s="21" t="e">
        <f ca="1">C29</f>
        <v>#N/A</v>
      </c>
      <c r="K14" s="3453"/>
      <c r="L14" s="801"/>
      <c r="M14" s="802"/>
    </row>
    <row r="15" spans="1:37" s="1391" customFormat="1" ht="18" customHeight="1" thickBot="1">
      <c r="A15" s="976" t="s">
        <v>399</v>
      </c>
      <c r="B15" s="299" t="s">
        <v>710</v>
      </c>
      <c r="C15" s="21" t="e">
        <f ca="1">ROUND(C14*F15,0)</f>
        <v>#N/A</v>
      </c>
      <c r="D15" s="3451" t="s">
        <v>711</v>
      </c>
      <c r="E15" s="3451" t="s">
        <v>712</v>
      </c>
      <c r="F15" s="318">
        <f>'数据-取费表'!B33</f>
        <v>0.03</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t="e">
        <f ca="1">ROUND(INDIRECT("'数据-取费表'!m"&amp;$G$1)*F16,0)</f>
        <v>#N/A</v>
      </c>
      <c r="D16" s="299" t="s">
        <v>711</v>
      </c>
      <c r="E16" s="299" t="s">
        <v>712</v>
      </c>
      <c r="F16" s="319" t="e">
        <f ca="1">IF(INDIRECT("'数据-取费表'!c"&amp;$G$1)="住宅",'数据-取费表'!B34,0)</f>
        <v>#N/A</v>
      </c>
      <c r="G16" s="1378"/>
      <c r="H16" s="1073" t="s">
        <v>393</v>
      </c>
      <c r="I16" s="1074" t="s">
        <v>714</v>
      </c>
      <c r="J16" s="307" t="e">
        <f ca="1">ROUND(J17+J22+J23+J24,0)</f>
        <v>#N/A</v>
      </c>
      <c r="K16" s="1081" t="s">
        <v>715</v>
      </c>
      <c r="L16" s="3460"/>
      <c r="M16" s="1066"/>
    </row>
    <row r="17" spans="1:37" s="1391" customFormat="1" ht="18" customHeight="1">
      <c r="A17" s="976" t="s">
        <v>681</v>
      </c>
      <c r="B17" s="299" t="s">
        <v>716</v>
      </c>
      <c r="C17" s="21" t="e">
        <f ca="1">ROUND(F17*(F43+INDIRECT("'数据-取费表'!S"&amp;$G$1))/10000,0)</f>
        <v>#N/A</v>
      </c>
      <c r="D17" s="299" t="s">
        <v>717</v>
      </c>
      <c r="E17" s="299" t="s">
        <v>718</v>
      </c>
      <c r="F17" s="23">
        <f>'数据-取费表'!B35</f>
        <v>200</v>
      </c>
      <c r="G17" s="1390"/>
      <c r="H17" s="976" t="s">
        <v>398</v>
      </c>
      <c r="I17" s="299" t="s">
        <v>719</v>
      </c>
      <c r="J17" s="2310" t="e">
        <f ca="1">ROUND(IF(AND(项目基本情况!B11="自然人",项目基本情况!B10="北京市"),J6*M17/(1+'数据-取费表'!C42),J18+J19+J20),2)</f>
        <v>#N/A</v>
      </c>
      <c r="K17" s="3457" t="s">
        <v>720</v>
      </c>
      <c r="L17" s="345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t="e">
        <f ca="1">ROUND(C14*F18,0)</f>
        <v>#N/A</v>
      </c>
      <c r="D18" s="299" t="s">
        <v>711</v>
      </c>
      <c r="E18" s="299" t="s">
        <v>712</v>
      </c>
      <c r="F18" s="319">
        <f>'数据-取费表'!B36</f>
        <v>1.4999999999999999E-2</v>
      </c>
      <c r="G18" s="1390"/>
      <c r="H18" s="976" t="s">
        <v>397</v>
      </c>
      <c r="I18" s="299" t="s">
        <v>723</v>
      </c>
      <c r="J18" s="21" t="e">
        <f ca="1">ROUND(J6*M18/(1+'数据-取费表'!C42),2)</f>
        <v>#N/A</v>
      </c>
      <c r="K18" s="3458" t="s">
        <v>724</v>
      </c>
      <c r="L18" s="299" t="s">
        <v>712</v>
      </c>
      <c r="M18" s="319">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t="e">
        <f ca="1">SUM(C14:C18)</f>
        <v>#N/A</v>
      </c>
      <c r="D19" s="128" t="s">
        <v>726</v>
      </c>
      <c r="E19" s="3466"/>
      <c r="F19" s="23"/>
      <c r="G19" s="1378"/>
      <c r="H19" s="976" t="s">
        <v>399</v>
      </c>
      <c r="I19" s="299" t="s">
        <v>727</v>
      </c>
      <c r="J19" s="21" t="e">
        <f ca="1">IF(K19="按租金收入计税",ROUND(J6*M19/(1+'数据-取费表'!C42),2),ROUND(C29*M19*0.7,2))</f>
        <v>#N/A</v>
      </c>
      <c r="K19" s="1364" t="s">
        <v>3329</v>
      </c>
      <c r="L19" s="299" t="s">
        <v>712</v>
      </c>
      <c r="M19" s="319">
        <f>IF(K19="按租金收入计税",'数据-取费表'!B51,'数据-取费表'!B50)</f>
        <v>0.12</v>
      </c>
    </row>
    <row r="20" spans="1:37" s="1391" customFormat="1" ht="18" customHeight="1">
      <c r="A20" s="976" t="s">
        <v>402</v>
      </c>
      <c r="B20" s="299" t="s">
        <v>728</v>
      </c>
      <c r="C20" s="21" t="e">
        <f ca="1">ROUND(C19*F20,0)</f>
        <v>#N/A</v>
      </c>
      <c r="D20" s="2422" t="s">
        <v>729</v>
      </c>
      <c r="E20" s="299" t="s">
        <v>712</v>
      </c>
      <c r="F20" s="319">
        <f>'数据-取费表'!B37</f>
        <v>0.02</v>
      </c>
      <c r="G20" s="1390"/>
      <c r="H20" s="976" t="s">
        <v>680</v>
      </c>
      <c r="I20" s="152" t="s">
        <v>730</v>
      </c>
      <c r="J20" s="22" t="e">
        <f ca="1">ROUND(M20*M21/10000,2)</f>
        <v>#N/A</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15</v>
      </c>
      <c r="D21" s="2422" t="s">
        <v>734</v>
      </c>
      <c r="E21" s="299" t="s">
        <v>735</v>
      </c>
      <c r="F21" s="319">
        <f>'数据-取费表'!B38</f>
        <v>0.02</v>
      </c>
      <c r="G21" s="1390"/>
      <c r="H21" s="323"/>
      <c r="I21" s="308"/>
      <c r="J21" s="26"/>
      <c r="K21" s="324"/>
      <c r="L21" s="299" t="s">
        <v>736</v>
      </c>
      <c r="M21" s="300"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3466"/>
      <c r="F22" s="23"/>
      <c r="G22" s="1378"/>
      <c r="H22" s="976" t="s">
        <v>402</v>
      </c>
      <c r="I22" s="299" t="s">
        <v>738</v>
      </c>
      <c r="J22" s="21" t="e">
        <f ca="1">ROUND(J14*M22,2)</f>
        <v>#N/A</v>
      </c>
      <c r="K22" s="3458" t="s">
        <v>739</v>
      </c>
      <c r="L22" s="299" t="s">
        <v>712</v>
      </c>
      <c r="M22" s="325" t="e">
        <f ca="1">INDIRECT("'数据-取费表'!Ak"&amp;$G$1)</f>
        <v>#N/A</v>
      </c>
    </row>
    <row r="23" spans="1:37" s="1391" customFormat="1" ht="18" customHeight="1">
      <c r="A23" s="976" t="s">
        <v>397</v>
      </c>
      <c r="B23" s="299" t="s">
        <v>740</v>
      </c>
      <c r="C23" s="21" t="e">
        <f ca="1">IF('数据-取费表'!B22&lt;=1,ROUND(C19*F24*F23/2,0)+ROUND(C20*F24*F23/2,0),ROUND(C19*(POWER((1+F24),F23/2)-1),0)+ROUND(C20*(POWER((1+F24),F23/2)-1),0))</f>
        <v>#N/A</v>
      </c>
      <c r="D23" s="326" t="str">
        <f>IF(F23&lt;=1,"(建造成本+管理费用)×利率×(建设周期÷2)","(建造成本+管理费用)×((1+利率)^(建设周期÷2)-1)")</f>
        <v>(建造成本+管理费用)×((1+利率)^(建设周期÷2)-1)</v>
      </c>
      <c r="E23" s="299" t="s">
        <v>741</v>
      </c>
      <c r="F23" s="322">
        <f>'数据-取费表'!B20</f>
        <v>1.5</v>
      </c>
      <c r="G23" s="1390"/>
      <c r="H23" s="976" t="s">
        <v>437</v>
      </c>
      <c r="I23" s="299" t="s">
        <v>742</v>
      </c>
      <c r="J23" s="21" t="e">
        <f ca="1">ROUND(J13*M23,2)</f>
        <v>#N/A</v>
      </c>
      <c r="K23" s="3458" t="s">
        <v>743</v>
      </c>
      <c r="L23" s="299" t="s">
        <v>744</v>
      </c>
      <c r="M23" s="327"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5.0000000000000001E-4</v>
      </c>
      <c r="D24" s="326" t="str">
        <f>IF(F23&lt;=1,"销售费用×利率×(建设周期÷2)","销售费用×((1+利率)^(建设周期÷2)-1)")</f>
        <v>销售费用×((1+利率)^(建设周期÷2)-1)</v>
      </c>
      <c r="E24" s="299" t="s">
        <v>747</v>
      </c>
      <c r="F24" s="328">
        <f ca="1">'数据-取费表'!B40</f>
        <v>3.3500000000000002E-2</v>
      </c>
      <c r="G24" s="1390"/>
      <c r="H24" s="1083" t="s">
        <v>684</v>
      </c>
      <c r="I24" s="1084" t="s">
        <v>728</v>
      </c>
      <c r="J24" s="1085" t="e">
        <f ca="1">ROUND(J5*M24,2)</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3466"/>
      <c r="F25" s="23"/>
      <c r="G25" s="1378"/>
      <c r="H25" s="1073" t="s">
        <v>394</v>
      </c>
      <c r="I25" s="1088" t="s">
        <v>752</v>
      </c>
      <c r="J25" s="307" t="e">
        <f ca="1">J5-J16</f>
        <v>#N/A</v>
      </c>
      <c r="K25" s="1089" t="s">
        <v>753</v>
      </c>
      <c r="L25" s="1090"/>
      <c r="M25" s="1091"/>
    </row>
    <row r="26" spans="1:37">
      <c r="A26" s="976" t="s">
        <v>397</v>
      </c>
      <c r="B26" s="299" t="s">
        <v>754</v>
      </c>
      <c r="C26" s="21" t="e">
        <f ca="1">ROUND((C19+C20)*F26,0)</f>
        <v>#N/A</v>
      </c>
      <c r="D26" s="2422" t="s">
        <v>755</v>
      </c>
      <c r="E26" s="310" t="s">
        <v>756</v>
      </c>
      <c r="F26" s="309" t="e">
        <f ca="1">INDIRECT("'数据-取费表'!q"&amp;$G$1)</f>
        <v>#N/A</v>
      </c>
      <c r="G26" s="1378"/>
      <c r="H26" s="296" t="s">
        <v>395</v>
      </c>
      <c r="I26" s="297" t="s">
        <v>757</v>
      </c>
      <c r="J26" s="298" t="e">
        <f ca="1">IF(J5&lt;&gt;0,ROUND(J25*(1-((1+M28)/(1+M26))^M27)/(M26-M28),0),0)</f>
        <v>#N/A</v>
      </c>
      <c r="K26" s="321" t="s">
        <v>758</v>
      </c>
      <c r="L26" s="299" t="s">
        <v>759</v>
      </c>
      <c r="M26" s="309" t="e">
        <f ca="1">INDIRECT("'数据-取费表'!I"&amp;$G$1)</f>
        <v>#N/A</v>
      </c>
    </row>
    <row r="27" spans="1:37" ht="18" customHeight="1">
      <c r="A27" s="976" t="s">
        <v>399</v>
      </c>
      <c r="B27" s="299" t="s">
        <v>760</v>
      </c>
      <c r="C27" s="21" t="e">
        <f ca="1">ROUND(F21*F26,4)</f>
        <v>#N/A</v>
      </c>
      <c r="D27" s="2422" t="s">
        <v>761</v>
      </c>
      <c r="E27" s="3451"/>
      <c r="F27" s="318"/>
      <c r="G27" s="1378"/>
      <c r="H27" s="301"/>
      <c r="I27" s="302"/>
      <c r="J27" s="303"/>
      <c r="K27" s="329" t="s">
        <v>762</v>
      </c>
      <c r="L27" s="299" t="s">
        <v>763</v>
      </c>
      <c r="M27" s="330" t="e">
        <f ca="1">INDIRECT("'数据-取费表'!ag"&amp;$G$1)</f>
        <v>#N/A</v>
      </c>
    </row>
    <row r="28" spans="1:37" s="1391" customFormat="1" ht="18" customHeight="1">
      <c r="A28" s="976" t="s">
        <v>400</v>
      </c>
      <c r="B28" s="299" t="s">
        <v>764</v>
      </c>
      <c r="C28" s="21">
        <f>ROUND(F28/(1+'数据-取费表'!C42),4)</f>
        <v>5.33E-2</v>
      </c>
      <c r="D28" s="2422" t="s">
        <v>765</v>
      </c>
      <c r="E28" s="299" t="s">
        <v>712</v>
      </c>
      <c r="F28" s="319">
        <f>'数据-取费表'!B41</f>
        <v>5.6000000000000001E-2</v>
      </c>
      <c r="G28" s="1390"/>
      <c r="H28" s="305"/>
      <c r="I28" s="306"/>
      <c r="J28" s="307"/>
      <c r="K28" s="324"/>
      <c r="L28" s="299" t="s">
        <v>766</v>
      </c>
      <c r="M28" s="309"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1" t="s">
        <v>396</v>
      </c>
      <c r="I29" s="332" t="s">
        <v>768</v>
      </c>
      <c r="J29" s="333" t="e">
        <f ca="1">ROUND(J26/(1+F40)^F41,0)</f>
        <v>#N/A</v>
      </c>
      <c r="K29" s="334" t="s">
        <v>769</v>
      </c>
      <c r="L29" s="335"/>
      <c r="M29" s="336"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t="e">
        <f ca="1">ROUND(C31+C36+C37+C38,0)</f>
        <v>#N/A</v>
      </c>
      <c r="D30" s="1081" t="s">
        <v>715</v>
      </c>
      <c r="E30" s="3460"/>
      <c r="F30" s="1066"/>
      <c r="G30" s="1378"/>
      <c r="H30" s="2691"/>
      <c r="I30" s="1392"/>
      <c r="J30" s="1393"/>
      <c r="K30" s="2469"/>
      <c r="L30" s="2692"/>
      <c r="M30" s="2693"/>
    </row>
    <row r="31" spans="1:37" ht="18" customHeight="1">
      <c r="A31" s="976" t="s">
        <v>398</v>
      </c>
      <c r="B31" s="299" t="s">
        <v>719</v>
      </c>
      <c r="C31" s="2310" t="e">
        <f ca="1">ROUND(IF(AND(项目基本情况!B11="自然人",项目基本情况!B10="北京市"),C6*F31/(1+'数据-取费表'!C42),C32+C33+C34),2)</f>
        <v>#N/A</v>
      </c>
      <c r="D31" s="3457" t="s">
        <v>720</v>
      </c>
      <c r="E31" s="3458" t="s">
        <v>770</v>
      </c>
      <c r="F31" s="2309" t="str">
        <f>IF(项目基本情况!B11="企业","——",IF(M47="住宅",IF(F6*F7*F8/12/(1+'数据-取费表'!F30)&gt;100000,4%,2.5%),IF(F6*F7*F8/12/(1+'数据-取费表'!F30)&gt;100000,12%,7%)))</f>
        <v>——</v>
      </c>
      <c r="G31" s="1378"/>
      <c r="H31" s="2802" t="s">
        <v>2299</v>
      </c>
      <c r="I31" s="1392"/>
      <c r="J31" s="1393"/>
      <c r="K31" s="2469"/>
      <c r="L31" s="2692"/>
      <c r="M31" s="2693"/>
    </row>
    <row r="32" spans="1:37" ht="18" customHeight="1">
      <c r="A32" s="976" t="s">
        <v>397</v>
      </c>
      <c r="B32" s="299" t="s">
        <v>723</v>
      </c>
      <c r="C32" s="21" t="e">
        <f ca="1">IF(项目基本情况!B11="自然人","——",ROUND(C6*F32/(1+'数据-取费表'!C42),2))</f>
        <v>#N/A</v>
      </c>
      <c r="D32" s="3458" t="s">
        <v>724</v>
      </c>
      <c r="E32" s="299" t="s">
        <v>712</v>
      </c>
      <c r="F32" s="328">
        <f>'数据-取费表'!B41</f>
        <v>5.6000000000000001E-2</v>
      </c>
      <c r="G32" s="1378"/>
      <c r="H32" s="2691"/>
      <c r="I32" s="1392"/>
      <c r="J32" s="1393"/>
      <c r="K32" s="2469"/>
      <c r="L32" s="2692"/>
      <c r="M32" s="2693"/>
    </row>
    <row r="33" spans="1:18" ht="18" customHeight="1">
      <c r="A33" s="976" t="s">
        <v>399</v>
      </c>
      <c r="B33" s="299" t="s">
        <v>727</v>
      </c>
      <c r="C33" s="21" t="e">
        <f ca="1">IF(项目基本情况!B11="自然人","——",IF(D33="按租金收入计税",ROUND(C6*F33/(1+'数据-取费表'!C42),2),IF(D33="按房产原值计税",ROUND(C29*F33*0.7,2),INDIRECT("'数据-取费表'!Aj"&amp;$G$1))))</f>
        <v>#N/A</v>
      </c>
      <c r="D33" s="1364" t="s">
        <v>3329</v>
      </c>
      <c r="E33" s="299" t="s">
        <v>712</v>
      </c>
      <c r="F33" s="319">
        <f>IF(D33="按票据","——",IF(D33="按租金收入计税",'数据-取费表'!B51,'数据-取费表'!B50))</f>
        <v>0.12</v>
      </c>
      <c r="G33" s="1378"/>
      <c r="H33" s="2694" t="e">
        <f ca="1">C30/C6</f>
        <v>#N/A</v>
      </c>
      <c r="I33" s="1392"/>
      <c r="J33" s="1393"/>
      <c r="K33" s="2695"/>
      <c r="L33" s="2694"/>
      <c r="M33" s="2694"/>
    </row>
    <row r="34" spans="1:18" ht="18" customHeight="1">
      <c r="A34" s="1063" t="s">
        <v>680</v>
      </c>
      <c r="B34" s="152" t="s">
        <v>730</v>
      </c>
      <c r="C34" s="22" t="e">
        <f ca="1">IF(项目基本情况!B11="自然人","——",ROUND(F34*F35/10000,2))</f>
        <v>#N/A</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t="e">
        <f ca="1">INDIRECT("'数据-取费表'!r"&amp;$G$1)</f>
        <v>#N/A</v>
      </c>
      <c r="G35" s="1378"/>
      <c r="H35" s="2691"/>
      <c r="I35" s="1392"/>
      <c r="J35" s="1393"/>
      <c r="K35" s="2695"/>
      <c r="L35" s="2694"/>
      <c r="M35" s="2694"/>
    </row>
    <row r="36" spans="1:18" ht="18" customHeight="1">
      <c r="A36" s="1096" t="s">
        <v>402</v>
      </c>
      <c r="B36" s="299" t="s">
        <v>738</v>
      </c>
      <c r="C36" s="21" t="e">
        <f ca="1">ROUND(C29*F36,2)</f>
        <v>#N/A</v>
      </c>
      <c r="D36" s="3458" t="s">
        <v>771</v>
      </c>
      <c r="E36" s="299" t="s">
        <v>712</v>
      </c>
      <c r="F36" s="325" t="e">
        <f ca="1">INDIRECT("'数据-取费表'!Ak"&amp;$G$1)</f>
        <v>#N/A</v>
      </c>
      <c r="G36" s="1378"/>
      <c r="H36" s="2694"/>
      <c r="I36" s="1392"/>
      <c r="J36" s="1393"/>
      <c r="K36" s="2538"/>
      <c r="L36" s="2694"/>
      <c r="M36" s="2694"/>
    </row>
    <row r="37" spans="1:18" ht="18" customHeight="1">
      <c r="A37" s="976" t="s">
        <v>437</v>
      </c>
      <c r="B37" s="299" t="s">
        <v>742</v>
      </c>
      <c r="C37" s="21" t="e">
        <f ca="1">ROUND(C13*F37,2)</f>
        <v>#N/A</v>
      </c>
      <c r="D37" s="3458" t="s">
        <v>743</v>
      </c>
      <c r="E37" s="299" t="s">
        <v>744</v>
      </c>
      <c r="F37" s="327" t="e">
        <f ca="1">INDIRECT("'数据-取费表'!Al"&amp;$G$1)</f>
        <v>#N/A</v>
      </c>
      <c r="G37" s="1378"/>
      <c r="H37" s="2694"/>
      <c r="I37" s="1392"/>
      <c r="J37" s="1393"/>
      <c r="K37" s="2538"/>
      <c r="L37" s="2694"/>
      <c r="M37" s="2694"/>
    </row>
    <row r="38" spans="1:18" ht="18" customHeight="1" thickBot="1">
      <c r="A38" s="1083" t="s">
        <v>684</v>
      </c>
      <c r="B38" s="1084" t="s">
        <v>728</v>
      </c>
      <c r="C38" s="1085" t="e">
        <f ca="1">ROUND(C5*F38,2)</f>
        <v>#N/A</v>
      </c>
      <c r="D38" s="1086" t="s">
        <v>748</v>
      </c>
      <c r="E38" s="1084" t="s">
        <v>744</v>
      </c>
      <c r="F38" s="1080" t="e">
        <f ca="1">INDIRECT("'数据-取费表'!Am"&amp;$G$1)</f>
        <v>#N/A</v>
      </c>
      <c r="G38" s="1378"/>
      <c r="H38" s="2694"/>
      <c r="I38" s="1392"/>
      <c r="J38" s="1393"/>
      <c r="K38" s="2698"/>
      <c r="L38" s="2694"/>
      <c r="M38" s="2694"/>
    </row>
    <row r="39" spans="1:18" ht="24.6" customHeight="1" thickTop="1">
      <c r="A39" s="1073" t="s">
        <v>394</v>
      </c>
      <c r="B39" s="1088" t="s">
        <v>752</v>
      </c>
      <c r="C39" s="307" t="e">
        <f ca="1">C5-C30</f>
        <v>#N/A</v>
      </c>
      <c r="D39" s="1089" t="s">
        <v>753</v>
      </c>
      <c r="E39" s="1090"/>
      <c r="F39" s="1091"/>
      <c r="G39" s="1378"/>
      <c r="H39" s="2694"/>
      <c r="I39" s="1392"/>
      <c r="J39" s="1393"/>
      <c r="K39" s="2698"/>
      <c r="L39" s="2694"/>
      <c r="M39" s="2694"/>
    </row>
    <row r="40" spans="1:18" ht="18" customHeight="1">
      <c r="A40" s="296" t="s">
        <v>395</v>
      </c>
      <c r="B40" s="297" t="s">
        <v>774</v>
      </c>
      <c r="C40" s="298" t="e">
        <f ca="1">ROUND(C39*(1-((1+F42)/(1+F40))^F41)/(F40-F42),0)</f>
        <v>#N/A</v>
      </c>
      <c r="D40" s="321" t="s">
        <v>758</v>
      </c>
      <c r="E40" s="299" t="s">
        <v>759</v>
      </c>
      <c r="F40" s="309" t="e">
        <f ca="1">INDIRECT("'数据-取费表'!I"&amp;$G$1)</f>
        <v>#N/A</v>
      </c>
      <c r="G40" s="1378"/>
      <c r="H40" s="1455"/>
      <c r="I40" s="1392"/>
      <c r="J40" s="1393"/>
      <c r="K40" s="2698"/>
      <c r="L40" s="1455"/>
      <c r="M40" s="1455"/>
    </row>
    <row r="41" spans="1:18" ht="18" customHeight="1">
      <c r="A41" s="301"/>
      <c r="B41" s="302"/>
      <c r="C41" s="303"/>
      <c r="D41" s="329" t="s">
        <v>775</v>
      </c>
      <c r="E41" s="299" t="s">
        <v>763</v>
      </c>
      <c r="F41" s="330" t="e">
        <f ca="1">IF(INDIRECT("'数据-取费表'!af"&amp;$G$1)=0,INDIRECT("'数据-取费表'!ae"&amp;$G$1),INDIRECT("'数据-取费表'!af"&amp;$G$1))</f>
        <v>#N/A</v>
      </c>
      <c r="G41" s="1378"/>
      <c r="H41" s="1185"/>
      <c r="I41" s="1392"/>
      <c r="J41" s="1393"/>
      <c r="K41" s="2538"/>
      <c r="L41" s="1185"/>
      <c r="M41" s="1185"/>
    </row>
    <row r="42" spans="1:18" ht="18" customHeight="1">
      <c r="A42" s="305"/>
      <c r="B42" s="306"/>
      <c r="C42" s="307"/>
      <c r="D42" s="324"/>
      <c r="E42" s="299" t="s">
        <v>766</v>
      </c>
      <c r="F42" s="309" t="e">
        <f ca="1">INDIRECT("'数据-取费表'!v"&amp;$G$1)</f>
        <v>#N/A</v>
      </c>
      <c r="G42" s="1378"/>
      <c r="H42" s="1185"/>
      <c r="I42" s="1392"/>
      <c r="J42" s="1393"/>
      <c r="K42" s="2538"/>
      <c r="L42" s="1185"/>
      <c r="M42" s="1185"/>
    </row>
    <row r="43" spans="1:18" ht="18" customHeight="1" thickBot="1">
      <c r="A43" s="331" t="s">
        <v>396</v>
      </c>
      <c r="B43" s="332" t="s">
        <v>776</v>
      </c>
      <c r="C43" s="333" t="e">
        <f ca="1">ROUND(C40*10000/F43,0)</f>
        <v>#N/A</v>
      </c>
      <c r="D43" s="334" t="s">
        <v>777</v>
      </c>
      <c r="E43" s="335" t="s">
        <v>778</v>
      </c>
      <c r="F43" s="336" t="e">
        <f ca="1">INDIRECT("'数据-取费表'!k"&amp;$G$1)</f>
        <v>#N/A</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9"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3406</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297" t="s">
        <v>692</v>
      </c>
      <c r="C48" s="3465" t="e">
        <f ca="1">C49+C53+C55</f>
        <v>#N/A</v>
      </c>
      <c r="D48" s="1106"/>
      <c r="E48" s="1107"/>
      <c r="F48" s="956"/>
      <c r="G48" s="719"/>
      <c r="H48" s="720"/>
      <c r="I48" s="1415" t="s">
        <v>819</v>
      </c>
      <c r="J48" s="1416" t="s">
        <v>3407</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2108</v>
      </c>
      <c r="E49" s="1366" t="s">
        <v>780</v>
      </c>
      <c r="F49" s="1054"/>
      <c r="G49" s="1419"/>
      <c r="H49" s="720"/>
      <c r="I49" s="1415" t="s">
        <v>823</v>
      </c>
      <c r="J49" s="1420">
        <f>Sheet1!K2</f>
        <v>2002</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0" t="e">
        <f ca="1">F8</f>
        <v>#N/A</v>
      </c>
      <c r="I51" s="1426" t="s">
        <v>829</v>
      </c>
      <c r="J51" s="1427">
        <f>IF(J49="",J50,J49+J50-YEAR('数据-取费表'!B2))</f>
        <v>38</v>
      </c>
      <c r="K51" s="1428" t="s">
        <v>830</v>
      </c>
      <c r="L51" s="1429" t="e">
        <f ca="1">ROUND(-PV(INDIRECT("'数据-取费表'!h"&amp;$G$1),J51,(C39-C13*C76),0),0)</f>
        <v>#N/A</v>
      </c>
      <c r="M51" s="1430"/>
      <c r="O51" s="1422" t="s">
        <v>407</v>
      </c>
      <c r="P51" s="1413" t="s">
        <v>831</v>
      </c>
      <c r="Q51" s="1425">
        <f>J52</f>
        <v>0.08</v>
      </c>
      <c r="R51" s="1414"/>
    </row>
    <row r="52" spans="1:18" s="1378" customFormat="1" ht="13.5" thickBot="1">
      <c r="A52" s="971"/>
      <c r="B52" s="973"/>
      <c r="C52" s="974"/>
      <c r="D52" s="947"/>
      <c r="E52" s="975" t="s">
        <v>699</v>
      </c>
      <c r="F52" s="1048"/>
      <c r="I52" s="1431" t="s">
        <v>832</v>
      </c>
      <c r="J52" s="1432">
        <v>0.08</v>
      </c>
      <c r="K52" s="1431" t="s">
        <v>833</v>
      </c>
      <c r="L52" s="1432"/>
      <c r="O52" s="1422" t="s">
        <v>408</v>
      </c>
      <c r="P52" s="1413" t="s">
        <v>834</v>
      </c>
      <c r="Q52" s="1414" t="e">
        <f ca="1">J53</f>
        <v>#N/A</v>
      </c>
      <c r="R52" s="1414" t="s">
        <v>835</v>
      </c>
    </row>
    <row r="53" spans="1:18" s="1378" customFormat="1" ht="24.75" thickBot="1">
      <c r="A53" s="1146" t="s">
        <v>440</v>
      </c>
      <c r="B53" s="1367" t="s">
        <v>700</v>
      </c>
      <c r="C53" s="313">
        <f ca="1">ROUND(IF(F53="押一",C49/12*F11,IF(F53="押二",C49/12*2*F11,IF(F53="押三",C49/12*3*F11,C54*F11))),0)</f>
        <v>0</v>
      </c>
      <c r="D53" s="1360" t="s">
        <v>2116</v>
      </c>
      <c r="E53" s="310" t="s">
        <v>701</v>
      </c>
      <c r="F53" s="1110"/>
      <c r="I53" s="1433" t="s">
        <v>836</v>
      </c>
      <c r="J53" s="2162" t="e">
        <f ca="1">IF(M47="住宅",IF(D1="——",MAX(J51,L48),MAX(J51,L48-'数据-取费表'!B24)),IF(D1="——",MIN(J51,L48),MIN(J51,L48-'数据-取费表'!B24)))</f>
        <v>#N/A</v>
      </c>
      <c r="K53" s="3689" t="s">
        <v>837</v>
      </c>
      <c r="L53" s="3690"/>
      <c r="O53" s="1412" t="s">
        <v>409</v>
      </c>
      <c r="P53" s="1413" t="s">
        <v>838</v>
      </c>
      <c r="Q53" s="1414" t="e">
        <f ca="1">Q47+Q48</f>
        <v>#N/A</v>
      </c>
      <c r="R53" s="1414" t="s">
        <v>410</v>
      </c>
    </row>
    <row r="54" spans="1:18" s="1378" customFormat="1" ht="13.5" thickBot="1">
      <c r="A54" s="1147"/>
      <c r="B54" s="1361" t="s">
        <v>679</v>
      </c>
      <c r="C54" s="953"/>
      <c r="D54" s="1360"/>
      <c r="E54" s="3455"/>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3455"/>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29" t="e">
        <f ca="1">C13</f>
        <v>#N/A</v>
      </c>
      <c r="D56" s="1441"/>
      <c r="E56" s="1442"/>
      <c r="F56" s="1434"/>
      <c r="I56" s="1443" t="s">
        <v>842</v>
      </c>
      <c r="J56" s="1444" t="s">
        <v>3477</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5"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2" t="s">
        <v>393</v>
      </c>
      <c r="B58" s="952" t="s">
        <v>714</v>
      </c>
      <c r="C58" s="313"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10" t="e">
        <f ca="1">ROUND(IF(AND(项目基本情况!B11="自然人",项目基本情况!B10="北京市"),C49*F59/(1+'数据-取费表'!C42),C60+C61+C62),0)</f>
        <v>#N/A</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28">
        <f t="shared" ref="F60:F66" si="0">F32</f>
        <v>5.6000000000000001E-2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727</v>
      </c>
      <c r="C61" s="21" t="e">
        <f ca="1">IF(项目基本情况!B11="自然人","——",IF(D61="按租金收入计税",ROUND(C49*F61/(1+'数据-取费表'!C42),2),IF(D61="按房产原值计税",ROUND(C57*F61*0.7,2),INDIRECT("'数据-取费表'!Aj"&amp;$G$1))))</f>
        <v>#N/A</v>
      </c>
      <c r="D61" s="1364" t="s">
        <v>3329</v>
      </c>
      <c r="E61" s="944" t="s">
        <v>783</v>
      </c>
      <c r="F61" s="319">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730</v>
      </c>
      <c r="C62" s="22" t="e">
        <f ca="1">IF(项目基本情况!B11="自然人","——",ROUND(F62*F63/10000,2))</f>
        <v>#N/A</v>
      </c>
      <c r="D62" s="959" t="s">
        <v>731</v>
      </c>
      <c r="E62" s="944" t="s">
        <v>732</v>
      </c>
      <c r="F62" s="322">
        <f t="shared" si="0"/>
        <v>1.5</v>
      </c>
      <c r="I62" s="1456" t="s">
        <v>858</v>
      </c>
      <c r="J62" s="1457" t="s">
        <v>859</v>
      </c>
      <c r="K62" s="1457" t="s">
        <v>860</v>
      </c>
      <c r="L62" s="1457" t="s">
        <v>861</v>
      </c>
      <c r="M62" s="1458" t="s">
        <v>862</v>
      </c>
      <c r="O62" s="1412" t="s">
        <v>409</v>
      </c>
      <c r="P62" s="1413" t="s">
        <v>838</v>
      </c>
      <c r="Q62" s="1414" t="e">
        <f ca="1">Q56+Q57</f>
        <v>#N/A</v>
      </c>
      <c r="R62" s="1414" t="s">
        <v>410</v>
      </c>
    </row>
    <row r="63" spans="1:18" s="1378" customFormat="1" ht="13.5" thickBot="1">
      <c r="A63" s="323"/>
      <c r="B63" s="950"/>
      <c r="C63" s="26"/>
      <c r="D63" s="960"/>
      <c r="E63" s="944" t="s">
        <v>736</v>
      </c>
      <c r="F63" s="300"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ROUND(C57*F64,2)</f>
        <v>#N/A</v>
      </c>
      <c r="D64" s="958" t="s">
        <v>791</v>
      </c>
      <c r="E64" s="944" t="s">
        <v>783</v>
      </c>
      <c r="F64" s="325"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744</v>
      </c>
      <c r="F65" s="327" t="e">
        <f t="shared" ca="1" si="0"/>
        <v>#N/A</v>
      </c>
      <c r="I65" s="1456" t="s">
        <v>867</v>
      </c>
      <c r="J65" s="1457">
        <v>40</v>
      </c>
      <c r="K65" s="1457">
        <v>30</v>
      </c>
      <c r="L65" s="1457">
        <v>50</v>
      </c>
      <c r="M65" s="1459">
        <v>0.02</v>
      </c>
      <c r="O65" s="1412" t="s">
        <v>403</v>
      </c>
      <c r="P65" s="1413" t="s">
        <v>817</v>
      </c>
      <c r="Q65" s="1414" t="e">
        <f ca="1">C40+J29</f>
        <v>#N/A</v>
      </c>
      <c r="R65" s="1414" t="s">
        <v>818</v>
      </c>
    </row>
    <row r="66" spans="1:18" s="1378" customFormat="1" ht="16.5" thickBot="1">
      <c r="A66" s="976" t="s">
        <v>793</v>
      </c>
      <c r="B66" s="944" t="s">
        <v>728</v>
      </c>
      <c r="C66" s="21" t="e">
        <f ca="1">ROUND(C48*F66,2)</f>
        <v>#N/A</v>
      </c>
      <c r="D66" s="958" t="s">
        <v>794</v>
      </c>
      <c r="E66" s="944" t="s">
        <v>712</v>
      </c>
      <c r="F66" s="309" t="e">
        <f t="shared" ca="1" si="0"/>
        <v>#N/A</v>
      </c>
      <c r="O66" s="1412" t="s">
        <v>404</v>
      </c>
      <c r="P66" s="1413" t="s">
        <v>846</v>
      </c>
      <c r="Q66" s="1414" t="e">
        <f ca="1">L60</f>
        <v>#N/A</v>
      </c>
      <c r="R66" s="1414" t="s">
        <v>869</v>
      </c>
    </row>
    <row r="67" spans="1:18" s="1378" customFormat="1" ht="16.5" thickBot="1">
      <c r="A67" s="951" t="s">
        <v>394</v>
      </c>
      <c r="B67" s="961" t="s">
        <v>752</v>
      </c>
      <c r="C67" s="313"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298" t="e">
        <f ca="1">ROUND(C67*(1-((1+F70)/(1+F68))^F69)/(F68-F70),0)</f>
        <v>#N/A</v>
      </c>
      <c r="D68" s="959" t="s">
        <v>758</v>
      </c>
      <c r="E68" s="944" t="s">
        <v>759</v>
      </c>
      <c r="F68" s="309" t="e">
        <f ca="1">F40</f>
        <v>#N/A</v>
      </c>
      <c r="O68" s="1422" t="s">
        <v>406</v>
      </c>
      <c r="P68" s="1461" t="s">
        <v>871</v>
      </c>
      <c r="Q68" s="1414" t="e">
        <f ca="1">ROUND(Q69-Q70*Q71,0)</f>
        <v>#N/A</v>
      </c>
      <c r="R68" s="1414" t="s">
        <v>414</v>
      </c>
    </row>
    <row r="69" spans="1:18" s="1378" customFormat="1" ht="13.5" thickBot="1">
      <c r="A69" s="945"/>
      <c r="B69" s="946"/>
      <c r="C69" s="303"/>
      <c r="D69" s="964" t="s">
        <v>762</v>
      </c>
      <c r="E69" s="944" t="s">
        <v>763</v>
      </c>
      <c r="F69" s="330" t="e">
        <f ca="1">F41</f>
        <v>#N/A</v>
      </c>
      <c r="O69" s="1422" t="s">
        <v>411</v>
      </c>
      <c r="P69" s="1461" t="s">
        <v>872</v>
      </c>
      <c r="Q69" s="1414" t="e">
        <f ca="1">C39</f>
        <v>#N/A</v>
      </c>
      <c r="R69" s="1414" t="s">
        <v>818</v>
      </c>
    </row>
    <row r="70" spans="1:18" s="1378" customFormat="1" ht="13.5" thickBot="1">
      <c r="A70" s="948"/>
      <c r="B70" s="949"/>
      <c r="C70" s="307"/>
      <c r="D70" s="960"/>
      <c r="E70" s="944" t="s">
        <v>766</v>
      </c>
      <c r="F70" s="1048"/>
      <c r="O70" s="1422" t="s">
        <v>412</v>
      </c>
      <c r="P70" s="1461" t="s">
        <v>873</v>
      </c>
      <c r="Q70" s="1414" t="e">
        <f ca="1">C13</f>
        <v>#N/A</v>
      </c>
      <c r="R70" s="1414" t="s">
        <v>818</v>
      </c>
    </row>
    <row r="71" spans="1:18" s="1378" customFormat="1" ht="13.5" thickBot="1">
      <c r="A71" s="965" t="s">
        <v>396</v>
      </c>
      <c r="B71" s="966" t="s">
        <v>776</v>
      </c>
      <c r="C71" s="333" t="e">
        <f ca="1">ROUND(C68*10000/F71,0)</f>
        <v>#N/A</v>
      </c>
      <c r="D71" s="967" t="s">
        <v>777</v>
      </c>
      <c r="E71" s="968" t="s">
        <v>778</v>
      </c>
      <c r="F71" s="336"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37" t="s">
        <v>795</v>
      </c>
      <c r="C75" s="338" t="e">
        <f ca="1">ROUND(C13*C76,0)</f>
        <v>#N/A</v>
      </c>
      <c r="D75" s="1378"/>
      <c r="E75" s="1378"/>
      <c r="F75" s="1378"/>
      <c r="K75" s="1396"/>
      <c r="L75" s="1378"/>
      <c r="O75" s="1412" t="s">
        <v>409</v>
      </c>
      <c r="P75" s="1413" t="s">
        <v>838</v>
      </c>
      <c r="Q75" s="1414" t="e">
        <f ca="1">Q65+Q66</f>
        <v>#N/A</v>
      </c>
      <c r="R75" s="1414" t="s">
        <v>410</v>
      </c>
    </row>
    <row r="76" spans="1:18">
      <c r="B76" s="339" t="s">
        <v>796</v>
      </c>
      <c r="C76" s="340" t="e">
        <f ca="1">INDIRECT("'数据-取费表'!j"&amp;$G$1)</f>
        <v>#N/A</v>
      </c>
      <c r="I76" s="1378"/>
      <c r="J76" s="1378"/>
      <c r="K76" s="1396"/>
      <c r="L76" s="1378"/>
    </row>
    <row r="77" spans="1:18">
      <c r="B77" s="341" t="s">
        <v>797</v>
      </c>
      <c r="C77" s="342"/>
      <c r="I77" s="1378"/>
      <c r="J77" s="1378"/>
      <c r="K77" s="1396"/>
      <c r="L77" s="1378"/>
    </row>
    <row r="78" spans="1:18">
      <c r="B78" s="267" t="s">
        <v>798</v>
      </c>
      <c r="C78" s="343"/>
    </row>
    <row r="79" spans="1:18">
      <c r="B79" s="337" t="s">
        <v>799</v>
      </c>
      <c r="C79" s="271" t="e">
        <f ca="1">1-C80</f>
        <v>#N/A</v>
      </c>
    </row>
    <row r="80" spans="1:18">
      <c r="B80" s="337" t="s">
        <v>800</v>
      </c>
      <c r="C80" s="271" t="e">
        <f ca="1">ROUND(C75/C39,3)</f>
        <v>#N/A</v>
      </c>
    </row>
    <row r="81" spans="2:3">
      <c r="B81" s="267" t="s">
        <v>801</v>
      </c>
      <c r="C81" s="235"/>
    </row>
    <row r="82" spans="2:3">
      <c r="B82" s="270" t="s">
        <v>802</v>
      </c>
      <c r="C82" s="272" t="e">
        <f ca="1">1-C83</f>
        <v>#N/A</v>
      </c>
    </row>
    <row r="83" spans="2:3">
      <c r="B83" s="270" t="s">
        <v>803</v>
      </c>
      <c r="C83" s="271"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0" priority="3">
      <formula>$F$10="自定义"</formula>
    </cfRule>
  </conditionalFormatting>
  <conditionalFormatting sqref="C54">
    <cfRule type="expression" dxfId="79" priority="1">
      <formula>$F$53="自定义"</formula>
    </cfRule>
  </conditionalFormatting>
  <conditionalFormatting sqref="I55 I60">
    <cfRule type="expression" dxfId="78" priority="5">
      <formula>$J$51&gt;$L$48</formula>
    </cfRule>
  </conditionalFormatting>
  <conditionalFormatting sqref="J11">
    <cfRule type="expression" dxfId="77" priority="2">
      <formula>$M$10="自定义"</formula>
    </cfRule>
  </conditionalFormatting>
  <conditionalFormatting sqref="K55 K60">
    <cfRule type="expression" dxfId="76"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10"/>
      <c r="C1" s="1373" t="s">
        <v>3450</v>
      </c>
      <c r="D1" s="1356" t="s">
        <v>43</v>
      </c>
      <c r="E1" s="1357" t="s">
        <v>678</v>
      </c>
      <c r="F1" s="1056" t="e">
        <f ca="1">J53</f>
        <v>#N/A</v>
      </c>
      <c r="G1" s="1372" t="e">
        <f>MATCH(C1,'数据-取费表'!A6:A16,0)+5</f>
        <v>#N/A</v>
      </c>
      <c r="H1" s="2686"/>
      <c r="I1" s="2687"/>
      <c r="J1" s="2687"/>
      <c r="K1" s="2688"/>
      <c r="L1" s="2687"/>
      <c r="M1" s="2687"/>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80"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t="e">
        <f ca="1">C6+C10+C12</f>
        <v>#N/A</v>
      </c>
      <c r="D5" s="1358" t="s">
        <v>693</v>
      </c>
      <c r="E5" s="1065"/>
      <c r="F5" s="1066"/>
      <c r="G5" s="1378"/>
      <c r="H5" s="296">
        <v>1</v>
      </c>
      <c r="I5" s="297" t="s">
        <v>692</v>
      </c>
      <c r="J5" s="1064" t="e">
        <f ca="1">J6+J10+J12</f>
        <v>#N/A</v>
      </c>
      <c r="K5" s="1358" t="s">
        <v>693</v>
      </c>
      <c r="L5" s="1065"/>
      <c r="M5" s="1066"/>
    </row>
    <row r="6" spans="1:37" ht="18" customHeight="1">
      <c r="A6" s="1063" t="s">
        <v>398</v>
      </c>
      <c r="B6" s="3686" t="s">
        <v>694</v>
      </c>
      <c r="C6" s="1068" t="e">
        <f ca="1">ROUND(F6*F8*F7*(1-F9)/10000,0)</f>
        <v>#N/A</v>
      </c>
      <c r="D6" s="152" t="s">
        <v>2109</v>
      </c>
      <c r="E6" s="299" t="s">
        <v>696</v>
      </c>
      <c r="F6" s="300" t="e">
        <f ca="1">INDIRECT("'数据-取费表'!u"&amp;$G$1)</f>
        <v>#N/A</v>
      </c>
      <c r="G6" s="1378"/>
      <c r="H6" s="1063" t="s">
        <v>398</v>
      </c>
      <c r="I6" s="3686" t="s">
        <v>694</v>
      </c>
      <c r="J6" s="298" t="e">
        <f ca="1">ROUND(M6*M8*M7*(1-M9)/10000,0)</f>
        <v>#N/A</v>
      </c>
      <c r="K6" s="152" t="s">
        <v>2108</v>
      </c>
      <c r="L6" s="299" t="s">
        <v>696</v>
      </c>
      <c r="M6" s="300" t="e">
        <f ca="1">INDIRECT("'数据-取费表'!z"&amp;$G$1)</f>
        <v>#N/A</v>
      </c>
    </row>
    <row r="7" spans="1:37" ht="18" customHeight="1">
      <c r="A7" s="1067"/>
      <c r="B7" s="3687"/>
      <c r="C7" s="1069"/>
      <c r="D7" s="304"/>
      <c r="E7" s="3454" t="s">
        <v>697</v>
      </c>
      <c r="F7" s="300" t="e">
        <f ca="1">IF(INDIRECT("'数据-取费表'!ah"&amp;$G$1)="",INDIRECT("'数据-取费表'!k"&amp;$G$1),INDIRECT("'数据-取费表'!ah"&amp;$G$1))</f>
        <v>#N/A</v>
      </c>
      <c r="G7" s="1378"/>
      <c r="H7" s="301"/>
      <c r="I7" s="3687"/>
      <c r="J7" s="303"/>
      <c r="K7" s="304"/>
      <c r="L7" s="299" t="s">
        <v>697</v>
      </c>
      <c r="M7" s="300" t="e">
        <f ca="1">F7</f>
        <v>#N/A</v>
      </c>
    </row>
    <row r="8" spans="1:37" ht="18" customHeight="1">
      <c r="A8" s="301"/>
      <c r="B8" s="3687"/>
      <c r="C8" s="303"/>
      <c r="D8" s="304"/>
      <c r="E8" s="299" t="s">
        <v>698</v>
      </c>
      <c r="F8" s="300" t="e">
        <f ca="1">INDIRECT("'数据-取费表'!ai"&amp;$G$1)</f>
        <v>#N/A</v>
      </c>
      <c r="G8" s="1378"/>
      <c r="H8" s="301"/>
      <c r="I8" s="3687"/>
      <c r="J8" s="303"/>
      <c r="K8" s="304"/>
      <c r="L8" s="299" t="s">
        <v>698</v>
      </c>
      <c r="M8" s="300" t="e">
        <f ca="1">INDIRECT("'数据-取费表'!ai"&amp;$G$1)</f>
        <v>#N/A</v>
      </c>
    </row>
    <row r="9" spans="1:37" ht="18" customHeight="1">
      <c r="A9" s="301"/>
      <c r="B9" s="3688"/>
      <c r="C9" s="303"/>
      <c r="D9" s="304"/>
      <c r="E9" s="299" t="s">
        <v>699</v>
      </c>
      <c r="F9" s="309" t="e">
        <f ca="1">INDIRECT("'数据-取费表'!w"&amp;$G$1)</f>
        <v>#N/A</v>
      </c>
      <c r="G9" s="1378"/>
      <c r="H9" s="301"/>
      <c r="I9" s="3688"/>
      <c r="J9" s="303"/>
      <c r="K9" s="304"/>
      <c r="L9" s="310" t="s">
        <v>699</v>
      </c>
      <c r="M9" s="311" t="e">
        <f ca="1">INDIRECT("'数据-取费表'!ab"&amp;$G$1)</f>
        <v>#N/A</v>
      </c>
    </row>
    <row r="10" spans="1:37" ht="18" customHeight="1">
      <c r="A10" s="1063" t="s">
        <v>402</v>
      </c>
      <c r="B10" s="1359" t="s">
        <v>700</v>
      </c>
      <c r="C10" s="313" t="e">
        <f ca="1">ROUND(IF(F10="押一",C6/12*F11,IF(F10="押二",C6/12*2*F11,IF(F10="押三",C6/12*3*F11,C11*F11))),0)</f>
        <v>#N/A</v>
      </c>
      <c r="D10" s="1360" t="s">
        <v>2116</v>
      </c>
      <c r="E10" s="310" t="s">
        <v>701</v>
      </c>
      <c r="F10" s="1110" t="s">
        <v>3405</v>
      </c>
      <c r="G10" s="1378"/>
      <c r="H10" s="1063" t="s">
        <v>402</v>
      </c>
      <c r="I10" s="1359" t="s">
        <v>700</v>
      </c>
      <c r="J10" s="298">
        <f ca="1">ROUND(IF(M10="押一",J6/12*M11,IF(M10="押二",J6/12*2*M11,IF(M10="押三",J6/12*3*M11,J11*M11))),0)</f>
        <v>0</v>
      </c>
      <c r="K10" s="1360" t="s">
        <v>2116</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81"/>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t="e">
        <f ca="1">ROUND(C29*F13,0)</f>
        <v>#N/A</v>
      </c>
      <c r="D13" s="3450" t="s">
        <v>705</v>
      </c>
      <c r="E13" s="3450"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299" t="s">
        <v>707</v>
      </c>
      <c r="C14" s="315" t="e">
        <f ca="1">INDIRECT("'数据-取费表'!m"&amp;$G$1)+INDIRECT("'数据-取费表'!t"&amp;$G$1)</f>
        <v>#N/A</v>
      </c>
      <c r="D14" s="3457" t="s">
        <v>708</v>
      </c>
      <c r="E14" s="3456"/>
      <c r="F14" s="316"/>
      <c r="G14" s="1378"/>
      <c r="H14" s="976" t="s">
        <v>398</v>
      </c>
      <c r="I14" s="299" t="s">
        <v>709</v>
      </c>
      <c r="J14" s="21" t="e">
        <f ca="1">C29</f>
        <v>#N/A</v>
      </c>
      <c r="K14" s="3453"/>
      <c r="L14" s="801"/>
      <c r="M14" s="802"/>
    </row>
    <row r="15" spans="1:37" s="1391" customFormat="1" ht="18" customHeight="1" thickBot="1">
      <c r="A15" s="976" t="s">
        <v>399</v>
      </c>
      <c r="B15" s="299" t="s">
        <v>710</v>
      </c>
      <c r="C15" s="21" t="e">
        <f ca="1">ROUND(C14*F15,0)</f>
        <v>#N/A</v>
      </c>
      <c r="D15" s="3451" t="s">
        <v>711</v>
      </c>
      <c r="E15" s="3451" t="s">
        <v>712</v>
      </c>
      <c r="F15" s="318">
        <f>'数据-取费表'!B33</f>
        <v>0.03</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t="e">
        <f ca="1">ROUND(INDIRECT("'数据-取费表'!m"&amp;$G$1)*F16,0)</f>
        <v>#N/A</v>
      </c>
      <c r="D16" s="299" t="s">
        <v>711</v>
      </c>
      <c r="E16" s="299" t="s">
        <v>712</v>
      </c>
      <c r="F16" s="319" t="e">
        <f ca="1">IF(INDIRECT("'数据-取费表'!c"&amp;$G$1)="住宅",'数据-取费表'!B34,0)</f>
        <v>#N/A</v>
      </c>
      <c r="G16" s="1378"/>
      <c r="H16" s="1073" t="s">
        <v>393</v>
      </c>
      <c r="I16" s="1074" t="s">
        <v>714</v>
      </c>
      <c r="J16" s="307" t="e">
        <f ca="1">ROUND(J17+J22+J23+J24,0)</f>
        <v>#N/A</v>
      </c>
      <c r="K16" s="1081" t="s">
        <v>715</v>
      </c>
      <c r="L16" s="3460"/>
      <c r="M16" s="1066"/>
    </row>
    <row r="17" spans="1:37" s="1391" customFormat="1" ht="18" customHeight="1">
      <c r="A17" s="976" t="s">
        <v>681</v>
      </c>
      <c r="B17" s="299" t="s">
        <v>716</v>
      </c>
      <c r="C17" s="21" t="e">
        <f ca="1">ROUND(F17*(F43+INDIRECT("'数据-取费表'!S"&amp;$G$1))/10000,0)</f>
        <v>#N/A</v>
      </c>
      <c r="D17" s="299" t="s">
        <v>717</v>
      </c>
      <c r="E17" s="299" t="s">
        <v>718</v>
      </c>
      <c r="F17" s="23">
        <f>'数据-取费表'!B35</f>
        <v>200</v>
      </c>
      <c r="G17" s="1390"/>
      <c r="H17" s="976" t="s">
        <v>398</v>
      </c>
      <c r="I17" s="299" t="s">
        <v>719</v>
      </c>
      <c r="J17" s="2310" t="e">
        <f ca="1">ROUND(IF(AND(项目基本情况!B11="自然人",项目基本情况!B10="北京市"),J6*M17/(1+'数据-取费表'!C42),J18+J19+J20),2)</f>
        <v>#N/A</v>
      </c>
      <c r="K17" s="3457" t="s">
        <v>720</v>
      </c>
      <c r="L17" s="345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t="e">
        <f ca="1">ROUND(C14*F18,0)</f>
        <v>#N/A</v>
      </c>
      <c r="D18" s="299" t="s">
        <v>711</v>
      </c>
      <c r="E18" s="299" t="s">
        <v>712</v>
      </c>
      <c r="F18" s="319">
        <f>'数据-取费表'!B36</f>
        <v>1.4999999999999999E-2</v>
      </c>
      <c r="G18" s="1390"/>
      <c r="H18" s="976" t="s">
        <v>397</v>
      </c>
      <c r="I18" s="299" t="s">
        <v>723</v>
      </c>
      <c r="J18" s="21" t="e">
        <f ca="1">ROUND(J6*M18/(1+'数据-取费表'!C42),2)</f>
        <v>#N/A</v>
      </c>
      <c r="K18" s="3458" t="s">
        <v>724</v>
      </c>
      <c r="L18" s="299" t="s">
        <v>712</v>
      </c>
      <c r="M18" s="319">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t="e">
        <f ca="1">SUM(C14:C18)</f>
        <v>#N/A</v>
      </c>
      <c r="D19" s="128" t="s">
        <v>726</v>
      </c>
      <c r="E19" s="3466"/>
      <c r="F19" s="23"/>
      <c r="G19" s="1378"/>
      <c r="H19" s="976" t="s">
        <v>399</v>
      </c>
      <c r="I19" s="299" t="s">
        <v>727</v>
      </c>
      <c r="J19" s="21" t="e">
        <f ca="1">IF(K19="按租金收入计税",ROUND(J6*M19/(1+'数据-取费表'!C42),2),ROUND(C29*M19*0.7,2))</f>
        <v>#N/A</v>
      </c>
      <c r="K19" s="1364" t="s">
        <v>3329</v>
      </c>
      <c r="L19" s="299" t="s">
        <v>712</v>
      </c>
      <c r="M19" s="319">
        <f>IF(K19="按租金收入计税",'数据-取费表'!B51,'数据-取费表'!B50)</f>
        <v>0.12</v>
      </c>
    </row>
    <row r="20" spans="1:37" s="1391" customFormat="1" ht="18" customHeight="1">
      <c r="A20" s="976" t="s">
        <v>402</v>
      </c>
      <c r="B20" s="299" t="s">
        <v>728</v>
      </c>
      <c r="C20" s="21" t="e">
        <f ca="1">ROUND(C19*F20,0)</f>
        <v>#N/A</v>
      </c>
      <c r="D20" s="2422" t="s">
        <v>729</v>
      </c>
      <c r="E20" s="299" t="s">
        <v>712</v>
      </c>
      <c r="F20" s="319">
        <f>'数据-取费表'!B37</f>
        <v>0.02</v>
      </c>
      <c r="G20" s="1390"/>
      <c r="H20" s="976" t="s">
        <v>680</v>
      </c>
      <c r="I20" s="152" t="s">
        <v>730</v>
      </c>
      <c r="J20" s="22" t="e">
        <f ca="1">ROUND(M20*M21/10000,2)</f>
        <v>#N/A</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15</v>
      </c>
      <c r="D21" s="2422" t="s">
        <v>734</v>
      </c>
      <c r="E21" s="299" t="s">
        <v>735</v>
      </c>
      <c r="F21" s="319">
        <f>'数据-取费表'!B38</f>
        <v>0.02</v>
      </c>
      <c r="G21" s="1390"/>
      <c r="H21" s="323"/>
      <c r="I21" s="308"/>
      <c r="J21" s="26"/>
      <c r="K21" s="324"/>
      <c r="L21" s="299" t="s">
        <v>736</v>
      </c>
      <c r="M21" s="300"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3466"/>
      <c r="F22" s="23"/>
      <c r="G22" s="1378"/>
      <c r="H22" s="976" t="s">
        <v>402</v>
      </c>
      <c r="I22" s="299" t="s">
        <v>738</v>
      </c>
      <c r="J22" s="21" t="e">
        <f ca="1">ROUND(J14*M22,2)</f>
        <v>#N/A</v>
      </c>
      <c r="K22" s="3458" t="s">
        <v>739</v>
      </c>
      <c r="L22" s="299" t="s">
        <v>712</v>
      </c>
      <c r="M22" s="325" t="e">
        <f ca="1">INDIRECT("'数据-取费表'!Ak"&amp;$G$1)</f>
        <v>#N/A</v>
      </c>
    </row>
    <row r="23" spans="1:37" s="1391" customFormat="1" ht="18" customHeight="1">
      <c r="A23" s="976" t="s">
        <v>397</v>
      </c>
      <c r="B23" s="299" t="s">
        <v>740</v>
      </c>
      <c r="C23" s="21" t="e">
        <f ca="1">IF('数据-取费表'!B22&lt;=1,ROUND(C19*F24*F23/2,0)+ROUND(C20*F24*F23/2,0),ROUND(C19*(POWER((1+F24),F23/2)-1),0)+ROUND(C20*(POWER((1+F24),F23/2)-1),0))</f>
        <v>#N/A</v>
      </c>
      <c r="D23" s="326" t="str">
        <f>IF(F23&lt;=1,"(建造成本+管理费用)×利率×(建设周期÷2)","(建造成本+管理费用)×((1+利率)^(建设周期÷2)-1)")</f>
        <v>(建造成本+管理费用)×((1+利率)^(建设周期÷2)-1)</v>
      </c>
      <c r="E23" s="299" t="s">
        <v>741</v>
      </c>
      <c r="F23" s="322">
        <f>'数据-取费表'!B20</f>
        <v>1.5</v>
      </c>
      <c r="G23" s="1390"/>
      <c r="H23" s="976" t="s">
        <v>437</v>
      </c>
      <c r="I23" s="299" t="s">
        <v>742</v>
      </c>
      <c r="J23" s="21" t="e">
        <f ca="1">ROUND(J13*M23,2)</f>
        <v>#N/A</v>
      </c>
      <c r="K23" s="3458" t="s">
        <v>743</v>
      </c>
      <c r="L23" s="299" t="s">
        <v>744</v>
      </c>
      <c r="M23" s="327"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5.0000000000000001E-4</v>
      </c>
      <c r="D24" s="326" t="str">
        <f>IF(F23&lt;=1,"销售费用×利率×(建设周期÷2)","销售费用×((1+利率)^(建设周期÷2)-1)")</f>
        <v>销售费用×((1+利率)^(建设周期÷2)-1)</v>
      </c>
      <c r="E24" s="299" t="s">
        <v>747</v>
      </c>
      <c r="F24" s="328">
        <f ca="1">'数据-取费表'!B40</f>
        <v>3.3500000000000002E-2</v>
      </c>
      <c r="G24" s="1390"/>
      <c r="H24" s="1083" t="s">
        <v>684</v>
      </c>
      <c r="I24" s="1084" t="s">
        <v>728</v>
      </c>
      <c r="J24" s="1085" t="e">
        <f ca="1">ROUND(J5*M24,2)</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3466"/>
      <c r="F25" s="23"/>
      <c r="G25" s="1378"/>
      <c r="H25" s="1073" t="s">
        <v>394</v>
      </c>
      <c r="I25" s="1088" t="s">
        <v>752</v>
      </c>
      <c r="J25" s="307" t="e">
        <f ca="1">J5-J16</f>
        <v>#N/A</v>
      </c>
      <c r="K25" s="1089" t="s">
        <v>753</v>
      </c>
      <c r="L25" s="1090"/>
      <c r="M25" s="1091"/>
    </row>
    <row r="26" spans="1:37">
      <c r="A26" s="976" t="s">
        <v>397</v>
      </c>
      <c r="B26" s="299" t="s">
        <v>754</v>
      </c>
      <c r="C26" s="21" t="e">
        <f ca="1">ROUND((C19+C20)*F26,0)</f>
        <v>#N/A</v>
      </c>
      <c r="D26" s="2422" t="s">
        <v>755</v>
      </c>
      <c r="E26" s="310" t="s">
        <v>756</v>
      </c>
      <c r="F26" s="309" t="e">
        <f ca="1">INDIRECT("'数据-取费表'!q"&amp;$G$1)</f>
        <v>#N/A</v>
      </c>
      <c r="G26" s="1378"/>
      <c r="H26" s="296" t="s">
        <v>395</v>
      </c>
      <c r="I26" s="297" t="s">
        <v>757</v>
      </c>
      <c r="J26" s="298" t="e">
        <f ca="1">IF(J5&lt;&gt;0,ROUND(J25*(1-((1+M28)/(1+M26))^M27)/(M26-M28),0),0)</f>
        <v>#N/A</v>
      </c>
      <c r="K26" s="321" t="s">
        <v>758</v>
      </c>
      <c r="L26" s="299" t="s">
        <v>759</v>
      </c>
      <c r="M26" s="309" t="e">
        <f ca="1">INDIRECT("'数据-取费表'!I"&amp;$G$1)</f>
        <v>#N/A</v>
      </c>
    </row>
    <row r="27" spans="1:37" ht="18" customHeight="1">
      <c r="A27" s="976" t="s">
        <v>399</v>
      </c>
      <c r="B27" s="299" t="s">
        <v>760</v>
      </c>
      <c r="C27" s="21" t="e">
        <f ca="1">ROUND(F21*F26,4)</f>
        <v>#N/A</v>
      </c>
      <c r="D27" s="2422" t="s">
        <v>761</v>
      </c>
      <c r="E27" s="3451"/>
      <c r="F27" s="318"/>
      <c r="G27" s="1378"/>
      <c r="H27" s="301"/>
      <c r="I27" s="302"/>
      <c r="J27" s="303"/>
      <c r="K27" s="329" t="s">
        <v>762</v>
      </c>
      <c r="L27" s="299" t="s">
        <v>763</v>
      </c>
      <c r="M27" s="330" t="e">
        <f ca="1">INDIRECT("'数据-取费表'!ag"&amp;$G$1)</f>
        <v>#N/A</v>
      </c>
    </row>
    <row r="28" spans="1:37" s="1391" customFormat="1" ht="18" customHeight="1">
      <c r="A28" s="976" t="s">
        <v>400</v>
      </c>
      <c r="B28" s="299" t="s">
        <v>764</v>
      </c>
      <c r="C28" s="21">
        <f>ROUND(F28/(1+'数据-取费表'!C42),4)</f>
        <v>5.33E-2</v>
      </c>
      <c r="D28" s="2422" t="s">
        <v>765</v>
      </c>
      <c r="E28" s="299" t="s">
        <v>712</v>
      </c>
      <c r="F28" s="319">
        <f>'数据-取费表'!B41</f>
        <v>5.6000000000000001E-2</v>
      </c>
      <c r="G28" s="1390"/>
      <c r="H28" s="305"/>
      <c r="I28" s="306"/>
      <c r="J28" s="307"/>
      <c r="K28" s="324"/>
      <c r="L28" s="299" t="s">
        <v>766</v>
      </c>
      <c r="M28" s="309"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1" t="s">
        <v>396</v>
      </c>
      <c r="I29" s="332" t="s">
        <v>768</v>
      </c>
      <c r="J29" s="333" t="e">
        <f ca="1">ROUND(J26/(1+F40)^F41,0)</f>
        <v>#N/A</v>
      </c>
      <c r="K29" s="334" t="s">
        <v>769</v>
      </c>
      <c r="L29" s="335"/>
      <c r="M29" s="336"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t="e">
        <f ca="1">ROUND(C31+C36+C37+C38,0)</f>
        <v>#N/A</v>
      </c>
      <c r="D30" s="1081" t="s">
        <v>715</v>
      </c>
      <c r="E30" s="3460"/>
      <c r="F30" s="1066"/>
      <c r="G30" s="1378"/>
      <c r="H30" s="2691"/>
      <c r="I30" s="1392"/>
      <c r="J30" s="1393"/>
      <c r="K30" s="2469"/>
      <c r="L30" s="2692"/>
      <c r="M30" s="2693"/>
    </row>
    <row r="31" spans="1:37" ht="18" customHeight="1">
      <c r="A31" s="976" t="s">
        <v>398</v>
      </c>
      <c r="B31" s="299" t="s">
        <v>719</v>
      </c>
      <c r="C31" s="2310" t="e">
        <f ca="1">ROUND(IF(AND(项目基本情况!B11="自然人",项目基本情况!B10="北京市"),C6*F31/(1+'数据-取费表'!C42),C32+C33+C34),2)</f>
        <v>#N/A</v>
      </c>
      <c r="D31" s="3457" t="s">
        <v>720</v>
      </c>
      <c r="E31" s="3458" t="s">
        <v>770</v>
      </c>
      <c r="F31" s="2309" t="str">
        <f>IF(项目基本情况!B11="企业","——",IF(M47="住宅",IF(F6*F7*F8/12/(1+'数据-取费表'!F30)&gt;100000,4%,2.5%),IF(F6*F7*F8/12/(1+'数据-取费表'!F30)&gt;100000,12%,7%)))</f>
        <v>——</v>
      </c>
      <c r="G31" s="1378"/>
      <c r="H31" s="2802" t="s">
        <v>2299</v>
      </c>
      <c r="I31" s="1392"/>
      <c r="J31" s="1393"/>
      <c r="K31" s="2469"/>
      <c r="L31" s="2692"/>
      <c r="M31" s="2693"/>
    </row>
    <row r="32" spans="1:37" ht="18" customHeight="1">
      <c r="A32" s="976" t="s">
        <v>397</v>
      </c>
      <c r="B32" s="299" t="s">
        <v>723</v>
      </c>
      <c r="C32" s="21" t="e">
        <f ca="1">IF(项目基本情况!B11="自然人","——",ROUND(C6*F32/(1+'数据-取费表'!C42),2))</f>
        <v>#N/A</v>
      </c>
      <c r="D32" s="3458" t="s">
        <v>724</v>
      </c>
      <c r="E32" s="299" t="s">
        <v>712</v>
      </c>
      <c r="F32" s="328">
        <f>'数据-取费表'!B41</f>
        <v>5.6000000000000001E-2</v>
      </c>
      <c r="G32" s="1378"/>
      <c r="H32" s="2691"/>
      <c r="I32" s="1392"/>
      <c r="J32" s="1393"/>
      <c r="K32" s="2469"/>
      <c r="L32" s="2692"/>
      <c r="M32" s="2693"/>
    </row>
    <row r="33" spans="1:18" ht="18" customHeight="1">
      <c r="A33" s="976" t="s">
        <v>399</v>
      </c>
      <c r="B33" s="299" t="s">
        <v>727</v>
      </c>
      <c r="C33" s="21" t="e">
        <f ca="1">IF(项目基本情况!B11="自然人","——",IF(D33="按租金收入计税",ROUND(C6*F33/(1+'数据-取费表'!C42),2),IF(D33="按房产原值计税",ROUND(C29*F33*0.7,2),INDIRECT("'数据-取费表'!Aj"&amp;$G$1))))</f>
        <v>#N/A</v>
      </c>
      <c r="D33" s="1364" t="s">
        <v>3329</v>
      </c>
      <c r="E33" s="299" t="s">
        <v>712</v>
      </c>
      <c r="F33" s="319">
        <f>IF(D33="按票据","——",IF(D33="按租金收入计税",'数据-取费表'!B51,'数据-取费表'!B50))</f>
        <v>0.12</v>
      </c>
      <c r="G33" s="1378"/>
      <c r="H33" s="2694" t="e">
        <f ca="1">C30/C6</f>
        <v>#N/A</v>
      </c>
      <c r="I33" s="1392"/>
      <c r="J33" s="1393"/>
      <c r="K33" s="2695"/>
      <c r="L33" s="2694"/>
      <c r="M33" s="2694"/>
    </row>
    <row r="34" spans="1:18" ht="18" customHeight="1">
      <c r="A34" s="1063" t="s">
        <v>680</v>
      </c>
      <c r="B34" s="152" t="s">
        <v>730</v>
      </c>
      <c r="C34" s="22" t="e">
        <f ca="1">IF(项目基本情况!B11="自然人","——",ROUND(F34*F35/10000,2))</f>
        <v>#N/A</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t="e">
        <f ca="1">INDIRECT("'数据-取费表'!r"&amp;$G$1)</f>
        <v>#N/A</v>
      </c>
      <c r="G35" s="1378"/>
      <c r="H35" s="2691"/>
      <c r="I35" s="1392"/>
      <c r="J35" s="1393"/>
      <c r="K35" s="2695"/>
      <c r="L35" s="2694"/>
      <c r="M35" s="2694"/>
    </row>
    <row r="36" spans="1:18" ht="18" customHeight="1">
      <c r="A36" s="1096" t="s">
        <v>402</v>
      </c>
      <c r="B36" s="299" t="s">
        <v>738</v>
      </c>
      <c r="C36" s="21" t="e">
        <f ca="1">ROUND(C29*F36,2)</f>
        <v>#N/A</v>
      </c>
      <c r="D36" s="3458" t="s">
        <v>771</v>
      </c>
      <c r="E36" s="299" t="s">
        <v>712</v>
      </c>
      <c r="F36" s="325" t="e">
        <f ca="1">INDIRECT("'数据-取费表'!Ak"&amp;$G$1)</f>
        <v>#N/A</v>
      </c>
      <c r="G36" s="1378"/>
      <c r="H36" s="2694"/>
      <c r="I36" s="1392"/>
      <c r="J36" s="1393"/>
      <c r="K36" s="2538"/>
      <c r="L36" s="2694"/>
      <c r="M36" s="2694"/>
    </row>
    <row r="37" spans="1:18" ht="18" customHeight="1">
      <c r="A37" s="976" t="s">
        <v>437</v>
      </c>
      <c r="B37" s="299" t="s">
        <v>742</v>
      </c>
      <c r="C37" s="21" t="e">
        <f ca="1">ROUND(C13*F37,2)</f>
        <v>#N/A</v>
      </c>
      <c r="D37" s="3458" t="s">
        <v>743</v>
      </c>
      <c r="E37" s="299" t="s">
        <v>744</v>
      </c>
      <c r="F37" s="327" t="e">
        <f ca="1">INDIRECT("'数据-取费表'!Al"&amp;$G$1)</f>
        <v>#N/A</v>
      </c>
      <c r="G37" s="1378"/>
      <c r="H37" s="2694"/>
      <c r="I37" s="1392"/>
      <c r="J37" s="1393"/>
      <c r="K37" s="2538"/>
      <c r="L37" s="2694"/>
      <c r="M37" s="2694"/>
    </row>
    <row r="38" spans="1:18" ht="18" customHeight="1" thickBot="1">
      <c r="A38" s="1083" t="s">
        <v>684</v>
      </c>
      <c r="B38" s="1084" t="s">
        <v>728</v>
      </c>
      <c r="C38" s="1085" t="e">
        <f ca="1">ROUND(C5*F38,2)</f>
        <v>#N/A</v>
      </c>
      <c r="D38" s="1086" t="s">
        <v>748</v>
      </c>
      <c r="E38" s="1084" t="s">
        <v>744</v>
      </c>
      <c r="F38" s="1080" t="e">
        <f ca="1">INDIRECT("'数据-取费表'!Am"&amp;$G$1)</f>
        <v>#N/A</v>
      </c>
      <c r="G38" s="1378"/>
      <c r="H38" s="2694"/>
      <c r="I38" s="1392"/>
      <c r="J38" s="1393"/>
      <c r="K38" s="2698"/>
      <c r="L38" s="2694"/>
      <c r="M38" s="2694"/>
    </row>
    <row r="39" spans="1:18" ht="24.6" customHeight="1" thickTop="1">
      <c r="A39" s="1073" t="s">
        <v>394</v>
      </c>
      <c r="B39" s="1088" t="s">
        <v>752</v>
      </c>
      <c r="C39" s="307" t="e">
        <f ca="1">C5-C30</f>
        <v>#N/A</v>
      </c>
      <c r="D39" s="1089" t="s">
        <v>753</v>
      </c>
      <c r="E39" s="1090"/>
      <c r="F39" s="1091"/>
      <c r="G39" s="1378"/>
      <c r="H39" s="2694"/>
      <c r="I39" s="1392"/>
      <c r="J39" s="1393"/>
      <c r="K39" s="2698"/>
      <c r="L39" s="2694"/>
      <c r="M39" s="2694"/>
    </row>
    <row r="40" spans="1:18" ht="18" customHeight="1">
      <c r="A40" s="296" t="s">
        <v>395</v>
      </c>
      <c r="B40" s="297" t="s">
        <v>774</v>
      </c>
      <c r="C40" s="298" t="e">
        <f ca="1">ROUND(C39*(1-((1+F42)/(1+F40))^F41)/(F40-F42),0)</f>
        <v>#N/A</v>
      </c>
      <c r="D40" s="321" t="s">
        <v>758</v>
      </c>
      <c r="E40" s="299" t="s">
        <v>759</v>
      </c>
      <c r="F40" s="309" t="e">
        <f ca="1">INDIRECT("'数据-取费表'!I"&amp;$G$1)</f>
        <v>#N/A</v>
      </c>
      <c r="G40" s="1378"/>
      <c r="H40" s="1455"/>
      <c r="I40" s="1392"/>
      <c r="J40" s="1393"/>
      <c r="K40" s="2698"/>
      <c r="L40" s="1455"/>
      <c r="M40" s="1455"/>
    </row>
    <row r="41" spans="1:18" ht="18" customHeight="1">
      <c r="A41" s="301"/>
      <c r="B41" s="302"/>
      <c r="C41" s="303"/>
      <c r="D41" s="329" t="s">
        <v>775</v>
      </c>
      <c r="E41" s="299" t="s">
        <v>763</v>
      </c>
      <c r="F41" s="330" t="e">
        <f ca="1">IF(INDIRECT("'数据-取费表'!af"&amp;$G$1)=0,INDIRECT("'数据-取费表'!ae"&amp;$G$1),INDIRECT("'数据-取费表'!af"&amp;$G$1))</f>
        <v>#N/A</v>
      </c>
      <c r="G41" s="1378"/>
      <c r="H41" s="1185"/>
      <c r="I41" s="1392"/>
      <c r="J41" s="1393"/>
      <c r="K41" s="2538"/>
      <c r="L41" s="1185"/>
      <c r="M41" s="1185"/>
    </row>
    <row r="42" spans="1:18" ht="18" customHeight="1">
      <c r="A42" s="305"/>
      <c r="B42" s="306"/>
      <c r="C42" s="307"/>
      <c r="D42" s="324"/>
      <c r="E42" s="299" t="s">
        <v>766</v>
      </c>
      <c r="F42" s="309" t="e">
        <f ca="1">INDIRECT("'数据-取费表'!v"&amp;$G$1)</f>
        <v>#N/A</v>
      </c>
      <c r="G42" s="1378"/>
      <c r="H42" s="1185"/>
      <c r="I42" s="1392"/>
      <c r="J42" s="1393"/>
      <c r="K42" s="2538"/>
      <c r="L42" s="1185"/>
      <c r="M42" s="1185"/>
    </row>
    <row r="43" spans="1:18" ht="18" customHeight="1" thickBot="1">
      <c r="A43" s="331" t="s">
        <v>396</v>
      </c>
      <c r="B43" s="332" t="s">
        <v>776</v>
      </c>
      <c r="C43" s="333" t="e">
        <f ca="1">ROUND(C40*10000/F43,0)</f>
        <v>#N/A</v>
      </c>
      <c r="D43" s="334" t="s">
        <v>777</v>
      </c>
      <c r="E43" s="335" t="s">
        <v>778</v>
      </c>
      <c r="F43" s="336" t="e">
        <f ca="1">INDIRECT("'数据-取费表'!k"&amp;$G$1)</f>
        <v>#N/A</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9"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3406</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297" t="s">
        <v>692</v>
      </c>
      <c r="C48" s="3465" t="e">
        <f ca="1">C49+C53+C55</f>
        <v>#N/A</v>
      </c>
      <c r="D48" s="1106"/>
      <c r="E48" s="1107"/>
      <c r="F48" s="956"/>
      <c r="G48" s="719"/>
      <c r="H48" s="720"/>
      <c r="I48" s="1415" t="s">
        <v>819</v>
      </c>
      <c r="J48" s="1416" t="s">
        <v>3478</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2108</v>
      </c>
      <c r="E49" s="1366" t="s">
        <v>780</v>
      </c>
      <c r="F49" s="1054"/>
      <c r="G49" s="1419"/>
      <c r="H49" s="720"/>
      <c r="I49" s="1415" t="s">
        <v>823</v>
      </c>
      <c r="J49" s="1420">
        <f>Sheet1!K3</f>
        <v>2002</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50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0" t="e">
        <f ca="1">F8</f>
        <v>#N/A</v>
      </c>
      <c r="I51" s="1426" t="s">
        <v>829</v>
      </c>
      <c r="J51" s="1427">
        <f>IF(J49="",J50,J49+J50-YEAR('数据-取费表'!B2))</f>
        <v>28</v>
      </c>
      <c r="K51" s="1428" t="s">
        <v>830</v>
      </c>
      <c r="L51" s="1429" t="e">
        <f ca="1">ROUND(-PV(INDIRECT("'数据-取费表'!h"&amp;$G$1),J51,(C39-C13*C76),0),0)</f>
        <v>#N/A</v>
      </c>
      <c r="M51" s="1430"/>
      <c r="O51" s="1422" t="s">
        <v>407</v>
      </c>
      <c r="P51" s="1413" t="s">
        <v>831</v>
      </c>
      <c r="Q51" s="1425">
        <f>J52</f>
        <v>0.08</v>
      </c>
      <c r="R51" s="1414"/>
    </row>
    <row r="52" spans="1:18" s="1378" customFormat="1" ht="13.5" thickBot="1">
      <c r="A52" s="971"/>
      <c r="B52" s="973"/>
      <c r="C52" s="974"/>
      <c r="D52" s="947"/>
      <c r="E52" s="975" t="s">
        <v>699</v>
      </c>
      <c r="F52" s="1048"/>
      <c r="I52" s="1431" t="s">
        <v>832</v>
      </c>
      <c r="J52" s="1432">
        <v>0.08</v>
      </c>
      <c r="K52" s="1431" t="s">
        <v>833</v>
      </c>
      <c r="L52" s="1432"/>
      <c r="O52" s="1422" t="s">
        <v>408</v>
      </c>
      <c r="P52" s="1413" t="s">
        <v>834</v>
      </c>
      <c r="Q52" s="1414" t="e">
        <f ca="1">J53</f>
        <v>#N/A</v>
      </c>
      <c r="R52" s="1414" t="s">
        <v>835</v>
      </c>
    </row>
    <row r="53" spans="1:18" s="1378" customFormat="1" ht="24.75" thickBot="1">
      <c r="A53" s="1146" t="s">
        <v>440</v>
      </c>
      <c r="B53" s="1367" t="s">
        <v>700</v>
      </c>
      <c r="C53" s="313">
        <f ca="1">ROUND(IF(F53="押一",C49/12*F11,IF(F53="押二",C49/12*2*F11,IF(F53="押三",C49/12*3*F11,C54*F11))),0)</f>
        <v>0</v>
      </c>
      <c r="D53" s="1360" t="s">
        <v>2116</v>
      </c>
      <c r="E53" s="310" t="s">
        <v>701</v>
      </c>
      <c r="F53" s="1110"/>
      <c r="I53" s="1433" t="s">
        <v>836</v>
      </c>
      <c r="J53" s="2162" t="e">
        <f ca="1">IF(M47="住宅",IF(D1="——",MAX(J51,L48),MAX(J51,L48-'数据-取费表'!B24)),IF(D1="——",MIN(J51,L48),MIN(J51,L48-'数据-取费表'!B24)))</f>
        <v>#N/A</v>
      </c>
      <c r="K53" s="3689" t="s">
        <v>837</v>
      </c>
      <c r="L53" s="3690"/>
      <c r="O53" s="1412" t="s">
        <v>409</v>
      </c>
      <c r="P53" s="1413" t="s">
        <v>838</v>
      </c>
      <c r="Q53" s="1414" t="e">
        <f ca="1">Q47+Q48</f>
        <v>#N/A</v>
      </c>
      <c r="R53" s="1414" t="s">
        <v>410</v>
      </c>
    </row>
    <row r="54" spans="1:18" s="1378" customFormat="1" ht="13.5" thickBot="1">
      <c r="A54" s="1147"/>
      <c r="B54" s="1361" t="s">
        <v>679</v>
      </c>
      <c r="C54" s="953"/>
      <c r="D54" s="1360"/>
      <c r="E54" s="3455"/>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3455"/>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29" t="e">
        <f ca="1">C13</f>
        <v>#N/A</v>
      </c>
      <c r="D56" s="1441"/>
      <c r="E56" s="1442"/>
      <c r="F56" s="1434"/>
      <c r="I56" s="1443" t="s">
        <v>842</v>
      </c>
      <c r="J56" s="1444" t="s">
        <v>3477</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5"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2" t="s">
        <v>393</v>
      </c>
      <c r="B58" s="952" t="s">
        <v>714</v>
      </c>
      <c r="C58" s="313"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10" t="e">
        <f ca="1">ROUND(IF(AND(项目基本情况!B11="自然人",项目基本情况!B10="北京市"),C49*F59/(1+'数据-取费表'!C42),C60+C61+C62),0)</f>
        <v>#N/A</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28">
        <f t="shared" ref="F60:F66" si="0">F32</f>
        <v>5.6000000000000001E-2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727</v>
      </c>
      <c r="C61" s="21" t="e">
        <f ca="1">IF(项目基本情况!B11="自然人","——",IF(D61="按租金收入计税",ROUND(C49*F61/(1+'数据-取费表'!C42),2),IF(D61="按房产原值计税",ROUND(C57*F61*0.7,2),INDIRECT("'数据-取费表'!Aj"&amp;$G$1))))</f>
        <v>#N/A</v>
      </c>
      <c r="D61" s="1364" t="s">
        <v>3329</v>
      </c>
      <c r="E61" s="944" t="s">
        <v>783</v>
      </c>
      <c r="F61" s="319">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730</v>
      </c>
      <c r="C62" s="22" t="e">
        <f ca="1">IF(项目基本情况!B11="自然人","——",ROUND(F62*F63/10000,2))</f>
        <v>#N/A</v>
      </c>
      <c r="D62" s="959" t="s">
        <v>731</v>
      </c>
      <c r="E62" s="944" t="s">
        <v>732</v>
      </c>
      <c r="F62" s="322">
        <f t="shared" si="0"/>
        <v>1.5</v>
      </c>
      <c r="I62" s="1456" t="s">
        <v>858</v>
      </c>
      <c r="J62" s="1457" t="s">
        <v>859</v>
      </c>
      <c r="K62" s="1457" t="s">
        <v>860</v>
      </c>
      <c r="L62" s="1457" t="s">
        <v>861</v>
      </c>
      <c r="M62" s="1458" t="s">
        <v>862</v>
      </c>
      <c r="O62" s="1412" t="s">
        <v>409</v>
      </c>
      <c r="P62" s="1413" t="s">
        <v>838</v>
      </c>
      <c r="Q62" s="1414" t="e">
        <f ca="1">Q56+Q57</f>
        <v>#N/A</v>
      </c>
      <c r="R62" s="1414" t="s">
        <v>410</v>
      </c>
    </row>
    <row r="63" spans="1:18" s="1378" customFormat="1" ht="13.5" thickBot="1">
      <c r="A63" s="323"/>
      <c r="B63" s="950"/>
      <c r="C63" s="26"/>
      <c r="D63" s="960"/>
      <c r="E63" s="944" t="s">
        <v>736</v>
      </c>
      <c r="F63" s="300"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ROUND(C57*F64,2)</f>
        <v>#N/A</v>
      </c>
      <c r="D64" s="958" t="s">
        <v>791</v>
      </c>
      <c r="E64" s="944" t="s">
        <v>783</v>
      </c>
      <c r="F64" s="325"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744</v>
      </c>
      <c r="F65" s="327" t="e">
        <f t="shared" ca="1" si="0"/>
        <v>#N/A</v>
      </c>
      <c r="I65" s="1456" t="s">
        <v>867</v>
      </c>
      <c r="J65" s="1457">
        <v>40</v>
      </c>
      <c r="K65" s="1457">
        <v>30</v>
      </c>
      <c r="L65" s="1457">
        <v>50</v>
      </c>
      <c r="M65" s="1459">
        <v>0.02</v>
      </c>
      <c r="O65" s="1412" t="s">
        <v>403</v>
      </c>
      <c r="P65" s="1413" t="s">
        <v>817</v>
      </c>
      <c r="Q65" s="1414" t="e">
        <f ca="1">C40+J29</f>
        <v>#N/A</v>
      </c>
      <c r="R65" s="1414" t="s">
        <v>818</v>
      </c>
    </row>
    <row r="66" spans="1:18" s="1378" customFormat="1" ht="16.5" thickBot="1">
      <c r="A66" s="976" t="s">
        <v>793</v>
      </c>
      <c r="B66" s="944" t="s">
        <v>728</v>
      </c>
      <c r="C66" s="21" t="e">
        <f ca="1">ROUND(C48*F66,2)</f>
        <v>#N/A</v>
      </c>
      <c r="D66" s="958" t="s">
        <v>794</v>
      </c>
      <c r="E66" s="944" t="s">
        <v>712</v>
      </c>
      <c r="F66" s="309" t="e">
        <f t="shared" ca="1" si="0"/>
        <v>#N/A</v>
      </c>
      <c r="O66" s="1412" t="s">
        <v>404</v>
      </c>
      <c r="P66" s="1413" t="s">
        <v>846</v>
      </c>
      <c r="Q66" s="1414" t="e">
        <f ca="1">L60</f>
        <v>#N/A</v>
      </c>
      <c r="R66" s="1414" t="s">
        <v>869</v>
      </c>
    </row>
    <row r="67" spans="1:18" s="1378" customFormat="1" ht="16.5" thickBot="1">
      <c r="A67" s="951" t="s">
        <v>394</v>
      </c>
      <c r="B67" s="961" t="s">
        <v>752</v>
      </c>
      <c r="C67" s="313"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298" t="e">
        <f ca="1">ROUND(C67*(1-((1+F70)/(1+F68))^F69)/(F68-F70),0)</f>
        <v>#N/A</v>
      </c>
      <c r="D68" s="959" t="s">
        <v>758</v>
      </c>
      <c r="E68" s="944" t="s">
        <v>759</v>
      </c>
      <c r="F68" s="309" t="e">
        <f ca="1">F40</f>
        <v>#N/A</v>
      </c>
      <c r="O68" s="1422" t="s">
        <v>406</v>
      </c>
      <c r="P68" s="1461" t="s">
        <v>871</v>
      </c>
      <c r="Q68" s="1414" t="e">
        <f ca="1">ROUND(Q69-Q70*Q71,0)</f>
        <v>#N/A</v>
      </c>
      <c r="R68" s="1414" t="s">
        <v>414</v>
      </c>
    </row>
    <row r="69" spans="1:18" s="1378" customFormat="1" ht="13.5" thickBot="1">
      <c r="A69" s="945"/>
      <c r="B69" s="946"/>
      <c r="C69" s="303"/>
      <c r="D69" s="964" t="s">
        <v>762</v>
      </c>
      <c r="E69" s="944" t="s">
        <v>763</v>
      </c>
      <c r="F69" s="330" t="e">
        <f ca="1">F41</f>
        <v>#N/A</v>
      </c>
      <c r="O69" s="1422" t="s">
        <v>411</v>
      </c>
      <c r="P69" s="1461" t="s">
        <v>872</v>
      </c>
      <c r="Q69" s="1414" t="e">
        <f ca="1">C39</f>
        <v>#N/A</v>
      </c>
      <c r="R69" s="1414" t="s">
        <v>818</v>
      </c>
    </row>
    <row r="70" spans="1:18" s="1378" customFormat="1" ht="13.5" thickBot="1">
      <c r="A70" s="948"/>
      <c r="B70" s="949"/>
      <c r="C70" s="307"/>
      <c r="D70" s="960"/>
      <c r="E70" s="944" t="s">
        <v>766</v>
      </c>
      <c r="F70" s="1048"/>
      <c r="O70" s="1422" t="s">
        <v>412</v>
      </c>
      <c r="P70" s="1461" t="s">
        <v>873</v>
      </c>
      <c r="Q70" s="1414" t="e">
        <f ca="1">C13</f>
        <v>#N/A</v>
      </c>
      <c r="R70" s="1414" t="s">
        <v>818</v>
      </c>
    </row>
    <row r="71" spans="1:18" s="1378" customFormat="1" ht="13.5" thickBot="1">
      <c r="A71" s="965" t="s">
        <v>396</v>
      </c>
      <c r="B71" s="966" t="s">
        <v>776</v>
      </c>
      <c r="C71" s="333" t="e">
        <f ca="1">ROUND(C68*10000/F71,0)</f>
        <v>#N/A</v>
      </c>
      <c r="D71" s="967" t="s">
        <v>777</v>
      </c>
      <c r="E71" s="968" t="s">
        <v>778</v>
      </c>
      <c r="F71" s="336"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37" t="s">
        <v>795</v>
      </c>
      <c r="C75" s="338" t="e">
        <f ca="1">ROUND(C13*C76,0)</f>
        <v>#N/A</v>
      </c>
      <c r="D75" s="1378"/>
      <c r="E75" s="1378"/>
      <c r="F75" s="1378"/>
      <c r="K75" s="1396"/>
      <c r="L75" s="1378"/>
      <c r="O75" s="1412" t="s">
        <v>409</v>
      </c>
      <c r="P75" s="1413" t="s">
        <v>838</v>
      </c>
      <c r="Q75" s="1414" t="e">
        <f ca="1">Q65+Q66</f>
        <v>#N/A</v>
      </c>
      <c r="R75" s="1414" t="s">
        <v>410</v>
      </c>
    </row>
    <row r="76" spans="1:18">
      <c r="B76" s="339" t="s">
        <v>796</v>
      </c>
      <c r="C76" s="340" t="e">
        <f ca="1">INDIRECT("'数据-取费表'!j"&amp;$G$1)</f>
        <v>#N/A</v>
      </c>
      <c r="I76" s="1378"/>
      <c r="J76" s="1378"/>
      <c r="K76" s="1396"/>
      <c r="L76" s="1378"/>
    </row>
    <row r="77" spans="1:18">
      <c r="B77" s="341" t="s">
        <v>797</v>
      </c>
      <c r="C77" s="342"/>
      <c r="I77" s="1378"/>
      <c r="J77" s="1378"/>
      <c r="K77" s="1396"/>
      <c r="L77" s="1378"/>
    </row>
    <row r="78" spans="1:18">
      <c r="B78" s="267" t="s">
        <v>798</v>
      </c>
      <c r="C78" s="343"/>
    </row>
    <row r="79" spans="1:18">
      <c r="B79" s="337" t="s">
        <v>799</v>
      </c>
      <c r="C79" s="271" t="e">
        <f ca="1">1-C80</f>
        <v>#N/A</v>
      </c>
    </row>
    <row r="80" spans="1:18">
      <c r="B80" s="337" t="s">
        <v>800</v>
      </c>
      <c r="C80" s="271" t="e">
        <f ca="1">ROUND(C75/C39,3)</f>
        <v>#N/A</v>
      </c>
    </row>
    <row r="81" spans="2:3">
      <c r="B81" s="267" t="s">
        <v>801</v>
      </c>
      <c r="C81" s="235"/>
    </row>
    <row r="82" spans="2:3">
      <c r="B82" s="270" t="s">
        <v>802</v>
      </c>
      <c r="C82" s="272" t="e">
        <f ca="1">1-C83</f>
        <v>#N/A</v>
      </c>
    </row>
    <row r="83" spans="2:3">
      <c r="B83" s="270" t="s">
        <v>803</v>
      </c>
      <c r="C83" s="271"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
      <formula>$J$51&gt;$L$48</formula>
    </cfRule>
  </conditionalFormatting>
  <conditionalFormatting sqref="J11">
    <cfRule type="expression" dxfId="72" priority="2">
      <formula>$M$10="自定义"</formula>
    </cfRule>
  </conditionalFormatting>
  <conditionalFormatting sqref="K55 K60">
    <cfRule type="expression" dxfId="71" priority="4">
      <formula>$L$48&gt;$J$51</formula>
    </cfRule>
  </conditionalFormatting>
  <dataValidations count="9">
    <dataValidation type="list" allowBlank="1" showInputMessage="1" showErrorMessage="1" sqref="K19" xr:uid="{00000000-0002-0000-2100-000000000000}">
      <formula1>"按租金收入计税,按房产原值计税"</formula1>
    </dataValidation>
    <dataValidation type="list" allowBlank="1" showInputMessage="1" showErrorMessage="1" sqref="D33 D61" xr:uid="{00000000-0002-0000-2100-000001000000}">
      <formula1>"按租金收入计税,按房产原值计税,按票据"</formula1>
    </dataValidation>
    <dataValidation type="list" allowBlank="1" showInputMessage="1" showErrorMessage="1" sqref="C1" xr:uid="{00000000-0002-0000-2100-000002000000}">
      <formula1>项目类型</formula1>
    </dataValidation>
    <dataValidation type="list" allowBlank="1" showInputMessage="1" showErrorMessage="1" sqref="J47" xr:uid="{00000000-0002-0000-2100-000003000000}">
      <formula1>"钢,钢混,砖混"</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56" xr:uid="{00000000-0002-0000-2100-000005000000}">
      <formula1>估价范围判定</formula1>
    </dataValidation>
    <dataValidation type="list" allowBlank="1" showInputMessage="1" showErrorMessage="1" sqref="L55" xr:uid="{00000000-0002-0000-2100-000006000000}">
      <formula1>"比较法,基准地价,收益还原"</formula1>
    </dataValidation>
    <dataValidation type="list" allowBlank="1" showInputMessage="1" showErrorMessage="1" sqref="M10 F10 F53"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67" zoomScale="70" zoomScaleNormal="80" zoomScaleSheetLayoutView="70" workbookViewId="0">
      <selection activeCell="Q83" sqref="Q8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3" t="s">
        <v>1926</v>
      </c>
      <c r="B1" s="194"/>
      <c r="C1" s="198" t="s">
        <v>1927</v>
      </c>
      <c r="D1" s="339">
        <f>SUM(D33:D34,D37:D42)</f>
        <v>17437.989999999998</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8" t="s">
        <v>1934</v>
      </c>
      <c r="B2" s="201">
        <f>C30</f>
        <v>3610</v>
      </c>
      <c r="C2" s="1993" t="s">
        <v>1935</v>
      </c>
      <c r="D2" s="1994" t="s">
        <v>1936</v>
      </c>
      <c r="E2" s="3416" t="s">
        <v>3</v>
      </c>
      <c r="F2" s="1994" t="s">
        <v>1937</v>
      </c>
      <c r="G2" s="1995" t="str">
        <f>IF(E2="商业",项目基本情况!B37,IF(E2="办公",项目基本情况!C37,IF(E2="住宅",项目基本情况!D37,IF(E2="工业",项目基本情况!E37,项目基本情况!F37))))</f>
        <v>六级</v>
      </c>
      <c r="H2" s="1994" t="s">
        <v>1938</v>
      </c>
      <c r="I2" s="1995" t="str">
        <f>IF(E2="商业",项目基本情况!B38,IF(E2="办公",项目基本情况!C38,IF(E2="住宅",项目基本情况!D38,IF(E2="工业",项目基本情况!E38,项目基本情况!F38))))</f>
        <v>Ⅵ-BDA核心</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1.5019</v>
      </c>
      <c r="T2" s="3355">
        <f t="shared" ref="T2:T16" si="0">ROUND($C$5*$C$22*$C$23*$C$24*S2*$C$28,0)</f>
        <v>3056</v>
      </c>
      <c r="U2" s="1207"/>
      <c r="V2" s="3355">
        <f>ROUND(T2*U2/10000,0)</f>
        <v>0</v>
      </c>
      <c r="W2" s="1210"/>
      <c r="X2" s="1210"/>
      <c r="Y2" s="1210"/>
      <c r="Z2" s="1210"/>
      <c r="AA2" s="1210"/>
      <c r="AB2" s="1210"/>
      <c r="AC2" s="1211"/>
      <c r="AD2" s="1212"/>
      <c r="AE2" s="1212"/>
      <c r="AF2" s="1212"/>
      <c r="AG2" s="1212"/>
      <c r="AH2" s="1212"/>
      <c r="AI2" s="1212"/>
      <c r="AJ2" s="1213"/>
    </row>
    <row r="3" spans="1:36" ht="15.75">
      <c r="A3" s="200" t="s">
        <v>1940</v>
      </c>
      <c r="B3" s="201">
        <f>ROUND(B2*10000/D1,0)</f>
        <v>2070</v>
      </c>
      <c r="C3" s="1993" t="s">
        <v>1941</v>
      </c>
      <c r="D3" s="1994" t="s">
        <v>1942</v>
      </c>
      <c r="E3" s="3414" t="s">
        <v>2472</v>
      </c>
      <c r="F3" s="1998" t="s">
        <v>3399</v>
      </c>
      <c r="G3" s="746">
        <f>IF(F3="宗地容积率",'数据-汇总表'!I4,IF(F3="估价对象容积率",'数据-汇总表'!I6,'数据-汇总表'!I7))</f>
        <v>1.1399999999999999</v>
      </c>
      <c r="H3" s="167"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1.1838</v>
      </c>
      <c r="T3" s="3355">
        <f t="shared" si="0"/>
        <v>2409</v>
      </c>
      <c r="U3" s="1207"/>
      <c r="V3" s="3355">
        <f t="shared" ref="V3:V16" si="1">ROUND(T3*U3/10000,0)</f>
        <v>0</v>
      </c>
      <c r="W3" s="1210"/>
      <c r="X3" s="1210"/>
      <c r="Y3" s="1210"/>
      <c r="Z3" s="1210"/>
      <c r="AA3" s="1210"/>
      <c r="AB3" s="1210"/>
      <c r="AC3" s="1211"/>
      <c r="AD3" s="1212"/>
      <c r="AE3" s="1212"/>
      <c r="AF3" s="1212"/>
      <c r="AG3" s="1212"/>
      <c r="AH3" s="1212"/>
      <c r="AI3" s="1212"/>
      <c r="AJ3" s="1213"/>
    </row>
    <row r="4" spans="1:36" ht="15.75">
      <c r="A4" s="3778"/>
      <c r="B4" s="3779"/>
      <c r="C4" s="3779"/>
      <c r="D4" s="3780"/>
      <c r="E4" s="3780"/>
      <c r="F4" s="3780"/>
      <c r="G4" s="3780"/>
      <c r="H4" s="3780"/>
      <c r="I4" s="3780"/>
      <c r="J4" s="3781"/>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1.0004999999999999</v>
      </c>
      <c r="T4" s="3355">
        <f t="shared" si="0"/>
        <v>2036</v>
      </c>
      <c r="U4" s="1207"/>
      <c r="V4" s="3355">
        <f t="shared" si="1"/>
        <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f>ROUND(IF(E2="商业",C6*C7*C17+C20,(IF(E2="住宅",C6*C13*C17+C20,IF(E2="办公",C6*C12*C17+C20,C6+C20)))),0)</f>
        <v>2298</v>
      </c>
      <c r="D5" s="1333">
        <f>ROUND(C6*C17+C20,0)</f>
        <v>2298</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0.88239999999999996</v>
      </c>
      <c r="T5" s="3355">
        <f t="shared" si="0"/>
        <v>1796</v>
      </c>
      <c r="U5" s="1207"/>
      <c r="V5" s="3355">
        <f t="shared" si="1"/>
        <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2340</v>
      </c>
      <c r="D6" s="2011"/>
      <c r="E6" s="2012"/>
      <c r="F6" s="2012"/>
      <c r="G6" s="2013"/>
      <c r="H6" s="2013"/>
      <c r="I6" s="2013"/>
      <c r="J6" s="2014"/>
      <c r="K6" s="1378"/>
      <c r="L6" s="1997" t="s">
        <v>1951</v>
      </c>
      <c r="M6" s="858">
        <f>SUMPRODUCT((区片价!B127:B189=I2)*(区片价!C3:G3=E2)*(区片价!C127:G189))</f>
        <v>2340</v>
      </c>
      <c r="N6" s="860">
        <f>SUMPRODUCT((因素修正幅度!B127:B189=I2)*(因素修正幅度!C3:G3=E2)*(因素修正幅度!C127:G189))</f>
        <v>0.05</v>
      </c>
      <c r="O6" s="1113"/>
      <c r="P6" s="1113"/>
      <c r="Q6" s="1113"/>
      <c r="R6" s="1206">
        <v>5</v>
      </c>
      <c r="S6" s="3355">
        <f>ROUND(SUMPRODUCT((B106:B110=R6)*(C105:N105=G2)*(C106:N110)),4)</f>
        <v>0.84799999999999998</v>
      </c>
      <c r="T6" s="3355">
        <f t="shared" si="0"/>
        <v>1726</v>
      </c>
      <c r="U6" s="1207"/>
      <c r="V6" s="3355">
        <f t="shared" si="1"/>
        <v>0</v>
      </c>
      <c r="W6" s="1210"/>
      <c r="X6" s="1210"/>
      <c r="Y6" s="1210"/>
      <c r="Z6" s="1210"/>
      <c r="AA6" s="1210"/>
      <c r="AB6" s="1210"/>
      <c r="AC6" s="2005"/>
      <c r="AD6" s="2006"/>
      <c r="AE6" s="2006"/>
      <c r="AF6" s="2006"/>
      <c r="AG6" s="2006"/>
      <c r="AH6" s="2006"/>
      <c r="AI6" s="2006"/>
      <c r="AJ6" s="2007"/>
    </row>
    <row r="7" spans="1:36" ht="24.75" thickBot="1">
      <c r="A7" s="3298" t="s">
        <v>3230</v>
      </c>
      <c r="B7" s="2015" t="s">
        <v>1952</v>
      </c>
      <c r="C7" s="749" t="e">
        <f>IF(C8="不临65条商业街",1,ROUND(1+(1.6*E8+1.2*E9+0.8*E10+0.4*E11)*C9,4))</f>
        <v>#DIV/0!</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f t="shared" si="0"/>
        <v>0</v>
      </c>
      <c r="U7" s="1207"/>
      <c r="V7" s="3355">
        <f t="shared" si="1"/>
        <v>0</v>
      </c>
      <c r="W7" s="1352" t="s">
        <v>1955</v>
      </c>
      <c r="X7" s="1208" t="str">
        <f>G2</f>
        <v>六级</v>
      </c>
      <c r="Y7" s="1208" t="s">
        <v>1956</v>
      </c>
      <c r="Z7" s="1209">
        <f>G3</f>
        <v>1.1399999999999999</v>
      </c>
      <c r="AA7" s="1210"/>
      <c r="AB7" s="1210"/>
      <c r="AC7" s="1211"/>
      <c r="AD7" s="1212"/>
      <c r="AE7" s="1212"/>
      <c r="AF7" s="1212"/>
      <c r="AG7" s="1212"/>
      <c r="AH7" s="1212"/>
      <c r="AI7" s="1212"/>
      <c r="AJ7" s="1213"/>
    </row>
    <row r="8" spans="1:36" ht="15">
      <c r="A8" s="3293"/>
      <c r="B8" s="167" t="s">
        <v>1957</v>
      </c>
      <c r="C8" s="2020"/>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f t="shared" si="0"/>
        <v>0</v>
      </c>
      <c r="U8" s="1207"/>
      <c r="V8" s="3355">
        <f t="shared" si="1"/>
        <v>0</v>
      </c>
      <c r="W8" s="3775" t="s">
        <v>1960</v>
      </c>
      <c r="X8" s="3776"/>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7" t="s">
        <v>1973</v>
      </c>
      <c r="C9" s="752">
        <f>SUMIF(修正!C71:C138,C8,修正!E71:E138)</f>
        <v>0</v>
      </c>
      <c r="D9" s="168" t="s">
        <v>113</v>
      </c>
      <c r="E9" s="168"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f t="shared" si="0"/>
        <v>0</v>
      </c>
      <c r="U9" s="1207"/>
      <c r="V9" s="3355">
        <f t="shared" si="1"/>
        <v>0</v>
      </c>
      <c r="W9" s="3777"/>
      <c r="X9" s="3356" t="s">
        <v>3261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7" t="s">
        <v>1976</v>
      </c>
      <c r="C10" s="168">
        <f>SUMIF(修正!C71:C138,C8,修正!F71:F138)</f>
        <v>0</v>
      </c>
      <c r="D10" s="168" t="s">
        <v>114</v>
      </c>
      <c r="E10" s="168"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f t="shared" si="0"/>
        <v>0</v>
      </c>
      <c r="U10" s="1207"/>
      <c r="V10" s="3355">
        <f t="shared" si="1"/>
        <v>0</v>
      </c>
      <c r="W10" s="377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f t="shared" si="0"/>
        <v>0</v>
      </c>
      <c r="U11" s="1207"/>
      <c r="V11" s="3355">
        <f t="shared" si="1"/>
        <v>0</v>
      </c>
      <c r="W11" s="1210"/>
      <c r="X11" s="1210"/>
      <c r="Y11" s="1210"/>
      <c r="Z11" s="1210"/>
      <c r="AA11" s="1210"/>
      <c r="AB11" s="1210"/>
      <c r="AC11" s="1211"/>
      <c r="AD11" s="2783"/>
      <c r="AE11" s="2783"/>
      <c r="AF11" s="2783"/>
      <c r="AG11" s="2783"/>
      <c r="AH11" s="2783"/>
      <c r="AI11" s="2783"/>
      <c r="AJ11" s="2784"/>
    </row>
    <row r="12" spans="1:36" ht="25.5" thickBot="1">
      <c r="A12" s="3298" t="s">
        <v>3231</v>
      </c>
      <c r="B12" s="3299" t="s">
        <v>3232</v>
      </c>
      <c r="C12" s="3300"/>
      <c r="D12" s="3301" t="s">
        <v>3233</v>
      </c>
      <c r="E12" s="3302" t="s">
        <v>3234</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f t="shared" si="0"/>
        <v>0</v>
      </c>
      <c r="U12" s="1207"/>
      <c r="V12" s="3355">
        <f t="shared" si="1"/>
        <v>0</v>
      </c>
      <c r="W12" s="1210"/>
      <c r="X12" s="1210"/>
      <c r="Y12" s="1210"/>
      <c r="Z12" s="1210"/>
      <c r="AA12" s="1210"/>
      <c r="AB12" s="1210"/>
      <c r="AC12" s="1211"/>
      <c r="AD12" s="2783"/>
      <c r="AE12" s="2783"/>
      <c r="AF12" s="2783"/>
      <c r="AG12" s="2783"/>
      <c r="AH12" s="2783"/>
      <c r="AI12" s="2783"/>
      <c r="AJ12" s="2784"/>
    </row>
    <row r="13" spans="1:36" ht="15.75" thickBot="1">
      <c r="A13" s="3298" t="s">
        <v>3235</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f t="shared" si="0"/>
        <v>0</v>
      </c>
      <c r="U13" s="1207"/>
      <c r="V13" s="3355">
        <f t="shared" si="1"/>
        <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3236</v>
      </c>
      <c r="G14" s="3306" t="s">
        <v>3236</v>
      </c>
      <c r="H14" s="3306" t="s">
        <v>3236</v>
      </c>
      <c r="I14" s="3306" t="s">
        <v>3236</v>
      </c>
      <c r="J14" s="3306" t="s">
        <v>3236</v>
      </c>
      <c r="K14" s="1113"/>
      <c r="L14" s="1113"/>
      <c r="M14" s="1113"/>
      <c r="N14" s="1113"/>
      <c r="O14" s="1113"/>
      <c r="P14" s="1113"/>
      <c r="Q14" s="1113"/>
      <c r="R14" s="1206">
        <v>13</v>
      </c>
      <c r="S14" s="1207"/>
      <c r="T14" s="3355">
        <f t="shared" si="0"/>
        <v>0</v>
      </c>
      <c r="U14" s="1207"/>
      <c r="V14" s="3355">
        <f t="shared" si="1"/>
        <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3237</v>
      </c>
      <c r="G15" s="3308"/>
      <c r="H15" s="3309"/>
      <c r="I15" s="3310"/>
      <c r="J15" s="3311"/>
      <c r="K15" s="1113"/>
      <c r="L15" s="1113"/>
      <c r="M15" s="1113"/>
      <c r="N15" s="1113"/>
      <c r="O15" s="1113"/>
      <c r="P15" s="1113"/>
      <c r="Q15" s="1113"/>
      <c r="R15" s="1206">
        <v>14</v>
      </c>
      <c r="S15" s="1207"/>
      <c r="T15" s="3355">
        <f t="shared" si="0"/>
        <v>0</v>
      </c>
      <c r="U15" s="1207"/>
      <c r="V15" s="3355">
        <f t="shared" si="1"/>
        <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f t="shared" si="0"/>
        <v>0</v>
      </c>
      <c r="U16" s="1207"/>
      <c r="V16" s="3355">
        <f t="shared" si="1"/>
        <v>0</v>
      </c>
      <c r="W16" s="1210"/>
      <c r="X16" s="1210"/>
      <c r="Y16" s="1210"/>
      <c r="Z16" s="1210"/>
      <c r="AA16" s="1210"/>
      <c r="AB16" s="1210"/>
      <c r="AC16" s="1211"/>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3241</v>
      </c>
      <c r="E18" s="3323"/>
      <c r="F18" s="3318" t="s">
        <v>3244</v>
      </c>
      <c r="G18" s="3322">
        <f>ROUND(1-(1/(POWER(1+G24,E18))),4)</f>
        <v>0</v>
      </c>
      <c r="H18" s="3318" t="s">
        <v>3246</v>
      </c>
      <c r="I18" s="3322">
        <f>ROUND(1-(1/(POWER(1+G24,J24))),4)</f>
        <v>0.91279999999999994</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3242</v>
      </c>
      <c r="E19" s="3332"/>
      <c r="F19" s="3333" t="s">
        <v>3245</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782" t="s">
        <v>3247</v>
      </c>
      <c r="B20" s="164" t="s">
        <v>1994</v>
      </c>
      <c r="C20" s="3319">
        <f>ROUND(IF(F21="与级别开发程度一致",0,(G21-E21)/C21),0)</f>
        <v>-42</v>
      </c>
      <c r="D20" s="3335" t="s">
        <v>1998</v>
      </c>
      <c r="E20" s="3336"/>
      <c r="F20" s="3788" t="s">
        <v>1995</v>
      </c>
      <c r="G20" s="3789"/>
      <c r="H20" s="3320" t="s">
        <v>3491</v>
      </c>
      <c r="I20" s="3320" t="s">
        <v>3492</v>
      </c>
      <c r="J20" s="3321" t="s">
        <v>3493</v>
      </c>
      <c r="K20" s="2041" t="s">
        <v>3494</v>
      </c>
      <c r="L20" s="2041" t="s">
        <v>3495</v>
      </c>
      <c r="M20" s="2041" t="s">
        <v>3496</v>
      </c>
      <c r="N20" s="2041" t="s">
        <v>3497</v>
      </c>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26.25" thickBot="1">
      <c r="A21" s="3783"/>
      <c r="B21" s="2158" t="s">
        <v>1997</v>
      </c>
      <c r="C21" s="2159">
        <f>IF(E3="M4科研用地",SUMPRODUCT((修正!A2:A7=E3)*(修正!B1:M1=G2)*(修正!B2:M7)),SUMPRODUCT((修正!A2:A7=E2)*(修正!B1:M1=G2)*(修正!B2:M7)))</f>
        <v>1.2</v>
      </c>
      <c r="D21" s="184" t="str">
        <f>IF(OR(G2="八级",G2="九级",G2="十级",G2="十一级",G2="十二级"),"五通一平","七通一平")</f>
        <v>七通一平</v>
      </c>
      <c r="E21" s="2149">
        <f>SUMPRODUCT((修正!B1:M1=G2)*(修正!B17:M17))</f>
        <v>315</v>
      </c>
      <c r="F21" s="2150" t="s">
        <v>3490</v>
      </c>
      <c r="G21" s="2151">
        <f>SUM(H21:O21)</f>
        <v>265</v>
      </c>
      <c r="H21" s="2159">
        <f>SUMPRODUCT((七通一平=H20)*(修正!B1:M1=G2)*(修正!B8:M16))</f>
        <v>70</v>
      </c>
      <c r="I21" s="2159">
        <f>SUMPRODUCT((七通一平=I20)*(修正!B1:M1=G2)*(修正!B8:M16))</f>
        <v>60</v>
      </c>
      <c r="J21" s="2160">
        <f>SUMPRODUCT((七通一平=J20)*(修正!B1:M1=G2)*(修正!B8:M16))</f>
        <v>15</v>
      </c>
      <c r="K21" s="2159">
        <f>SUMPRODUCT((七通一平=K20)*(修正!B1:M1=G2)*(修正!B8:M16))</f>
        <v>25</v>
      </c>
      <c r="L21" s="2159">
        <f>SUMPRODUCT((七通一平=L20)*(修正!B1:M1=G2)*(修正!B8:M16))</f>
        <v>40</v>
      </c>
      <c r="M21" s="2159">
        <f>SUMPRODUCT((七通一平=M20)*(修正!B1:M1=G2)*(修正!B8:M16))</f>
        <v>40</v>
      </c>
      <c r="N21" s="2159">
        <f>SUMPRODUCT((七通一平=N20)*(修正!B1:M1=G2)*(修正!B8:M16))</f>
        <v>15</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SUMIF(修正!C20:C51,E3,修正!E20:E51)</f>
        <v>1</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26.25" thickBot="1">
      <c r="A23" s="2044" t="s">
        <v>364</v>
      </c>
      <c r="B23" s="2045" t="s">
        <v>2001</v>
      </c>
      <c r="C23" s="75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2048" t="s">
        <v>2002</v>
      </c>
      <c r="E23" s="755">
        <v>44197</v>
      </c>
      <c r="F23" s="2048" t="s">
        <v>2003</v>
      </c>
      <c r="G23" s="756">
        <f>'数据-取费表'!B2</f>
        <v>45539</v>
      </c>
      <c r="H23" s="3337" t="s">
        <v>3249</v>
      </c>
      <c r="I23" s="3338" t="str">
        <f>IF(H23="季度增幅（自定义）",SUMIF(N25:N28,E2,O25:O28),"")</f>
        <v/>
      </c>
      <c r="J23" s="3440" t="s">
        <v>3248</v>
      </c>
      <c r="K23" s="1119"/>
      <c r="L23" s="2049" t="s">
        <v>2004</v>
      </c>
      <c r="M23" s="1322">
        <f>ROUND(SUMIF(地价!B2:G2,E2,地价!B16:G16),0)</f>
        <v>318</v>
      </c>
      <c r="N23" s="2050" t="s">
        <v>2005</v>
      </c>
      <c r="O23" s="757">
        <f>ROUNDDOWN(DATEDIF(E23,G23,"M")/3,0)</f>
        <v>14</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f>ROUND(POWER(1+G24,J24-I24)*(POWER(1+G24,I24)-1)/(POWER(1+G24,J24)-1),4)</f>
        <v>0.79469999999999996</v>
      </c>
      <c r="D24" s="2054" t="s">
        <v>2007</v>
      </c>
      <c r="E24" s="1329">
        <f>存贷款利率!E26/100</f>
        <v>4.3499999999999997E-2</v>
      </c>
      <c r="F24" s="2054" t="s">
        <v>1999</v>
      </c>
      <c r="G24" s="762">
        <f>SUMIF(M30:Q30,E2,M33:Q33)</f>
        <v>0.05</v>
      </c>
      <c r="H24" s="2054" t="s">
        <v>2008</v>
      </c>
      <c r="I24" s="763">
        <f>SUMIF('数据-取费表'!C6:C15,E2,'数据-取费表'!F6:F15)/COUNTIF('数据-取费表'!C6:C15,E2)</f>
        <v>26.49</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3328</v>
      </c>
      <c r="C25" s="765">
        <f>IF(B25="容积率修正",IF(G3&lt;10,D26,J26),C27)</f>
        <v>1.0169999999999999</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3250</v>
      </c>
      <c r="D26" s="1346">
        <f>IF(E26=G26,F26,IF(G3&lt;10,ROUND(F26+(H26-F26)*(G3-E26)/(G26-E26),4),"——"))</f>
        <v>1.0169999999999999</v>
      </c>
      <c r="E26" s="746">
        <f>ROUNDDOWN(G3,1)</f>
        <v>1.1000000000000001</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746">
        <f>ROUNDUP(G3,1)</f>
        <v>1.2000000000000002</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3251</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1.0279</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f>IF(B25="容积率修正",E33+SUM(E37:E42),SUM(V2:V16)+SUM(E37:E42))</f>
        <v>3610</v>
      </c>
      <c r="D30" s="2077"/>
      <c r="E30" s="2040"/>
      <c r="F30" s="2078"/>
      <c r="G30" s="2040"/>
      <c r="H30" s="2040"/>
      <c r="I30" s="2040"/>
      <c r="J30" s="2079"/>
      <c r="K30" s="1113"/>
      <c r="L30" s="3345" t="s">
        <v>1936</v>
      </c>
      <c r="M30" s="3346" t="s">
        <v>1990</v>
      </c>
      <c r="N30" s="3346" t="s">
        <v>1991</v>
      </c>
      <c r="O30" s="3346" t="s">
        <v>1992</v>
      </c>
      <c r="P30" s="3346" t="s">
        <v>1993</v>
      </c>
      <c r="Q30" s="3349" t="s">
        <v>3255</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f>E34+SUM(I37:I42)</f>
        <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2">
        <f>ROUND(C5*C22*C23*C24*C25*C28,0)</f>
        <v>2070</v>
      </c>
      <c r="D33" s="2092">
        <f>'数据-汇总表'!F19</f>
        <v>17437.989999999998</v>
      </c>
      <c r="E33" s="767">
        <f>ROUND(C33*D33/10000,0)</f>
        <v>3610</v>
      </c>
      <c r="F33" s="3340" t="s">
        <v>3253</v>
      </c>
      <c r="G33" s="2093"/>
      <c r="H33" s="2093"/>
      <c r="I33" s="2093"/>
      <c r="J33" s="2094"/>
      <c r="K33" s="1113"/>
      <c r="L33" s="3343" t="s">
        <v>3256</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4">
        <f>ROUND(IF(E2="工业",C33*M42,IF(B25="楼层修正",SUM(V2:V16)*M41*10000/D34,C33*M41)),0)</f>
        <v>311</v>
      </c>
      <c r="D34" s="2097"/>
      <c r="E34" s="767">
        <f>ROUND(IF(B25="楼层修正",SUM(V2:V16)*M40,C34*D34/10000),0)</f>
        <v>0</v>
      </c>
      <c r="F34" s="2098" t="s">
        <v>2032</v>
      </c>
      <c r="G34" s="2099"/>
      <c r="H34" s="2099"/>
      <c r="I34" s="2099"/>
      <c r="J34" s="2100"/>
      <c r="K34" s="1113"/>
      <c r="L34" s="3343" t="s">
        <v>3257</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3254</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7" t="s">
        <v>2027</v>
      </c>
      <c r="D36" s="444" t="s">
        <v>2028</v>
      </c>
      <c r="E36" s="444" t="s">
        <v>2029</v>
      </c>
      <c r="F36" s="339" t="s">
        <v>2035</v>
      </c>
      <c r="G36" s="2106" t="s">
        <v>2027</v>
      </c>
      <c r="H36" s="2106" t="s">
        <v>2028</v>
      </c>
      <c r="I36" s="2106" t="s">
        <v>2029</v>
      </c>
      <c r="J36" s="240"/>
      <c r="K36" s="3351" t="s">
        <v>3258</v>
      </c>
      <c r="L36" s="3441">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786"/>
      <c r="B37" s="2107" t="s">
        <v>2036</v>
      </c>
      <c r="C37" s="172">
        <f>ROUND(D5*C22*C23*C24*C28*F37,0)</f>
        <v>1221</v>
      </c>
      <c r="D37" s="2092"/>
      <c r="E37" s="168">
        <f>ROUND(C37*D37/10000,0)</f>
        <v>0</v>
      </c>
      <c r="F37" s="168">
        <f>SUMIF(修正!A57:A68,G2,修正!B57:B68)</f>
        <v>0.6</v>
      </c>
      <c r="G37" s="168">
        <f>ROUND(IF(E2="工业",C37*$M$42,C37*$M$41),0)</f>
        <v>183</v>
      </c>
      <c r="H37" s="168">
        <f>D37</f>
        <v>0</v>
      </c>
      <c r="I37" s="168">
        <f>ROUND(G37*H37/10000,0)</f>
        <v>0</v>
      </c>
      <c r="J37" s="3006"/>
      <c r="K37" s="3353" t="s">
        <v>3259</v>
      </c>
      <c r="L37" s="3351">
        <f ca="1">L36+K38</f>
        <v>3.85E-2</v>
      </c>
      <c r="M37" s="3352">
        <f ca="1">ROUND($L$37*(1+M31),3)</f>
        <v>4.8000000000000001E-2</v>
      </c>
      <c r="N37" s="3352">
        <f t="shared" ref="N37:Q37" ca="1" si="3">ROUND($L$37*(1+N31),3)</f>
        <v>4.5999999999999999E-2</v>
      </c>
      <c r="O37" s="3352">
        <f t="shared" ca="1" si="3"/>
        <v>4.3999999999999997E-2</v>
      </c>
      <c r="P37" s="3352">
        <f t="shared" ca="1" si="3"/>
        <v>4.2000000000000003E-2</v>
      </c>
      <c r="Q37" s="3352">
        <f t="shared" ca="1" si="3"/>
        <v>4.3999999999999997E-2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787"/>
      <c r="B38" s="2035" t="s">
        <v>2037</v>
      </c>
      <c r="C38" s="172">
        <f>ROUND(D5*C22*C23*C24*C28*F38,0)</f>
        <v>611</v>
      </c>
      <c r="D38" s="2092"/>
      <c r="E38" s="168">
        <f t="shared" ref="E38:E42" si="4">ROUND(C38*D38/10000,0)</f>
        <v>0</v>
      </c>
      <c r="F38" s="168">
        <f>SUMIF(修正!A57:A68,G2,修正!C57:C68)</f>
        <v>0.3</v>
      </c>
      <c r="G38" s="168">
        <f>ROUND(IF(E2="工业",C38*$M$42,C38*$M$41),0)</f>
        <v>92</v>
      </c>
      <c r="H38" s="168">
        <f t="shared" ref="H38:H42" si="5">D38</f>
        <v>0</v>
      </c>
      <c r="I38" s="168">
        <f t="shared" ref="I38:I42" si="6">ROUND(G38*H38/10000,0)</f>
        <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787"/>
      <c r="B39" s="2035" t="s">
        <v>3252</v>
      </c>
      <c r="C39" s="172">
        <f>ROUND(D5*C22*C23*C24*C28*F39,0)</f>
        <v>509</v>
      </c>
      <c r="D39" s="2092"/>
      <c r="E39" s="168">
        <f t="shared" si="4"/>
        <v>0</v>
      </c>
      <c r="F39" s="168">
        <f>SUMIF(修正!A57:A68,G2,修正!D57:D68)</f>
        <v>0.25</v>
      </c>
      <c r="G39" s="168">
        <f>ROUND(IF(E2="工业",C39*$M$42,C39*$M$41),0)</f>
        <v>76</v>
      </c>
      <c r="H39" s="168">
        <f t="shared" si="5"/>
        <v>0</v>
      </c>
      <c r="I39" s="168">
        <f t="shared" si="6"/>
        <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8">
        <f>ROUND(D5*C22*C23*C24*C28*F40,0)</f>
        <v>509</v>
      </c>
      <c r="D40" s="2092"/>
      <c r="E40" s="168">
        <f t="shared" si="4"/>
        <v>0</v>
      </c>
      <c r="F40" s="172">
        <f>SUMIF(修正!A57:A68,G2,修正!E57:E68)</f>
        <v>0.25</v>
      </c>
      <c r="G40" s="168">
        <f>ROUND(IF(E2="工业",C40*$M$42,C40*$M$41),0)</f>
        <v>76</v>
      </c>
      <c r="H40" s="168">
        <f t="shared" si="5"/>
        <v>0</v>
      </c>
      <c r="I40" s="168">
        <f t="shared" si="6"/>
        <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8">
        <f>ROUND(D5*C22*C23*C44*C28*F41,0)</f>
        <v>509</v>
      </c>
      <c r="D41" s="2092"/>
      <c r="E41" s="168">
        <f t="shared" si="4"/>
        <v>0</v>
      </c>
      <c r="F41" s="172">
        <f>SUMIF(修正!A57:A68,G2,修正!F57:F68)</f>
        <v>0.25</v>
      </c>
      <c r="G41" s="168">
        <f>ROUND(IF(E2="工业",C41*$M$42,C41*$M$41),0)</f>
        <v>76</v>
      </c>
      <c r="H41" s="168">
        <f t="shared" si="5"/>
        <v>0</v>
      </c>
      <c r="I41" s="168">
        <f t="shared" si="6"/>
        <v>0</v>
      </c>
      <c r="J41" s="2108"/>
      <c r="L41" s="3354" t="s">
        <v>3260</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4">
        <f>ROUND(D5*C22*C23*C44*C28*F42,0)</f>
        <v>305</v>
      </c>
      <c r="D42" s="2097"/>
      <c r="E42" s="184">
        <f t="shared" si="4"/>
        <v>0</v>
      </c>
      <c r="F42" s="761">
        <f>SUMIF(修正!A57:A68,G2,修正!G57:G68)</f>
        <v>0.15</v>
      </c>
      <c r="G42" s="184">
        <f>ROUND(IF(E2="工业",C42*$M$42,C42*$M$41),0)</f>
        <v>46</v>
      </c>
      <c r="H42" s="184">
        <f t="shared" si="5"/>
        <v>0</v>
      </c>
      <c r="I42" s="184">
        <f t="shared" si="6"/>
        <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2122</v>
      </c>
      <c r="C44" s="339">
        <f>ROUND(POWER(1+E44,H44-G44)*(POWER(1+E44,G44)-1)/(POWER(1+E44,H44)-1),4)</f>
        <v>0.79469999999999996</v>
      </c>
      <c r="D44" s="168" t="s">
        <v>1999</v>
      </c>
      <c r="E44" s="2147">
        <f>G24</f>
        <v>0.05</v>
      </c>
      <c r="F44" s="168" t="s">
        <v>2008</v>
      </c>
      <c r="G44" s="180">
        <f>项目基本情况!H15</f>
        <v>26.49</v>
      </c>
      <c r="H44" s="168">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49" t="s">
        <v>1721</v>
      </c>
      <c r="K49" s="549" t="s">
        <v>1722</v>
      </c>
      <c r="L49" s="549" t="s">
        <v>1723</v>
      </c>
      <c r="M49" s="549" t="s">
        <v>1724</v>
      </c>
      <c r="N49" s="549" t="s">
        <v>1725</v>
      </c>
      <c r="AA49" s="1114"/>
      <c r="AB49" s="1114"/>
      <c r="AC49" s="1114"/>
      <c r="AD49" s="1114"/>
      <c r="AE49" s="1114"/>
      <c r="AF49" s="1114"/>
      <c r="AG49" s="1114"/>
      <c r="AH49" s="1114"/>
      <c r="AI49" s="1114"/>
      <c r="AJ49" s="1114"/>
      <c r="AK49" s="1114"/>
    </row>
    <row r="50" spans="1:37" s="1113" customFormat="1" ht="24.75">
      <c r="A50" s="2124" t="s">
        <v>2052</v>
      </c>
      <c r="B50" s="2127">
        <f>估价对象房地状况!C4</f>
        <v>0</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14.25">
      <c r="A51" s="2124" t="s">
        <v>2053</v>
      </c>
      <c r="B51" s="2128">
        <f>估价对象房地状况!C18</f>
        <v>0</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3262</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4">
      <c r="A56" s="2131" t="s">
        <v>2059</v>
      </c>
      <c r="B56" s="1320">
        <f>估价对象房地状况!C21</f>
        <v>0</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4">
      <c r="A57" s="2131" t="s">
        <v>2060</v>
      </c>
      <c r="B57" s="2128">
        <f>估价对象房地状况!C22</f>
        <v>0</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4.75" thickBot="1">
      <c r="A58" s="2132" t="s">
        <v>2061</v>
      </c>
      <c r="B58" s="2133">
        <f>估价对象房地状况!C20</f>
        <v>0</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49" t="s">
        <v>1721</v>
      </c>
      <c r="K60" s="549" t="s">
        <v>1722</v>
      </c>
      <c r="L60" s="549" t="s">
        <v>1723</v>
      </c>
      <c r="M60" s="549" t="s">
        <v>1724</v>
      </c>
      <c r="N60" s="549" t="s">
        <v>1725</v>
      </c>
      <c r="AA60" s="1114"/>
      <c r="AB60" s="1114"/>
      <c r="AC60" s="1114"/>
      <c r="AD60" s="1114"/>
      <c r="AE60" s="1114"/>
      <c r="AF60" s="1114"/>
      <c r="AG60" s="1114"/>
      <c r="AH60" s="1114"/>
      <c r="AI60" s="1114"/>
      <c r="AJ60" s="1114"/>
      <c r="AK60" s="1114"/>
    </row>
    <row r="61" spans="1:37" s="1113" customFormat="1" ht="24">
      <c r="A61" s="2124" t="s">
        <v>2064</v>
      </c>
      <c r="B61" s="2127">
        <f>估价对象房地状况!C17</f>
        <v>0</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14.25">
      <c r="A62" s="2124" t="s">
        <v>2053</v>
      </c>
      <c r="B62" s="2128">
        <f>估价对象房地状况!C18</f>
        <v>0</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3262</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4">
      <c r="A67" s="2124" t="s">
        <v>2059</v>
      </c>
      <c r="B67" s="1320">
        <f>估价对象房地状况!C21</f>
        <v>0</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4">
      <c r="A68" s="2124" t="s">
        <v>2060</v>
      </c>
      <c r="B68" s="1320">
        <f>估价对象房地状况!C22</f>
        <v>0</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4.75" thickBot="1">
      <c r="A69" s="2132" t="s">
        <v>2061</v>
      </c>
      <c r="B69" s="2134">
        <f>估价对象房地状况!C20</f>
        <v>0</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49" t="s">
        <v>1721</v>
      </c>
      <c r="K71" s="549" t="s">
        <v>1722</v>
      </c>
      <c r="L71" s="549" t="s">
        <v>1723</v>
      </c>
      <c r="M71" s="549" t="s">
        <v>1724</v>
      </c>
      <c r="N71" s="549" t="s">
        <v>1725</v>
      </c>
      <c r="AA71" s="1114"/>
      <c r="AB71" s="1114"/>
      <c r="AC71" s="1114"/>
      <c r="AD71" s="1114"/>
      <c r="AE71" s="1114"/>
      <c r="AF71" s="1114"/>
      <c r="AG71" s="1114"/>
      <c r="AH71" s="1114"/>
      <c r="AI71" s="1114"/>
      <c r="AJ71" s="1114"/>
      <c r="AK71" s="1114"/>
    </row>
    <row r="72" spans="1:37" s="1113" customFormat="1" ht="24">
      <c r="A72" s="2124" t="s">
        <v>2066</v>
      </c>
      <c r="B72" s="2127">
        <f>估价对象房地状况!C15</f>
        <v>0</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14.25">
      <c r="A73" s="2124" t="s">
        <v>2053</v>
      </c>
      <c r="B73" s="2128">
        <f>估价对象房地状况!C18</f>
        <v>0</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3262</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4">
      <c r="A76" s="2124" t="s">
        <v>2059</v>
      </c>
      <c r="B76" s="1320">
        <f>估价对象房地状况!C21</f>
        <v>0</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4">
      <c r="A77" s="2124" t="s">
        <v>2060</v>
      </c>
      <c r="B77" s="1320">
        <f>估价对象房地状况!C22</f>
        <v>0</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4">
      <c r="A79" s="2124" t="s">
        <v>2061</v>
      </c>
      <c r="B79" s="2127">
        <f>估价对象房地状况!C20</f>
        <v>0</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1.0279</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49" t="s">
        <v>1721</v>
      </c>
      <c r="K82" s="549" t="s">
        <v>1722</v>
      </c>
      <c r="L82" s="549" t="s">
        <v>1723</v>
      </c>
      <c r="M82" s="549" t="s">
        <v>1724</v>
      </c>
      <c r="N82" s="549" t="s">
        <v>1725</v>
      </c>
      <c r="Z82" s="1992"/>
      <c r="AA82" s="2047"/>
      <c r="AG82" s="1115"/>
      <c r="AK82" s="2047"/>
    </row>
    <row r="83" spans="1:37" ht="24">
      <c r="A83" s="2124" t="s">
        <v>2070</v>
      </c>
      <c r="B83" s="2128">
        <f>估价对象房地状况!G15</f>
        <v>0</v>
      </c>
      <c r="C83" s="2038" t="s">
        <v>3400</v>
      </c>
      <c r="D83" s="1059">
        <f t="shared" ref="D83:D90" si="22">SUMIF($J$82:$N$82,C83,J83:N83)</f>
        <v>6.4999999999999997E-3</v>
      </c>
      <c r="E83" s="738">
        <f>ROUND(SUM(D83:D90),4)</f>
        <v>2.7900000000000001E-2</v>
      </c>
      <c r="F83" s="1808">
        <f>IF(E2="工业",SUMIF(L1:L12,G2,N1:N12),"——")</f>
        <v>0.05</v>
      </c>
      <c r="G83" s="1057">
        <f>H83</f>
        <v>6.4999999999999997E-3</v>
      </c>
      <c r="H83" s="1060">
        <f t="shared" ref="H83:H90" si="23">IFERROR(ROUNDDOWN($F$83*I83/2,4),"——")</f>
        <v>6.4999999999999997E-3</v>
      </c>
      <c r="I83" s="3361">
        <v>0.26</v>
      </c>
      <c r="J83" s="1058">
        <f t="shared" ref="J83:J90" si="24">K83+$G83</f>
        <v>1.2999999999999999E-2</v>
      </c>
      <c r="K83" s="1058">
        <f t="shared" ref="K83:K90" si="25">$L83+$G83</f>
        <v>6.4999999999999997E-3</v>
      </c>
      <c r="L83" s="1058">
        <v>0</v>
      </c>
      <c r="M83" s="1058">
        <f t="shared" ref="M83:N90" si="26">L83-$G83</f>
        <v>-6.4999999999999997E-3</v>
      </c>
      <c r="N83" s="1058">
        <f t="shared" si="26"/>
        <v>-1.2999999999999999E-2</v>
      </c>
      <c r="Z83" s="1992"/>
      <c r="AA83" s="2047"/>
      <c r="AG83" s="1115"/>
      <c r="AK83" s="2047"/>
    </row>
    <row r="84" spans="1:37" ht="14.25">
      <c r="A84" s="2124" t="s">
        <v>2053</v>
      </c>
      <c r="B84" s="2128">
        <f>估价对象房地状况!G16</f>
        <v>0</v>
      </c>
      <c r="C84" s="2038" t="s">
        <v>3400</v>
      </c>
      <c r="D84" s="1059">
        <f t="shared" si="22"/>
        <v>7.4999999999999997E-3</v>
      </c>
      <c r="E84" s="741"/>
      <c r="F84" s="1808"/>
      <c r="G84" s="1057">
        <f t="shared" ref="G84:G90" si="27">H84</f>
        <v>7.4999999999999997E-3</v>
      </c>
      <c r="H84" s="1060">
        <f t="shared" si="23"/>
        <v>7.4999999999999997E-3</v>
      </c>
      <c r="I84" s="3361">
        <v>0.3</v>
      </c>
      <c r="J84" s="1058">
        <f t="shared" si="24"/>
        <v>1.4999999999999999E-2</v>
      </c>
      <c r="K84" s="1058">
        <f t="shared" si="25"/>
        <v>7.4999999999999997E-3</v>
      </c>
      <c r="L84" s="1058">
        <v>0</v>
      </c>
      <c r="M84" s="1058">
        <f t="shared" si="26"/>
        <v>-7.4999999999999997E-3</v>
      </c>
      <c r="N84" s="1058">
        <f t="shared" si="26"/>
        <v>-1.4999999999999999E-2</v>
      </c>
      <c r="Z84" s="1992"/>
      <c r="AA84" s="2047"/>
      <c r="AG84" s="1115"/>
      <c r="AK84" s="2047"/>
    </row>
    <row r="85" spans="1:37" ht="36">
      <c r="A85" s="3363" t="s">
        <v>3263</v>
      </c>
      <c r="B85" s="2128">
        <f>估价对象房地状况!G17</f>
        <v>0</v>
      </c>
      <c r="C85" s="2038" t="s">
        <v>3400</v>
      </c>
      <c r="D85" s="1059">
        <f t="shared" si="22"/>
        <v>2.5000000000000001E-3</v>
      </c>
      <c r="E85" s="741"/>
      <c r="F85" s="1808"/>
      <c r="G85" s="1057">
        <f t="shared" si="27"/>
        <v>2.5000000000000001E-3</v>
      </c>
      <c r="H85" s="1060">
        <f t="shared" si="23"/>
        <v>2.5000000000000001E-3</v>
      </c>
      <c r="I85" s="3361">
        <v>0.1</v>
      </c>
      <c r="J85" s="1058">
        <f t="shared" si="24"/>
        <v>5.0000000000000001E-3</v>
      </c>
      <c r="K85" s="1058">
        <f t="shared" si="25"/>
        <v>2.5000000000000001E-3</v>
      </c>
      <c r="L85" s="1058">
        <v>0</v>
      </c>
      <c r="M85" s="1058">
        <f t="shared" si="26"/>
        <v>-2.5000000000000001E-3</v>
      </c>
      <c r="N85" s="1058">
        <f t="shared" si="26"/>
        <v>-5.0000000000000001E-3</v>
      </c>
      <c r="Z85" s="1992"/>
      <c r="AA85" s="2047"/>
      <c r="AG85" s="1115"/>
      <c r="AK85" s="2047"/>
    </row>
    <row r="86" spans="1:37" ht="14.25">
      <c r="A86" s="2124" t="s">
        <v>2067</v>
      </c>
      <c r="B86" s="2128">
        <f>估价对象房地状况!G22</f>
        <v>0</v>
      </c>
      <c r="C86" s="2038" t="s">
        <v>3400</v>
      </c>
      <c r="D86" s="1059">
        <f t="shared" si="22"/>
        <v>1.1999999999999999E-3</v>
      </c>
      <c r="E86" s="741"/>
      <c r="F86" s="1808"/>
      <c r="G86" s="1057">
        <f t="shared" si="27"/>
        <v>1.1999999999999999E-3</v>
      </c>
      <c r="H86" s="1060">
        <f t="shared" si="23"/>
        <v>1.1999999999999999E-3</v>
      </c>
      <c r="I86" s="3361">
        <v>0.05</v>
      </c>
      <c r="J86" s="1058">
        <f t="shared" si="24"/>
        <v>2.3999999999999998E-3</v>
      </c>
      <c r="K86" s="1058">
        <f t="shared" si="25"/>
        <v>1.1999999999999999E-3</v>
      </c>
      <c r="L86" s="1058">
        <v>0</v>
      </c>
      <c r="M86" s="1058">
        <f t="shared" si="26"/>
        <v>-1.1999999999999999E-3</v>
      </c>
      <c r="N86" s="1058">
        <f t="shared" si="26"/>
        <v>-2.3999999999999998E-3</v>
      </c>
      <c r="Z86" s="1992"/>
      <c r="AA86" s="2047"/>
      <c r="AG86" s="1115"/>
      <c r="AK86" s="2047"/>
    </row>
    <row r="87" spans="1:37" ht="24">
      <c r="A87" s="2124" t="s">
        <v>2059</v>
      </c>
      <c r="B87" s="1320">
        <f>估价对象房地状况!G19</f>
        <v>0</v>
      </c>
      <c r="C87" s="2038" t="s">
        <v>3400</v>
      </c>
      <c r="D87" s="1059">
        <f t="shared" si="22"/>
        <v>1.5E-3</v>
      </c>
      <c r="E87" s="741"/>
      <c r="F87" s="1808"/>
      <c r="G87" s="1057">
        <f t="shared" si="27"/>
        <v>1.5E-3</v>
      </c>
      <c r="H87" s="1060">
        <f t="shared" si="23"/>
        <v>1.5E-3</v>
      </c>
      <c r="I87" s="3361">
        <v>0.06</v>
      </c>
      <c r="J87" s="1058">
        <f t="shared" si="24"/>
        <v>3.0000000000000001E-3</v>
      </c>
      <c r="K87" s="1058">
        <f t="shared" si="25"/>
        <v>1.5E-3</v>
      </c>
      <c r="L87" s="1058">
        <v>0</v>
      </c>
      <c r="M87" s="1058">
        <f t="shared" si="26"/>
        <v>-1.5E-3</v>
      </c>
      <c r="N87" s="1058">
        <f t="shared" si="26"/>
        <v>-3.0000000000000001E-3</v>
      </c>
    </row>
    <row r="88" spans="1:37" ht="24">
      <c r="A88" s="2124" t="s">
        <v>2060</v>
      </c>
      <c r="B88" s="1320">
        <f>估价对象房地状况!G20</f>
        <v>0</v>
      </c>
      <c r="C88" s="2038" t="s">
        <v>3401</v>
      </c>
      <c r="D88" s="1059">
        <f t="shared" si="22"/>
        <v>6.0000000000000001E-3</v>
      </c>
      <c r="E88" s="741"/>
      <c r="F88" s="1808"/>
      <c r="G88" s="1057">
        <f t="shared" si="27"/>
        <v>3.0000000000000001E-3</v>
      </c>
      <c r="H88" s="1060">
        <f t="shared" si="23"/>
        <v>3.0000000000000001E-3</v>
      </c>
      <c r="I88" s="3361">
        <v>0.12</v>
      </c>
      <c r="J88" s="1058">
        <f t="shared" si="24"/>
        <v>6.0000000000000001E-3</v>
      </c>
      <c r="K88" s="1058">
        <f t="shared" si="25"/>
        <v>3.0000000000000001E-3</v>
      </c>
      <c r="L88" s="1058">
        <v>0</v>
      </c>
      <c r="M88" s="1058">
        <f t="shared" si="26"/>
        <v>-3.0000000000000001E-3</v>
      </c>
      <c r="N88" s="1058">
        <f t="shared" si="26"/>
        <v>-6.0000000000000001E-3</v>
      </c>
    </row>
    <row r="89" spans="1:37" ht="24">
      <c r="A89" s="2124" t="s">
        <v>2057</v>
      </c>
      <c r="B89" s="2130" t="s">
        <v>2071</v>
      </c>
      <c r="C89" s="2038" t="s">
        <v>3400</v>
      </c>
      <c r="D89" s="1059">
        <f t="shared" si="22"/>
        <v>1.5E-3</v>
      </c>
      <c r="E89" s="741"/>
      <c r="F89" s="1808"/>
      <c r="G89" s="1057">
        <f t="shared" si="27"/>
        <v>1.5E-3</v>
      </c>
      <c r="H89" s="1060">
        <f t="shared" si="23"/>
        <v>1.5E-3</v>
      </c>
      <c r="I89" s="3361">
        <v>0.06</v>
      </c>
      <c r="J89" s="1058">
        <f t="shared" si="24"/>
        <v>3.0000000000000001E-3</v>
      </c>
      <c r="K89" s="1058">
        <f t="shared" si="25"/>
        <v>1.5E-3</v>
      </c>
      <c r="L89" s="1058">
        <v>0</v>
      </c>
      <c r="M89" s="1058">
        <f t="shared" si="26"/>
        <v>-1.5E-3</v>
      </c>
      <c r="N89" s="1058">
        <f t="shared" si="26"/>
        <v>-3.0000000000000001E-3</v>
      </c>
    </row>
    <row r="90" spans="1:37" ht="15" thickBot="1">
      <c r="A90" s="2132" t="s">
        <v>2072</v>
      </c>
      <c r="B90" s="2137">
        <f>估价对象房地状况!G18</f>
        <v>0</v>
      </c>
      <c r="C90" s="2038" t="s">
        <v>3400</v>
      </c>
      <c r="D90" s="1059">
        <f t="shared" si="22"/>
        <v>1.1999999999999999E-3</v>
      </c>
      <c r="E90" s="742"/>
      <c r="F90" s="1808"/>
      <c r="G90" s="1057">
        <f t="shared" si="27"/>
        <v>1.1999999999999999E-3</v>
      </c>
      <c r="H90" s="1060">
        <f t="shared" si="23"/>
        <v>1.1999999999999999E-3</v>
      </c>
      <c r="I90" s="3362">
        <v>0.05</v>
      </c>
      <c r="J90" s="1058">
        <f t="shared" si="24"/>
        <v>2.3999999999999998E-3</v>
      </c>
      <c r="K90" s="1058">
        <f t="shared" si="25"/>
        <v>1.1999999999999999E-3</v>
      </c>
      <c r="L90" s="1058">
        <v>0</v>
      </c>
      <c r="M90" s="1058">
        <f t="shared" si="26"/>
        <v>-1.1999999999999999E-3</v>
      </c>
      <c r="N90" s="1058">
        <f t="shared" si="26"/>
        <v>-2.3999999999999998E-3</v>
      </c>
    </row>
    <row r="91" spans="1:37" ht="15">
      <c r="A91" s="3371" t="s">
        <v>2605</v>
      </c>
      <c r="B91" s="3372">
        <f>1+E93</f>
        <v>1</v>
      </c>
      <c r="C91" s="3365"/>
      <c r="D91" s="3366"/>
      <c r="E91" s="1808"/>
      <c r="F91" s="1808"/>
      <c r="G91" s="3367"/>
      <c r="H91" s="3368"/>
      <c r="I91" s="3369"/>
      <c r="J91" s="3370"/>
      <c r="K91" s="3370"/>
      <c r="L91" s="3370"/>
      <c r="M91" s="3370"/>
      <c r="N91" s="3370"/>
    </row>
    <row r="92" spans="1:37" ht="24.75">
      <c r="A92" s="3373" t="s">
        <v>3264</v>
      </c>
      <c r="B92" s="3360"/>
      <c r="C92" s="3360" t="s">
        <v>3273</v>
      </c>
      <c r="D92" s="3360" t="s">
        <v>3274</v>
      </c>
      <c r="E92" s="3342" t="s">
        <v>3275</v>
      </c>
      <c r="F92" s="3375" t="s">
        <v>3276</v>
      </c>
      <c r="G92" s="3360" t="s">
        <v>3277</v>
      </c>
      <c r="H92" s="3382" t="s">
        <v>3280</v>
      </c>
      <c r="I92" s="3360" t="s">
        <v>3281</v>
      </c>
      <c r="J92" s="3383" t="s">
        <v>3282</v>
      </c>
      <c r="K92" s="3383" t="s">
        <v>3283</v>
      </c>
      <c r="L92" s="3383" t="s">
        <v>3284</v>
      </c>
      <c r="M92" s="3383" t="s">
        <v>3285</v>
      </c>
      <c r="N92" s="3383" t="s">
        <v>3286</v>
      </c>
    </row>
    <row r="93" spans="1:37" ht="24">
      <c r="A93" s="3363" t="s">
        <v>3265</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3266</v>
      </c>
      <c r="B94" s="3364">
        <f>估价对象房地状况!C18</f>
        <v>0</v>
      </c>
      <c r="C94" s="2038"/>
      <c r="D94" s="3360">
        <f t="shared" ref="D94:D101" si="31">SUMIF($J$60:$N$60,C94,J94:N94)</f>
        <v>0</v>
      </c>
      <c r="E94" s="3377"/>
      <c r="F94" s="1808"/>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3262</v>
      </c>
      <c r="B95" s="3364">
        <f>估价对象房地状况!C19</f>
        <v>0</v>
      </c>
      <c r="C95" s="2038"/>
      <c r="D95" s="3360">
        <f t="shared" si="31"/>
        <v>0</v>
      </c>
      <c r="E95" s="3377"/>
      <c r="F95" s="1808"/>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3267</v>
      </c>
      <c r="B96" s="3379" t="s">
        <v>3278</v>
      </c>
      <c r="C96" s="2038"/>
      <c r="D96" s="3360">
        <f t="shared" si="31"/>
        <v>0</v>
      </c>
      <c r="E96" s="3377"/>
      <c r="F96" s="1808"/>
      <c r="G96" s="3367"/>
      <c r="H96" s="3415" t="str">
        <f t="shared" si="32"/>
        <v>——</v>
      </c>
      <c r="I96" s="3361">
        <v>0.05</v>
      </c>
      <c r="J96" s="3339">
        <f t="shared" si="28"/>
        <v>0</v>
      </c>
      <c r="K96" s="3339">
        <f t="shared" si="29"/>
        <v>0</v>
      </c>
      <c r="L96" s="3339">
        <v>0</v>
      </c>
      <c r="M96" s="3339">
        <f t="shared" si="30"/>
        <v>0</v>
      </c>
      <c r="N96" s="3339">
        <f t="shared" si="30"/>
        <v>0</v>
      </c>
    </row>
    <row r="97" spans="1:14" ht="24">
      <c r="A97" s="3373" t="s">
        <v>3268</v>
      </c>
      <c r="B97" s="3364">
        <f>估价对象房地状况!C24</f>
        <v>0</v>
      </c>
      <c r="C97" s="2038"/>
      <c r="D97" s="3360">
        <f t="shared" si="31"/>
        <v>0</v>
      </c>
      <c r="E97" s="3377"/>
      <c r="F97" s="1808"/>
      <c r="G97" s="3367"/>
      <c r="H97" s="3415" t="str">
        <f t="shared" si="32"/>
        <v>——</v>
      </c>
      <c r="I97" s="3361">
        <v>0.05</v>
      </c>
      <c r="J97" s="3339">
        <f t="shared" si="28"/>
        <v>0</v>
      </c>
      <c r="K97" s="3339">
        <f t="shared" si="29"/>
        <v>0</v>
      </c>
      <c r="L97" s="3339">
        <v>0</v>
      </c>
      <c r="M97" s="3339">
        <f t="shared" si="30"/>
        <v>0</v>
      </c>
      <c r="N97" s="3339">
        <f t="shared" si="30"/>
        <v>0</v>
      </c>
    </row>
    <row r="98" spans="1:14" ht="24">
      <c r="A98" s="3373" t="s">
        <v>3269</v>
      </c>
      <c r="B98" s="3380" t="s">
        <v>3279</v>
      </c>
      <c r="C98" s="2038"/>
      <c r="D98" s="3360">
        <f t="shared" si="31"/>
        <v>0</v>
      </c>
      <c r="E98" s="3377"/>
      <c r="F98" s="1808"/>
      <c r="G98" s="3367"/>
      <c r="H98" s="3415" t="str">
        <f t="shared" si="32"/>
        <v>——</v>
      </c>
      <c r="I98" s="3361">
        <v>0.06</v>
      </c>
      <c r="J98" s="3339">
        <f t="shared" si="28"/>
        <v>0</v>
      </c>
      <c r="K98" s="3339">
        <f t="shared" si="29"/>
        <v>0</v>
      </c>
      <c r="L98" s="3339">
        <v>0</v>
      </c>
      <c r="M98" s="3339">
        <f t="shared" si="30"/>
        <v>0</v>
      </c>
      <c r="N98" s="3339">
        <f t="shared" si="30"/>
        <v>0</v>
      </c>
    </row>
    <row r="99" spans="1:14" ht="24">
      <c r="A99" s="3373" t="s">
        <v>3270</v>
      </c>
      <c r="B99" s="3364">
        <f>估价对象房地状况!C21</f>
        <v>0</v>
      </c>
      <c r="C99" s="2038"/>
      <c r="D99" s="3360">
        <f t="shared" si="31"/>
        <v>0</v>
      </c>
      <c r="E99" s="3377"/>
      <c r="F99" s="1808"/>
      <c r="G99" s="3367"/>
      <c r="H99" s="3415" t="str">
        <f t="shared" si="32"/>
        <v>——</v>
      </c>
      <c r="I99" s="3361">
        <v>0.06</v>
      </c>
      <c r="J99" s="3339">
        <f t="shared" si="28"/>
        <v>0</v>
      </c>
      <c r="K99" s="3339">
        <f t="shared" si="29"/>
        <v>0</v>
      </c>
      <c r="L99" s="3339">
        <v>0</v>
      </c>
      <c r="M99" s="3339">
        <f t="shared" si="30"/>
        <v>0</v>
      </c>
      <c r="N99" s="3339">
        <f t="shared" si="30"/>
        <v>0</v>
      </c>
    </row>
    <row r="100" spans="1:14" ht="24">
      <c r="A100" s="3373" t="s">
        <v>3271</v>
      </c>
      <c r="B100" s="3364">
        <f>估价对象房地状况!C22</f>
        <v>0</v>
      </c>
      <c r="C100" s="2038"/>
      <c r="D100" s="3360">
        <f t="shared" si="31"/>
        <v>0</v>
      </c>
      <c r="E100" s="3377"/>
      <c r="F100" s="1808"/>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3272</v>
      </c>
      <c r="B101" s="3381">
        <f>估价对象房地状况!C20</f>
        <v>0</v>
      </c>
      <c r="C101" s="2038"/>
      <c r="D101" s="3360">
        <f t="shared" si="31"/>
        <v>0</v>
      </c>
      <c r="E101" s="3378"/>
      <c r="F101" s="1808"/>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84" t="s">
        <v>3287</v>
      </c>
      <c r="B103" s="3784"/>
      <c r="C103" s="3784"/>
      <c r="D103" s="3784"/>
      <c r="E103" s="3784"/>
      <c r="F103" s="3784"/>
      <c r="G103" s="3784"/>
      <c r="H103" s="3784"/>
      <c r="I103" s="3784"/>
      <c r="J103" s="3784"/>
      <c r="K103" s="3384"/>
      <c r="L103" s="3384"/>
      <c r="M103" s="3384"/>
      <c r="N103" s="3384"/>
    </row>
    <row r="104" spans="1:14">
      <c r="A104" s="3785" t="s">
        <v>3288</v>
      </c>
      <c r="B104" s="3785" t="s">
        <v>3289</v>
      </c>
      <c r="C104" s="3385" t="s">
        <v>3290</v>
      </c>
      <c r="D104" s="3386"/>
      <c r="E104" s="3386"/>
      <c r="F104" s="3386"/>
      <c r="G104" s="3386"/>
      <c r="H104" s="3386"/>
      <c r="I104" s="3386"/>
      <c r="J104" s="3387"/>
      <c r="K104" s="3388"/>
      <c r="L104" s="3388"/>
      <c r="M104" s="3388"/>
      <c r="N104" s="3388"/>
    </row>
    <row r="105" spans="1:14">
      <c r="A105" s="3785"/>
      <c r="B105" s="3785"/>
      <c r="C105" s="3389" t="s">
        <v>3291</v>
      </c>
      <c r="D105" s="3389" t="s">
        <v>3292</v>
      </c>
      <c r="E105" s="3389" t="s">
        <v>3293</v>
      </c>
      <c r="F105" s="3389" t="s">
        <v>3294</v>
      </c>
      <c r="G105" s="3389" t="s">
        <v>3295</v>
      </c>
      <c r="H105" s="3389" t="s">
        <v>3296</v>
      </c>
      <c r="I105" s="3389" t="s">
        <v>3297</v>
      </c>
      <c r="J105" s="3389" t="s">
        <v>3298</v>
      </c>
      <c r="K105" s="3389" t="s">
        <v>3299</v>
      </c>
      <c r="L105" s="3389" t="s">
        <v>3300</v>
      </c>
      <c r="M105" s="3389" t="s">
        <v>3301</v>
      </c>
      <c r="N105" s="3389" t="s">
        <v>3302</v>
      </c>
    </row>
    <row r="106" spans="1:14">
      <c r="A106" s="3771" t="s">
        <v>3303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2"/>
      <c r="B111" s="3389" t="s">
        <v>3261</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773"/>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74" t="s">
        <v>3304</v>
      </c>
      <c r="B113" s="3774"/>
      <c r="C113" s="3774"/>
      <c r="D113" s="3774"/>
      <c r="E113" s="3774"/>
      <c r="F113" s="3774"/>
      <c r="G113" s="3774"/>
      <c r="H113" s="3774"/>
      <c r="I113" s="3774"/>
      <c r="J113" s="377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3305</v>
      </c>
      <c r="B116" s="3410">
        <f>G3</f>
        <v>1.1399999999999999</v>
      </c>
      <c r="C116" s="3394" t="s">
        <v>3306</v>
      </c>
      <c r="D116" s="3395">
        <f>SUMPRODUCT((A118:A122=F116)*(B117:M117=H116)*B118:M122)</f>
        <v>0.64070000000000005</v>
      </c>
      <c r="E116" s="1994" t="s">
        <v>3307</v>
      </c>
      <c r="F116" s="3396" t="str">
        <f>E2</f>
        <v>工业</v>
      </c>
      <c r="G116" s="1994" t="s">
        <v>3308</v>
      </c>
      <c r="H116" s="3396" t="str">
        <f>G2</f>
        <v>六级</v>
      </c>
      <c r="I116" s="1994"/>
      <c r="J116" s="3397"/>
      <c r="K116" s="3397"/>
      <c r="L116" s="3397"/>
      <c r="M116" s="3397"/>
      <c r="N116" s="3392"/>
    </row>
    <row r="117" spans="1:14">
      <c r="A117" s="3398"/>
      <c r="B117" s="3399" t="s">
        <v>3309</v>
      </c>
      <c r="C117" s="3399" t="s">
        <v>3310</v>
      </c>
      <c r="D117" s="3399" t="s">
        <v>3311</v>
      </c>
      <c r="E117" s="3400" t="s">
        <v>3312</v>
      </c>
      <c r="F117" s="3400" t="s">
        <v>3313</v>
      </c>
      <c r="G117" s="3400" t="s">
        <v>3314</v>
      </c>
      <c r="H117" s="3401" t="s">
        <v>3315</v>
      </c>
      <c r="I117" s="3401" t="s">
        <v>3316</v>
      </c>
      <c r="J117" s="3402" t="s">
        <v>3317</v>
      </c>
      <c r="K117" s="3402" t="s">
        <v>3318</v>
      </c>
      <c r="L117" s="3402" t="s">
        <v>3319</v>
      </c>
      <c r="M117" s="3403" t="s">
        <v>3320</v>
      </c>
      <c r="N117" s="3392"/>
    </row>
    <row r="118" spans="1:14">
      <c r="A118" s="3404" t="s">
        <v>3321</v>
      </c>
      <c r="B118" s="3382">
        <f>ROUND(0.9968-0.011*B116,4)</f>
        <v>0.98429999999999995</v>
      </c>
      <c r="C118" s="3382">
        <f>B118</f>
        <v>0.98429999999999995</v>
      </c>
      <c r="D118" s="3382">
        <f>ROUND(0.949-0.014*B116,4)</f>
        <v>0.93300000000000005</v>
      </c>
      <c r="E118" s="3382">
        <f>D118</f>
        <v>0.93300000000000005</v>
      </c>
      <c r="F118" s="3382">
        <f>E118</f>
        <v>0.93300000000000005</v>
      </c>
      <c r="G118" s="3382">
        <f>F118</f>
        <v>0.93300000000000005</v>
      </c>
      <c r="H118" s="3382">
        <f>G118</f>
        <v>0.93300000000000005</v>
      </c>
      <c r="I118" s="3382">
        <f>ROUND(0.8486-0.018*B116,4)</f>
        <v>0.82809999999999995</v>
      </c>
      <c r="J118" s="3382">
        <f t="shared" ref="J118:M122" si="36">I118</f>
        <v>0.82809999999999995</v>
      </c>
      <c r="K118" s="3382">
        <f t="shared" si="36"/>
        <v>0.82809999999999995</v>
      </c>
      <c r="L118" s="3382">
        <f t="shared" si="36"/>
        <v>0.82809999999999995</v>
      </c>
      <c r="M118" s="3405">
        <f t="shared" si="36"/>
        <v>0.82809999999999995</v>
      </c>
      <c r="N118" s="3392"/>
    </row>
    <row r="119" spans="1:14">
      <c r="A119" s="3404" t="s">
        <v>3322</v>
      </c>
      <c r="B119" s="3382">
        <f>ROUND(0.993-0.0112*B116,4)</f>
        <v>0.98019999999999996</v>
      </c>
      <c r="C119" s="3382">
        <f>B119</f>
        <v>0.98019999999999996</v>
      </c>
      <c r="D119" s="3382">
        <f>ROUND(0.9415-0.0142*B116,4)</f>
        <v>0.92530000000000001</v>
      </c>
      <c r="E119" s="3382">
        <f t="shared" ref="E119:H120" si="37">D119</f>
        <v>0.92530000000000001</v>
      </c>
      <c r="F119" s="3382">
        <f t="shared" si="37"/>
        <v>0.92530000000000001</v>
      </c>
      <c r="G119" s="3382">
        <f t="shared" si="37"/>
        <v>0.92530000000000001</v>
      </c>
      <c r="H119" s="3382">
        <f t="shared" si="37"/>
        <v>0.92530000000000001</v>
      </c>
      <c r="I119" s="3382">
        <f>ROUND(0.838-0.0182*B116,4)</f>
        <v>0.81730000000000003</v>
      </c>
      <c r="J119" s="3382">
        <f t="shared" si="36"/>
        <v>0.81730000000000003</v>
      </c>
      <c r="K119" s="3382">
        <f t="shared" si="36"/>
        <v>0.81730000000000003</v>
      </c>
      <c r="L119" s="3382">
        <f t="shared" si="36"/>
        <v>0.81730000000000003</v>
      </c>
      <c r="M119" s="3405">
        <f t="shared" si="36"/>
        <v>0.81730000000000003</v>
      </c>
      <c r="N119" s="3392"/>
    </row>
    <row r="120" spans="1:14">
      <c r="A120" s="3404" t="s">
        <v>3323</v>
      </c>
      <c r="B120" s="3382">
        <f>ROUND(0.9448-0.0115*B116,4)</f>
        <v>0.93169999999999997</v>
      </c>
      <c r="C120" s="3382">
        <f>B120</f>
        <v>0.93169999999999997</v>
      </c>
      <c r="D120" s="3382">
        <f>ROUND(0.937-0.0145*B116,4)</f>
        <v>0.92049999999999998</v>
      </c>
      <c r="E120" s="3382">
        <f t="shared" si="37"/>
        <v>0.92049999999999998</v>
      </c>
      <c r="F120" s="3382">
        <f t="shared" si="37"/>
        <v>0.92049999999999998</v>
      </c>
      <c r="G120" s="3382">
        <f t="shared" si="37"/>
        <v>0.92049999999999998</v>
      </c>
      <c r="H120" s="3382">
        <f t="shared" si="37"/>
        <v>0.92049999999999998</v>
      </c>
      <c r="I120" s="3382">
        <f>ROUND(0.7965-0.0185*B116,4)</f>
        <v>0.77539999999999998</v>
      </c>
      <c r="J120" s="3382">
        <f t="shared" si="36"/>
        <v>0.77539999999999998</v>
      </c>
      <c r="K120" s="3382">
        <f t="shared" si="36"/>
        <v>0.77539999999999998</v>
      </c>
      <c r="L120" s="3382">
        <f t="shared" si="36"/>
        <v>0.77539999999999998</v>
      </c>
      <c r="M120" s="3405">
        <f t="shared" si="36"/>
        <v>0.77539999999999998</v>
      </c>
      <c r="N120" s="3392"/>
    </row>
    <row r="121" spans="1:14" ht="13.5" thickBot="1">
      <c r="A121" s="3406" t="s">
        <v>3324</v>
      </c>
      <c r="B121" s="3407">
        <f>ROUND(0.7836-0.012*B116,4)</f>
        <v>0.76990000000000003</v>
      </c>
      <c r="C121" s="3407">
        <f>B121</f>
        <v>0.76990000000000003</v>
      </c>
      <c r="D121" s="3407">
        <f>ROUND(0.753-0.015*B116,4)</f>
        <v>0.7359</v>
      </c>
      <c r="E121" s="3407">
        <f>D121</f>
        <v>0.7359</v>
      </c>
      <c r="F121" s="3407">
        <f>E121</f>
        <v>0.7359</v>
      </c>
      <c r="G121" s="3407">
        <f>ROUND(0.6612-0.018*B116,4)</f>
        <v>0.64070000000000005</v>
      </c>
      <c r="H121" s="3407">
        <f>G121</f>
        <v>0.64070000000000005</v>
      </c>
      <c r="I121" s="3407">
        <f>ROUND(0.5905-0.019*B116,4)</f>
        <v>0.56879999999999997</v>
      </c>
      <c r="J121" s="3407">
        <f t="shared" si="36"/>
        <v>0.56879999999999997</v>
      </c>
      <c r="K121" s="3407">
        <f t="shared" si="36"/>
        <v>0.56879999999999997</v>
      </c>
      <c r="L121" s="3407">
        <f t="shared" si="36"/>
        <v>0.56879999999999997</v>
      </c>
      <c r="M121" s="3408">
        <f t="shared" si="36"/>
        <v>0.56879999999999997</v>
      </c>
      <c r="N121" s="3392"/>
    </row>
    <row r="122" spans="1:14">
      <c r="A122" s="3409" t="s">
        <v>2605</v>
      </c>
      <c r="B122" s="3382">
        <f>ROUND(0.9404-0.0106*B116,4)</f>
        <v>0.92830000000000001</v>
      </c>
      <c r="C122" s="3382">
        <f>B122</f>
        <v>0.92830000000000001</v>
      </c>
      <c r="D122" s="3382">
        <f>ROUND(0.8955-0.0135*B116,4)</f>
        <v>0.88009999999999999</v>
      </c>
      <c r="E122" s="3382">
        <f t="shared" ref="E122:H122" si="38">D122</f>
        <v>0.88009999999999999</v>
      </c>
      <c r="F122" s="3382">
        <f t="shared" si="38"/>
        <v>0.88009999999999999</v>
      </c>
      <c r="G122" s="3382">
        <f t="shared" si="38"/>
        <v>0.88009999999999999</v>
      </c>
      <c r="H122" s="3382">
        <f t="shared" si="38"/>
        <v>0.88009999999999999</v>
      </c>
      <c r="I122" s="3382">
        <f>ROUND(0.7632-0.0166*B116,4)</f>
        <v>0.74429999999999996</v>
      </c>
      <c r="J122" s="3382">
        <f t="shared" si="36"/>
        <v>0.74429999999999996</v>
      </c>
      <c r="K122" s="3382">
        <f t="shared" si="36"/>
        <v>0.74429999999999996</v>
      </c>
      <c r="L122" s="3382">
        <f t="shared" si="36"/>
        <v>0.74429999999999996</v>
      </c>
      <c r="M122" s="3405">
        <f t="shared" si="36"/>
        <v>0.74429999999999996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0" priority="6" stopIfTrue="1" operator="notEqual">
      <formula>"——"</formula>
    </cfRule>
  </conditionalFormatting>
  <conditionalFormatting sqref="F61">
    <cfRule type="cellIs" dxfId="69" priority="5" stopIfTrue="1" operator="notEqual">
      <formula>"——"</formula>
    </cfRule>
  </conditionalFormatting>
  <conditionalFormatting sqref="F72">
    <cfRule type="cellIs" dxfId="68" priority="4" stopIfTrue="1" operator="notEqual">
      <formula>"——"</formula>
    </cfRule>
  </conditionalFormatting>
  <conditionalFormatting sqref="F83">
    <cfRule type="cellIs" dxfId="67" priority="3" stopIfTrue="1" operator="notEqual">
      <formula>"——"</formula>
    </cfRule>
  </conditionalFormatting>
  <conditionalFormatting sqref="H50:H58 H61:H69 H72:H80 H83:H91">
    <cfRule type="cellIs" dxfId="66" priority="2" operator="notEqual">
      <formula>"——"</formula>
    </cfRule>
  </conditionalFormatting>
  <conditionalFormatting sqref="H93:H101">
    <cfRule type="cellIs" dxfId="6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2587</v>
      </c>
      <c r="B1" s="3066" t="s">
        <v>2588</v>
      </c>
      <c r="C1" s="3066" t="s">
        <v>2589</v>
      </c>
      <c r="D1" s="3066" t="s">
        <v>2590</v>
      </c>
      <c r="E1" s="3066" t="s">
        <v>2591</v>
      </c>
      <c r="F1" s="3066" t="s">
        <v>2592</v>
      </c>
      <c r="G1" s="3066" t="s">
        <v>2593</v>
      </c>
      <c r="H1" s="3066" t="s">
        <v>2594</v>
      </c>
      <c r="I1" s="3066" t="s">
        <v>2595</v>
      </c>
      <c r="J1" s="3066" t="s">
        <v>2596</v>
      </c>
      <c r="K1" s="3066" t="s">
        <v>2597</v>
      </c>
      <c r="L1" s="3066" t="s">
        <v>2598</v>
      </c>
      <c r="M1" s="3067" t="s">
        <v>2599</v>
      </c>
    </row>
    <row r="2" spans="1:13" ht="19.5" customHeight="1">
      <c r="A2" s="3069" t="s">
        <v>2600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2616</v>
      </c>
      <c r="B18" s="3091"/>
      <c r="C18" s="3092"/>
      <c r="D18" s="3092"/>
      <c r="E18" s="3091"/>
      <c r="F18" s="3092"/>
      <c r="G18" s="3092"/>
    </row>
    <row r="19" spans="1:13" ht="19.5" customHeight="1" thickBot="1">
      <c r="A19" s="3089" t="s">
        <v>2617</v>
      </c>
      <c r="B19" s="3094" t="s">
        <v>2618</v>
      </c>
      <c r="C19" s="3094" t="s">
        <v>2619</v>
      </c>
      <c r="D19" s="3095"/>
      <c r="E19" s="3089" t="s">
        <v>2620</v>
      </c>
      <c r="F19" s="3096"/>
      <c r="G19" s="3096"/>
    </row>
    <row r="20" spans="1:13" ht="19.5" customHeight="1">
      <c r="A20" s="3797" t="s">
        <v>2600</v>
      </c>
      <c r="B20" s="3790" t="s">
        <v>2621</v>
      </c>
      <c r="C20" s="3097" t="s">
        <v>2432</v>
      </c>
      <c r="D20" s="3098"/>
      <c r="E20" s="3099">
        <v>1</v>
      </c>
      <c r="F20" s="3100" t="s">
        <v>2433</v>
      </c>
      <c r="G20" s="3100"/>
    </row>
    <row r="21" spans="1:13" ht="19.5" customHeight="1">
      <c r="A21" s="3798"/>
      <c r="B21" s="3791"/>
      <c r="C21" s="3101" t="s">
        <v>2434</v>
      </c>
      <c r="D21" s="3102"/>
      <c r="E21" s="3103">
        <v>1</v>
      </c>
      <c r="F21" s="3100" t="s">
        <v>2435</v>
      </c>
      <c r="G21" s="3100"/>
    </row>
    <row r="22" spans="1:13" ht="19.5" customHeight="1">
      <c r="A22" s="3798"/>
      <c r="B22" s="3791"/>
      <c r="C22" s="3101" t="s">
        <v>2436</v>
      </c>
      <c r="D22" s="3102"/>
      <c r="E22" s="3103">
        <v>0.9</v>
      </c>
      <c r="F22" s="3100" t="s">
        <v>2437</v>
      </c>
      <c r="G22" s="3100"/>
    </row>
    <row r="23" spans="1:13" ht="19.5" customHeight="1">
      <c r="A23" s="3798"/>
      <c r="B23" s="3791"/>
      <c r="C23" s="3101" t="s">
        <v>2438</v>
      </c>
      <c r="D23" s="3102"/>
      <c r="E23" s="3103">
        <v>0.9</v>
      </c>
      <c r="F23" s="3100" t="s">
        <v>2439</v>
      </c>
      <c r="G23" s="3100"/>
    </row>
    <row r="24" spans="1:13" ht="19.5" customHeight="1">
      <c r="A24" s="3798"/>
      <c r="B24" s="3791"/>
      <c r="C24" s="3101" t="s">
        <v>2440</v>
      </c>
      <c r="D24" s="3102"/>
      <c r="E24" s="3103">
        <v>0.8</v>
      </c>
      <c r="F24" s="3100" t="s">
        <v>2441</v>
      </c>
      <c r="G24" s="3100"/>
    </row>
    <row r="25" spans="1:13" ht="19.5" customHeight="1" thickBot="1">
      <c r="A25" s="3799"/>
      <c r="B25" s="3792"/>
      <c r="C25" s="3104" t="s">
        <v>2442</v>
      </c>
      <c r="D25" s="3105"/>
      <c r="E25" s="3106">
        <v>0.8</v>
      </c>
      <c r="F25" s="3100" t="s">
        <v>2443</v>
      </c>
      <c r="G25" s="3100"/>
    </row>
    <row r="26" spans="1:13" ht="19.5" customHeight="1" thickBot="1">
      <c r="A26" s="3107" t="s">
        <v>2622</v>
      </c>
      <c r="B26" s="3108" t="s">
        <v>2621</v>
      </c>
      <c r="C26" s="3109" t="s">
        <v>2623</v>
      </c>
      <c r="D26" s="3110"/>
      <c r="E26" s="3111">
        <v>1</v>
      </c>
      <c r="F26" s="3100" t="s">
        <v>2444</v>
      </c>
      <c r="G26" s="3100"/>
    </row>
    <row r="27" spans="1:13" ht="19.5" customHeight="1">
      <c r="A27" s="3793" t="s">
        <v>2624</v>
      </c>
      <c r="B27" s="3790" t="s">
        <v>2605</v>
      </c>
      <c r="C27" s="3097" t="s">
        <v>2445</v>
      </c>
      <c r="D27" s="3098"/>
      <c r="E27" s="3099">
        <v>1</v>
      </c>
      <c r="F27" s="3100" t="s">
        <v>2446</v>
      </c>
      <c r="G27" s="3100"/>
    </row>
    <row r="28" spans="1:13" ht="19.5" customHeight="1">
      <c r="A28" s="3794"/>
      <c r="B28" s="3791"/>
      <c r="C28" s="3101" t="s">
        <v>2447</v>
      </c>
      <c r="D28" s="3102"/>
      <c r="E28" s="3103">
        <v>1</v>
      </c>
      <c r="F28" s="3100" t="s">
        <v>2448</v>
      </c>
      <c r="G28" s="3100"/>
    </row>
    <row r="29" spans="1:13" ht="19.5" customHeight="1">
      <c r="A29" s="3794"/>
      <c r="B29" s="3791"/>
      <c r="C29" s="3101" t="s">
        <v>2449</v>
      </c>
      <c r="D29" s="3102"/>
      <c r="E29" s="3103">
        <v>0.8</v>
      </c>
      <c r="F29" s="3100" t="s">
        <v>2450</v>
      </c>
      <c r="G29" s="3100"/>
    </row>
    <row r="30" spans="1:13" ht="19.5" customHeight="1">
      <c r="A30" s="3794"/>
      <c r="B30" s="3791"/>
      <c r="C30" s="3101" t="s">
        <v>2451</v>
      </c>
      <c r="D30" s="3102"/>
      <c r="E30" s="3103">
        <v>0.8</v>
      </c>
      <c r="F30" s="3100" t="s">
        <v>2452</v>
      </c>
      <c r="G30" s="3100"/>
    </row>
    <row r="31" spans="1:13" ht="19.5" customHeight="1">
      <c r="A31" s="3794"/>
      <c r="B31" s="3791"/>
      <c r="C31" s="3101" t="s">
        <v>2453</v>
      </c>
      <c r="D31" s="3102"/>
      <c r="E31" s="3103">
        <v>0.8</v>
      </c>
      <c r="F31" s="3100" t="s">
        <v>2454</v>
      </c>
      <c r="G31" s="3100"/>
    </row>
    <row r="32" spans="1:13" ht="19.5" customHeight="1">
      <c r="A32" s="3794"/>
      <c r="B32" s="3791"/>
      <c r="C32" s="3101" t="s">
        <v>2455</v>
      </c>
      <c r="D32" s="3102"/>
      <c r="E32" s="3103">
        <v>0.7</v>
      </c>
      <c r="F32" s="3100" t="s">
        <v>2456</v>
      </c>
      <c r="G32" s="3100"/>
    </row>
    <row r="33" spans="1:7" ht="19.5" customHeight="1">
      <c r="A33" s="3794"/>
      <c r="B33" s="3791"/>
      <c r="C33" s="3101" t="s">
        <v>2457</v>
      </c>
      <c r="D33" s="3102"/>
      <c r="E33" s="3103">
        <v>0.8</v>
      </c>
      <c r="F33" s="3100" t="s">
        <v>2458</v>
      </c>
      <c r="G33" s="3100"/>
    </row>
    <row r="34" spans="1:7" ht="19.5" customHeight="1">
      <c r="A34" s="3794"/>
      <c r="B34" s="3791"/>
      <c r="C34" s="3101" t="s">
        <v>2459</v>
      </c>
      <c r="D34" s="3102"/>
      <c r="E34" s="3103">
        <v>0.6</v>
      </c>
      <c r="F34" s="3100" t="s">
        <v>2460</v>
      </c>
      <c r="G34" s="3100"/>
    </row>
    <row r="35" spans="1:7" ht="19.5" customHeight="1">
      <c r="A35" s="3794"/>
      <c r="B35" s="3791"/>
      <c r="C35" s="3101" t="s">
        <v>2461</v>
      </c>
      <c r="D35" s="3102"/>
      <c r="E35" s="3103">
        <v>0.2</v>
      </c>
      <c r="F35" s="3100" t="s">
        <v>2462</v>
      </c>
      <c r="G35" s="3100"/>
    </row>
    <row r="36" spans="1:7" ht="19.5" customHeight="1">
      <c r="A36" s="3794"/>
      <c r="B36" s="3791"/>
      <c r="C36" s="3101" t="s">
        <v>2463</v>
      </c>
      <c r="D36" s="3102"/>
      <c r="E36" s="3103">
        <v>0.2</v>
      </c>
      <c r="F36" s="3100" t="s">
        <v>2464</v>
      </c>
      <c r="G36" s="3100"/>
    </row>
    <row r="37" spans="1:7" ht="19.5" customHeight="1">
      <c r="A37" s="3794"/>
      <c r="B37" s="3796" t="s">
        <v>2625</v>
      </c>
      <c r="C37" s="3101" t="s">
        <v>2465</v>
      </c>
      <c r="D37" s="3102"/>
      <c r="E37" s="3103">
        <v>0.6</v>
      </c>
      <c r="F37" s="3100" t="s">
        <v>2466</v>
      </c>
      <c r="G37" s="3100"/>
    </row>
    <row r="38" spans="1:7" ht="19.5" customHeight="1">
      <c r="A38" s="3794"/>
      <c r="B38" s="3791"/>
      <c r="C38" s="3101" t="s">
        <v>2467</v>
      </c>
      <c r="D38" s="3102"/>
      <c r="E38" s="3103">
        <v>0.6</v>
      </c>
      <c r="F38" s="3100" t="s">
        <v>2468</v>
      </c>
      <c r="G38" s="3100"/>
    </row>
    <row r="39" spans="1:7" ht="19.5" customHeight="1" thickBot="1">
      <c r="A39" s="3795"/>
      <c r="B39" s="3792"/>
      <c r="C39" s="3104" t="s">
        <v>2469</v>
      </c>
      <c r="D39" s="3105"/>
      <c r="E39" s="3106">
        <v>0.6</v>
      </c>
      <c r="F39" s="3100" t="s">
        <v>2470</v>
      </c>
      <c r="G39" s="3100"/>
    </row>
    <row r="40" spans="1:7" ht="19.5" customHeight="1" thickBot="1">
      <c r="A40" s="3107" t="s">
        <v>2602</v>
      </c>
      <c r="B40" s="3108" t="s">
        <v>2602</v>
      </c>
      <c r="C40" s="3109" t="s">
        <v>2626</v>
      </c>
      <c r="D40" s="3110"/>
      <c r="E40" s="3111">
        <v>1</v>
      </c>
      <c r="F40" s="3100" t="s">
        <v>2471</v>
      </c>
      <c r="G40" s="3100"/>
    </row>
    <row r="41" spans="1:7" ht="19.5" customHeight="1">
      <c r="A41" s="3797" t="s">
        <v>2603</v>
      </c>
      <c r="B41" s="3790" t="s">
        <v>2627</v>
      </c>
      <c r="C41" s="3097" t="s">
        <v>2472</v>
      </c>
      <c r="D41" s="3098"/>
      <c r="E41" s="3099">
        <v>1</v>
      </c>
      <c r="F41" s="3100" t="s">
        <v>2473</v>
      </c>
      <c r="G41" s="3100"/>
    </row>
    <row r="42" spans="1:7" ht="19.5" customHeight="1">
      <c r="A42" s="3798"/>
      <c r="B42" s="3791"/>
      <c r="C42" s="3101" t="s">
        <v>2474</v>
      </c>
      <c r="D42" s="3102"/>
      <c r="E42" s="3103">
        <v>1</v>
      </c>
      <c r="F42" s="3100" t="s">
        <v>2475</v>
      </c>
      <c r="G42" s="3100"/>
    </row>
    <row r="43" spans="1:7" ht="19.5" customHeight="1">
      <c r="A43" s="3798"/>
      <c r="B43" s="3800"/>
      <c r="C43" s="3101" t="s">
        <v>2476</v>
      </c>
      <c r="D43" s="3102"/>
      <c r="E43" s="3103">
        <v>1.5</v>
      </c>
      <c r="F43" s="3100" t="s">
        <v>2477</v>
      </c>
      <c r="G43" s="3100"/>
    </row>
    <row r="44" spans="1:7" ht="19.5" customHeight="1">
      <c r="A44" s="3798"/>
      <c r="B44" s="3112" t="s">
        <v>2628</v>
      </c>
      <c r="C44" s="3101" t="s">
        <v>2629</v>
      </c>
      <c r="D44" s="3102"/>
      <c r="E44" s="3103">
        <v>2</v>
      </c>
      <c r="F44" s="3100" t="s">
        <v>2478</v>
      </c>
      <c r="G44" s="3100"/>
    </row>
    <row r="45" spans="1:7" ht="19.5" customHeight="1">
      <c r="A45" s="3798"/>
      <c r="B45" s="3796" t="s">
        <v>2630</v>
      </c>
      <c r="C45" s="3101" t="s">
        <v>2479</v>
      </c>
      <c r="D45" s="3102"/>
      <c r="E45" s="3103">
        <v>1</v>
      </c>
      <c r="F45" s="3100" t="s">
        <v>2480</v>
      </c>
      <c r="G45" s="3100"/>
    </row>
    <row r="46" spans="1:7" ht="19.5" customHeight="1">
      <c r="A46" s="3798"/>
      <c r="B46" s="3791"/>
      <c r="C46" s="3101" t="s">
        <v>2481</v>
      </c>
      <c r="D46" s="3102"/>
      <c r="E46" s="3103">
        <v>1</v>
      </c>
      <c r="F46" s="3100" t="s">
        <v>2482</v>
      </c>
      <c r="G46" s="3100"/>
    </row>
    <row r="47" spans="1:7" ht="19.5" customHeight="1">
      <c r="A47" s="3798"/>
      <c r="B47" s="3791"/>
      <c r="C47" s="3101" t="s">
        <v>2483</v>
      </c>
      <c r="D47" s="3102"/>
      <c r="E47" s="3103">
        <v>1</v>
      </c>
      <c r="F47" s="3100" t="s">
        <v>2484</v>
      </c>
      <c r="G47" s="3100"/>
    </row>
    <row r="48" spans="1:7" ht="19.5" customHeight="1">
      <c r="A48" s="3798"/>
      <c r="B48" s="3791"/>
      <c r="C48" s="3101" t="s">
        <v>2485</v>
      </c>
      <c r="D48" s="3102"/>
      <c r="E48" s="3103">
        <v>1</v>
      </c>
      <c r="F48" s="3100" t="s">
        <v>2486</v>
      </c>
      <c r="G48" s="3100"/>
    </row>
    <row r="49" spans="1:7" ht="19.5" customHeight="1">
      <c r="A49" s="3798"/>
      <c r="B49" s="3791"/>
      <c r="C49" s="3101" t="s">
        <v>2487</v>
      </c>
      <c r="D49" s="3102"/>
      <c r="E49" s="3103">
        <v>1</v>
      </c>
      <c r="F49" s="3100" t="s">
        <v>2488</v>
      </c>
      <c r="G49" s="3100"/>
    </row>
    <row r="50" spans="1:7" ht="19.5" customHeight="1">
      <c r="A50" s="3798"/>
      <c r="B50" s="3791"/>
      <c r="C50" s="3101" t="s">
        <v>2489</v>
      </c>
      <c r="D50" s="3102"/>
      <c r="E50" s="3103">
        <v>1</v>
      </c>
      <c r="F50" s="3100" t="s">
        <v>2490</v>
      </c>
      <c r="G50" s="3100"/>
    </row>
    <row r="51" spans="1:7" ht="19.5" customHeight="1" thickBot="1">
      <c r="A51" s="3799"/>
      <c r="B51" s="3792"/>
      <c r="C51" s="3104" t="s">
        <v>2491</v>
      </c>
      <c r="D51" s="3105"/>
      <c r="E51" s="3106">
        <v>1</v>
      </c>
      <c r="F51" s="3100" t="s">
        <v>2492</v>
      </c>
      <c r="G51" s="3100"/>
    </row>
    <row r="52" spans="1:7" ht="19.5" customHeight="1">
      <c r="A52" s="3113"/>
      <c r="B52" s="3113"/>
      <c r="C52" s="3113"/>
      <c r="D52" s="3113"/>
      <c r="E52" s="3113"/>
      <c r="F52" s="3113"/>
      <c r="G52" s="3113"/>
    </row>
    <row r="54" spans="1:7" ht="19.5" customHeight="1">
      <c r="A54" s="3114"/>
      <c r="B54" s="3086" t="s">
        <v>2631</v>
      </c>
      <c r="C54" s="3086" t="s">
        <v>2631</v>
      </c>
      <c r="D54" s="3086" t="s">
        <v>2631</v>
      </c>
      <c r="E54" s="3089" t="s">
        <v>2631</v>
      </c>
      <c r="F54" s="3089" t="s">
        <v>2632</v>
      </c>
      <c r="G54" s="3089" t="s">
        <v>2633</v>
      </c>
    </row>
    <row r="55" spans="1:7" ht="19.5" customHeight="1">
      <c r="A55" s="3115"/>
      <c r="B55" s="3089" t="s">
        <v>2600</v>
      </c>
      <c r="C55" s="3089" t="s">
        <v>2600</v>
      </c>
      <c r="D55" s="3089" t="s">
        <v>2600</v>
      </c>
      <c r="E55" s="3086" t="s">
        <v>2601</v>
      </c>
      <c r="F55" s="3086" t="s">
        <v>2603</v>
      </c>
      <c r="G55" s="3086" t="s">
        <v>2634</v>
      </c>
    </row>
    <row r="56" spans="1:7" ht="19.5" customHeight="1">
      <c r="A56" s="3116"/>
      <c r="B56" s="3086">
        <v>1</v>
      </c>
      <c r="C56" s="3086">
        <v>2</v>
      </c>
      <c r="D56" s="3086">
        <v>3</v>
      </c>
      <c r="E56" s="3117" t="s">
        <v>2635</v>
      </c>
      <c r="F56" s="3117" t="s">
        <v>2635</v>
      </c>
      <c r="G56" s="3117" t="s">
        <v>2635</v>
      </c>
    </row>
    <row r="57" spans="1:7" ht="19.5" customHeight="1">
      <c r="A57" s="3118" t="s">
        <v>2588</v>
      </c>
      <c r="B57" s="3086">
        <v>0.7</v>
      </c>
      <c r="C57" s="3086">
        <v>0.4</v>
      </c>
      <c r="D57" s="3086">
        <v>0.3</v>
      </c>
      <c r="E57" s="3117">
        <v>0.3</v>
      </c>
      <c r="F57" s="3086">
        <v>0.3</v>
      </c>
      <c r="G57" s="3086">
        <v>0.2</v>
      </c>
    </row>
    <row r="58" spans="1:7" ht="19.5" customHeight="1">
      <c r="A58" s="3118" t="s">
        <v>2589</v>
      </c>
      <c r="B58" s="3086">
        <v>0.7</v>
      </c>
      <c r="C58" s="3086">
        <v>0.4</v>
      </c>
      <c r="D58" s="3086">
        <v>0.3</v>
      </c>
      <c r="E58" s="3086">
        <v>0.3</v>
      </c>
      <c r="F58" s="3086">
        <v>0.3</v>
      </c>
      <c r="G58" s="3086">
        <v>0.2</v>
      </c>
    </row>
    <row r="59" spans="1:7" ht="19.5" customHeight="1">
      <c r="A59" s="3118" t="s">
        <v>2590</v>
      </c>
      <c r="B59" s="3086">
        <v>0.6</v>
      </c>
      <c r="C59" s="3086">
        <v>0.3</v>
      </c>
      <c r="D59" s="3086">
        <v>0.25</v>
      </c>
      <c r="E59" s="3086">
        <v>0.25</v>
      </c>
      <c r="F59" s="3086">
        <v>0.25</v>
      </c>
      <c r="G59" s="3086">
        <v>0.15</v>
      </c>
    </row>
    <row r="60" spans="1:7" ht="19.5" customHeight="1">
      <c r="A60" s="3118" t="s">
        <v>2591</v>
      </c>
      <c r="B60" s="3086">
        <v>0.6</v>
      </c>
      <c r="C60" s="3086">
        <v>0.3</v>
      </c>
      <c r="D60" s="3086">
        <v>0.25</v>
      </c>
      <c r="E60" s="3086">
        <v>0.25</v>
      </c>
      <c r="F60" s="3086">
        <v>0.25</v>
      </c>
      <c r="G60" s="3086">
        <v>0.15</v>
      </c>
    </row>
    <row r="61" spans="1:7" ht="19.5" customHeight="1">
      <c r="A61" s="3118" t="s">
        <v>2592</v>
      </c>
      <c r="B61" s="3086">
        <v>0.6</v>
      </c>
      <c r="C61" s="3086">
        <v>0.3</v>
      </c>
      <c r="D61" s="3086">
        <v>0.25</v>
      </c>
      <c r="E61" s="3086">
        <v>0.25</v>
      </c>
      <c r="F61" s="3086">
        <v>0.25</v>
      </c>
      <c r="G61" s="3086">
        <v>0.15</v>
      </c>
    </row>
    <row r="62" spans="1:7" ht="19.5" customHeight="1">
      <c r="A62" s="3118" t="s">
        <v>2593</v>
      </c>
      <c r="B62" s="3086">
        <v>0.6</v>
      </c>
      <c r="C62" s="3086">
        <v>0.3</v>
      </c>
      <c r="D62" s="3086">
        <v>0.25</v>
      </c>
      <c r="E62" s="3086">
        <v>0.25</v>
      </c>
      <c r="F62" s="3086">
        <v>0.25</v>
      </c>
      <c r="G62" s="3086">
        <v>0.15</v>
      </c>
    </row>
    <row r="63" spans="1:7" ht="19.5" customHeight="1">
      <c r="A63" s="3118" t="s">
        <v>2594</v>
      </c>
      <c r="B63" s="3086">
        <v>0.6</v>
      </c>
      <c r="C63" s="3086">
        <v>0.3</v>
      </c>
      <c r="D63" s="3086">
        <v>0.25</v>
      </c>
      <c r="E63" s="3086">
        <v>0.25</v>
      </c>
      <c r="F63" s="3086">
        <v>0.25</v>
      </c>
      <c r="G63" s="3086">
        <v>0.15</v>
      </c>
    </row>
    <row r="64" spans="1:7" ht="19.5" customHeight="1">
      <c r="A64" s="3118" t="s">
        <v>2595</v>
      </c>
      <c r="B64" s="3086">
        <v>0.5</v>
      </c>
      <c r="C64" s="3086">
        <v>0.2</v>
      </c>
      <c r="D64" s="3086">
        <v>0.2</v>
      </c>
      <c r="E64" s="3086">
        <v>0.2</v>
      </c>
      <c r="F64" s="3086">
        <v>0.2</v>
      </c>
      <c r="G64" s="3086">
        <v>0.1</v>
      </c>
    </row>
    <row r="65" spans="1:7" ht="19.5" customHeight="1">
      <c r="A65" s="3118" t="s">
        <v>2596</v>
      </c>
      <c r="B65" s="3086">
        <v>0.5</v>
      </c>
      <c r="C65" s="3086">
        <v>0.2</v>
      </c>
      <c r="D65" s="3086">
        <v>0.2</v>
      </c>
      <c r="E65" s="3086">
        <v>0.2</v>
      </c>
      <c r="F65" s="3086">
        <v>0.2</v>
      </c>
      <c r="G65" s="3086">
        <v>0.1</v>
      </c>
    </row>
    <row r="66" spans="1:7" ht="19.5" customHeight="1">
      <c r="A66" s="3118" t="s">
        <v>2597</v>
      </c>
      <c r="B66" s="3086">
        <v>0.5</v>
      </c>
      <c r="C66" s="3086">
        <v>0.2</v>
      </c>
      <c r="D66" s="3086">
        <v>0.2</v>
      </c>
      <c r="E66" s="3086">
        <v>0.2</v>
      </c>
      <c r="F66" s="3086">
        <v>0.2</v>
      </c>
      <c r="G66" s="3086">
        <v>0.1</v>
      </c>
    </row>
    <row r="67" spans="1:7" ht="19.5" customHeight="1">
      <c r="A67" s="3118" t="s">
        <v>2598</v>
      </c>
      <c r="B67" s="3086">
        <v>0.5</v>
      </c>
      <c r="C67" s="3086">
        <v>0.2</v>
      </c>
      <c r="D67" s="3086">
        <v>0.2</v>
      </c>
      <c r="E67" s="3086">
        <v>0.2</v>
      </c>
      <c r="F67" s="3086">
        <v>0.2</v>
      </c>
      <c r="G67" s="3086">
        <v>0.1</v>
      </c>
    </row>
    <row r="68" spans="1:7" ht="19.5" customHeight="1">
      <c r="A68" s="3118" t="s">
        <v>2599</v>
      </c>
      <c r="B68" s="3086">
        <v>0.5</v>
      </c>
      <c r="C68" s="3086">
        <v>0.2</v>
      </c>
      <c r="D68" s="3086">
        <v>0.2</v>
      </c>
      <c r="E68" s="3086">
        <v>0.2</v>
      </c>
      <c r="F68" s="3086">
        <v>0.2</v>
      </c>
      <c r="G68" s="3086">
        <v>0.1</v>
      </c>
    </row>
    <row r="70" spans="1:7" ht="19.5" customHeight="1">
      <c r="A70" s="3119"/>
      <c r="B70" s="3120"/>
      <c r="C70" s="3120"/>
      <c r="D70" s="3120" t="s">
        <v>2636</v>
      </c>
      <c r="E70" s="3120"/>
      <c r="F70" s="3120"/>
    </row>
    <row r="71" spans="1:7" ht="19.5" customHeight="1">
      <c r="A71" s="3112" t="s">
        <v>2637</v>
      </c>
      <c r="B71" s="3112" t="s">
        <v>2638</v>
      </c>
      <c r="C71" s="3112" t="s">
        <v>2639</v>
      </c>
      <c r="D71" s="3112" t="s">
        <v>2640</v>
      </c>
      <c r="E71" s="3112" t="s">
        <v>2641</v>
      </c>
      <c r="F71" s="3112" t="s">
        <v>2642</v>
      </c>
    </row>
    <row r="72" spans="1:7" ht="13.5">
      <c r="A72" s="3112"/>
      <c r="B72" s="3112"/>
      <c r="C72" s="3112" t="s">
        <v>2643</v>
      </c>
      <c r="D72" s="3112"/>
      <c r="E72" s="3112" t="s">
        <v>2614</v>
      </c>
      <c r="F72" s="3112" t="s">
        <v>2614</v>
      </c>
    </row>
    <row r="73" spans="1:7" ht="13.5">
      <c r="A73" s="3112">
        <v>1</v>
      </c>
      <c r="B73" s="3796" t="s">
        <v>2644</v>
      </c>
      <c r="C73" s="3086" t="s">
        <v>2645</v>
      </c>
      <c r="D73" s="3086" t="s">
        <v>2646</v>
      </c>
      <c r="E73" s="3112">
        <v>0.2</v>
      </c>
      <c r="F73" s="3112">
        <v>25</v>
      </c>
    </row>
    <row r="74" spans="1:7" ht="24">
      <c r="A74" s="3112">
        <v>2</v>
      </c>
      <c r="B74" s="3791"/>
      <c r="C74" s="3086" t="s">
        <v>2647</v>
      </c>
      <c r="D74" s="3086" t="s">
        <v>2648</v>
      </c>
      <c r="E74" s="3112">
        <v>0.2</v>
      </c>
      <c r="F74" s="3112">
        <v>25</v>
      </c>
    </row>
    <row r="75" spans="1:7" ht="24">
      <c r="A75" s="3112">
        <v>3</v>
      </c>
      <c r="B75" s="3791"/>
      <c r="C75" s="3086" t="s">
        <v>2649</v>
      </c>
      <c r="D75" s="3086" t="s">
        <v>2650</v>
      </c>
      <c r="E75" s="3112">
        <v>0.2</v>
      </c>
      <c r="F75" s="3112">
        <v>25</v>
      </c>
    </row>
    <row r="76" spans="1:7" ht="13.5">
      <c r="A76" s="3112">
        <v>4</v>
      </c>
      <c r="B76" s="3791"/>
      <c r="C76" s="3086" t="s">
        <v>2651</v>
      </c>
      <c r="D76" s="3086" t="s">
        <v>2652</v>
      </c>
      <c r="E76" s="3112">
        <v>0.15</v>
      </c>
      <c r="F76" s="3112">
        <v>20</v>
      </c>
    </row>
    <row r="77" spans="1:7" ht="24">
      <c r="A77" s="3112">
        <v>5</v>
      </c>
      <c r="B77" s="3791"/>
      <c r="C77" s="3086" t="s">
        <v>2653</v>
      </c>
      <c r="D77" s="3086" t="s">
        <v>2654</v>
      </c>
      <c r="E77" s="3112">
        <v>0.15</v>
      </c>
      <c r="F77" s="3112">
        <v>20</v>
      </c>
    </row>
    <row r="78" spans="1:7" ht="24">
      <c r="A78" s="3112">
        <v>6</v>
      </c>
      <c r="B78" s="3791"/>
      <c r="C78" s="3086" t="s">
        <v>2655</v>
      </c>
      <c r="D78" s="3086" t="s">
        <v>2656</v>
      </c>
      <c r="E78" s="3112">
        <v>0.15</v>
      </c>
      <c r="F78" s="3112">
        <v>20</v>
      </c>
    </row>
    <row r="79" spans="1:7" ht="24">
      <c r="A79" s="3112">
        <v>7</v>
      </c>
      <c r="B79" s="3791"/>
      <c r="C79" s="3086" t="s">
        <v>2657</v>
      </c>
      <c r="D79" s="3086" t="s">
        <v>2658</v>
      </c>
      <c r="E79" s="3112">
        <v>0.15</v>
      </c>
      <c r="F79" s="3112">
        <v>20</v>
      </c>
    </row>
    <row r="80" spans="1:7" ht="24">
      <c r="A80" s="3112">
        <v>8</v>
      </c>
      <c r="B80" s="3791"/>
      <c r="C80" s="3086" t="s">
        <v>2659</v>
      </c>
      <c r="D80" s="3086" t="s">
        <v>2660</v>
      </c>
      <c r="E80" s="3112">
        <v>0.1</v>
      </c>
      <c r="F80" s="3112">
        <v>15</v>
      </c>
    </row>
    <row r="81" spans="1:6" ht="24">
      <c r="A81" s="3112">
        <v>9</v>
      </c>
      <c r="B81" s="3791"/>
      <c r="C81" s="3086" t="s">
        <v>2661</v>
      </c>
      <c r="D81" s="3086" t="s">
        <v>2662</v>
      </c>
      <c r="E81" s="3112">
        <v>0.1</v>
      </c>
      <c r="F81" s="3112">
        <v>15</v>
      </c>
    </row>
    <row r="82" spans="1:6" ht="24">
      <c r="A82" s="3112">
        <v>10</v>
      </c>
      <c r="B82" s="3791"/>
      <c r="C82" s="3086" t="s">
        <v>2663</v>
      </c>
      <c r="D82" s="3086" t="s">
        <v>2664</v>
      </c>
      <c r="E82" s="3112">
        <v>0.1</v>
      </c>
      <c r="F82" s="3112">
        <v>15</v>
      </c>
    </row>
    <row r="83" spans="1:6" ht="24">
      <c r="A83" s="3112">
        <v>11</v>
      </c>
      <c r="B83" s="3791"/>
      <c r="C83" s="3086" t="s">
        <v>2665</v>
      </c>
      <c r="D83" s="3086" t="s">
        <v>2666</v>
      </c>
      <c r="E83" s="3112">
        <v>0.1</v>
      </c>
      <c r="F83" s="3112">
        <v>15</v>
      </c>
    </row>
    <row r="84" spans="1:6" ht="24">
      <c r="A84" s="3112">
        <v>12</v>
      </c>
      <c r="B84" s="3791"/>
      <c r="C84" s="3086" t="s">
        <v>2667</v>
      </c>
      <c r="D84" s="3086" t="s">
        <v>2668</v>
      </c>
      <c r="E84" s="3112">
        <v>0.1</v>
      </c>
      <c r="F84" s="3112">
        <v>15</v>
      </c>
    </row>
    <row r="85" spans="1:6" ht="13.5">
      <c r="A85" s="3112">
        <v>13</v>
      </c>
      <c r="B85" s="3791"/>
      <c r="C85" s="3086" t="s">
        <v>2669</v>
      </c>
      <c r="D85" s="3086" t="s">
        <v>2670</v>
      </c>
      <c r="E85" s="3112">
        <v>0.1</v>
      </c>
      <c r="F85" s="3112">
        <v>15</v>
      </c>
    </row>
    <row r="86" spans="1:6" ht="13.5">
      <c r="A86" s="3112">
        <v>14</v>
      </c>
      <c r="B86" s="3791"/>
      <c r="C86" s="3086" t="s">
        <v>2671</v>
      </c>
      <c r="D86" s="3086" t="s">
        <v>2672</v>
      </c>
      <c r="E86" s="3112">
        <v>0.1</v>
      </c>
      <c r="F86" s="3112">
        <v>15</v>
      </c>
    </row>
    <row r="87" spans="1:6" ht="13.5">
      <c r="A87" s="3112">
        <v>15</v>
      </c>
      <c r="B87" s="3791"/>
      <c r="C87" s="3086" t="s">
        <v>2673</v>
      </c>
      <c r="D87" s="3086" t="s">
        <v>2674</v>
      </c>
      <c r="E87" s="3112">
        <v>0.1</v>
      </c>
      <c r="F87" s="3112">
        <v>15</v>
      </c>
    </row>
    <row r="88" spans="1:6" ht="24">
      <c r="A88" s="3112">
        <v>16</v>
      </c>
      <c r="B88" s="3791"/>
      <c r="C88" s="3086" t="s">
        <v>2675</v>
      </c>
      <c r="D88" s="3086" t="s">
        <v>2676</v>
      </c>
      <c r="E88" s="3112">
        <v>0.1</v>
      </c>
      <c r="F88" s="3112">
        <v>15</v>
      </c>
    </row>
    <row r="89" spans="1:6" ht="24">
      <c r="A89" s="3112">
        <v>17</v>
      </c>
      <c r="B89" s="3800"/>
      <c r="C89" s="3086" t="s">
        <v>2677</v>
      </c>
      <c r="D89" s="3086" t="s">
        <v>2678</v>
      </c>
      <c r="E89" s="3112">
        <v>0.1</v>
      </c>
      <c r="F89" s="3112">
        <v>15</v>
      </c>
    </row>
    <row r="90" spans="1:6" ht="13.5">
      <c r="A90" s="3112">
        <v>18</v>
      </c>
      <c r="B90" s="3796" t="s">
        <v>2679</v>
      </c>
      <c r="C90" s="3086" t="s">
        <v>2680</v>
      </c>
      <c r="D90" s="3086" t="s">
        <v>2681</v>
      </c>
      <c r="E90" s="3112">
        <v>0.2</v>
      </c>
      <c r="F90" s="3112">
        <v>25</v>
      </c>
    </row>
    <row r="91" spans="1:6" ht="24">
      <c r="A91" s="3112">
        <v>19</v>
      </c>
      <c r="B91" s="3791"/>
      <c r="C91" s="3086" t="s">
        <v>2682</v>
      </c>
      <c r="D91" s="3086" t="s">
        <v>2683</v>
      </c>
      <c r="E91" s="3112">
        <v>0.2</v>
      </c>
      <c r="F91" s="3112">
        <v>25</v>
      </c>
    </row>
    <row r="92" spans="1:6" ht="13.5">
      <c r="A92" s="3112">
        <v>20</v>
      </c>
      <c r="B92" s="3791"/>
      <c r="C92" s="3086" t="s">
        <v>2684</v>
      </c>
      <c r="D92" s="3086" t="s">
        <v>2685</v>
      </c>
      <c r="E92" s="3112">
        <v>0.15</v>
      </c>
      <c r="F92" s="3112">
        <v>20</v>
      </c>
    </row>
    <row r="93" spans="1:6" ht="13.5">
      <c r="A93" s="3112">
        <v>21</v>
      </c>
      <c r="B93" s="3791"/>
      <c r="C93" s="3086" t="s">
        <v>2686</v>
      </c>
      <c r="D93" s="3086" t="s">
        <v>2687</v>
      </c>
      <c r="E93" s="3112">
        <v>0.15</v>
      </c>
      <c r="F93" s="3112">
        <v>20</v>
      </c>
    </row>
    <row r="94" spans="1:6" ht="13.5">
      <c r="A94" s="3112">
        <v>22</v>
      </c>
      <c r="B94" s="3791"/>
      <c r="C94" s="3086" t="s">
        <v>2688</v>
      </c>
      <c r="D94" s="3086" t="s">
        <v>2689</v>
      </c>
      <c r="E94" s="3112">
        <v>0.15</v>
      </c>
      <c r="F94" s="3112">
        <v>20</v>
      </c>
    </row>
    <row r="95" spans="1:6" ht="36">
      <c r="A95" s="3112">
        <v>23</v>
      </c>
      <c r="B95" s="3791"/>
      <c r="C95" s="3086" t="s">
        <v>2690</v>
      </c>
      <c r="D95" s="3086" t="s">
        <v>2691</v>
      </c>
      <c r="E95" s="3112">
        <v>0.15</v>
      </c>
      <c r="F95" s="3112">
        <v>20</v>
      </c>
    </row>
    <row r="96" spans="1:6" ht="13.5">
      <c r="A96" s="3112">
        <v>24</v>
      </c>
      <c r="B96" s="3791"/>
      <c r="C96" s="3086" t="s">
        <v>2692</v>
      </c>
      <c r="D96" s="3086" t="s">
        <v>2693</v>
      </c>
      <c r="E96" s="3112">
        <v>0.1</v>
      </c>
      <c r="F96" s="3112">
        <v>15</v>
      </c>
    </row>
    <row r="97" spans="1:6" ht="13.5">
      <c r="A97" s="3112">
        <v>25</v>
      </c>
      <c r="B97" s="3791"/>
      <c r="C97" s="3086" t="s">
        <v>2694</v>
      </c>
      <c r="D97" s="3086" t="s">
        <v>2695</v>
      </c>
      <c r="E97" s="3112">
        <v>0.1</v>
      </c>
      <c r="F97" s="3112">
        <v>15</v>
      </c>
    </row>
    <row r="98" spans="1:6" ht="24">
      <c r="A98" s="3112">
        <v>26</v>
      </c>
      <c r="B98" s="3791"/>
      <c r="C98" s="3086" t="s">
        <v>2696</v>
      </c>
      <c r="D98" s="3086" t="s">
        <v>2697</v>
      </c>
      <c r="E98" s="3112">
        <v>0.1</v>
      </c>
      <c r="F98" s="3112">
        <v>15</v>
      </c>
    </row>
    <row r="99" spans="1:6" ht="24">
      <c r="A99" s="3112">
        <v>27</v>
      </c>
      <c r="B99" s="3791"/>
      <c r="C99" s="3086" t="s">
        <v>2698</v>
      </c>
      <c r="D99" s="3086" t="s">
        <v>2699</v>
      </c>
      <c r="E99" s="3112">
        <v>0.1</v>
      </c>
      <c r="F99" s="3112">
        <v>15</v>
      </c>
    </row>
    <row r="100" spans="1:6" ht="13.5">
      <c r="A100" s="3112">
        <v>28</v>
      </c>
      <c r="B100" s="3791"/>
      <c r="C100" s="3086" t="s">
        <v>2700</v>
      </c>
      <c r="D100" s="3086" t="s">
        <v>2701</v>
      </c>
      <c r="E100" s="3112">
        <v>0.1</v>
      </c>
      <c r="F100" s="3112">
        <v>15</v>
      </c>
    </row>
    <row r="101" spans="1:6" ht="13.5">
      <c r="A101" s="3112">
        <v>29</v>
      </c>
      <c r="B101" s="3791"/>
      <c r="C101" s="3086" t="s">
        <v>2702</v>
      </c>
      <c r="D101" s="3086" t="s">
        <v>2703</v>
      </c>
      <c r="E101" s="3112">
        <v>0.1</v>
      </c>
      <c r="F101" s="3112">
        <v>15</v>
      </c>
    </row>
    <row r="102" spans="1:6" ht="13.5">
      <c r="A102" s="3112">
        <v>30</v>
      </c>
      <c r="B102" s="3791"/>
      <c r="C102" s="3086" t="s">
        <v>2704</v>
      </c>
      <c r="D102" s="3086" t="s">
        <v>2705</v>
      </c>
      <c r="E102" s="3112">
        <v>0.1</v>
      </c>
      <c r="F102" s="3112">
        <v>15</v>
      </c>
    </row>
    <row r="103" spans="1:6" ht="24">
      <c r="A103" s="3112">
        <v>31</v>
      </c>
      <c r="B103" s="3791"/>
      <c r="C103" s="3086" t="s">
        <v>2706</v>
      </c>
      <c r="D103" s="3086" t="s">
        <v>2707</v>
      </c>
      <c r="E103" s="3112">
        <v>0.1</v>
      </c>
      <c r="F103" s="3112">
        <v>15</v>
      </c>
    </row>
    <row r="104" spans="1:6" ht="24">
      <c r="A104" s="3112">
        <v>32</v>
      </c>
      <c r="B104" s="3791"/>
      <c r="C104" s="3086" t="s">
        <v>2708</v>
      </c>
      <c r="D104" s="3086" t="s">
        <v>2709</v>
      </c>
      <c r="E104" s="3112">
        <v>0.1</v>
      </c>
      <c r="F104" s="3112">
        <v>15</v>
      </c>
    </row>
    <row r="105" spans="1:6" ht="24">
      <c r="A105" s="3112">
        <v>33</v>
      </c>
      <c r="B105" s="3791"/>
      <c r="C105" s="3086" t="s">
        <v>2710</v>
      </c>
      <c r="D105" s="3086" t="s">
        <v>2711</v>
      </c>
      <c r="E105" s="3112">
        <v>0.1</v>
      </c>
      <c r="F105" s="3112">
        <v>15</v>
      </c>
    </row>
    <row r="106" spans="1:6" ht="24">
      <c r="A106" s="3112">
        <v>34</v>
      </c>
      <c r="B106" s="3800"/>
      <c r="C106" s="3086" t="s">
        <v>2712</v>
      </c>
      <c r="D106" s="3086" t="s">
        <v>2713</v>
      </c>
      <c r="E106" s="3112">
        <v>0.1</v>
      </c>
      <c r="F106" s="3112">
        <v>15</v>
      </c>
    </row>
    <row r="107" spans="1:6" ht="24">
      <c r="A107" s="3112">
        <v>35</v>
      </c>
      <c r="B107" s="3796" t="s">
        <v>2714</v>
      </c>
      <c r="C107" s="3112" t="s">
        <v>2715</v>
      </c>
      <c r="D107" s="3086" t="s">
        <v>2716</v>
      </c>
      <c r="E107" s="3112">
        <v>0.15</v>
      </c>
      <c r="F107" s="3112">
        <v>20</v>
      </c>
    </row>
    <row r="108" spans="1:6" ht="13.5">
      <c r="A108" s="3112">
        <v>36</v>
      </c>
      <c r="B108" s="3791"/>
      <c r="C108" s="3112" t="s">
        <v>2717</v>
      </c>
      <c r="D108" s="3086" t="s">
        <v>2718</v>
      </c>
      <c r="E108" s="3112">
        <v>0.15</v>
      </c>
      <c r="F108" s="3112">
        <v>20</v>
      </c>
    </row>
    <row r="109" spans="1:6" ht="13.5">
      <c r="A109" s="3112">
        <v>37</v>
      </c>
      <c r="B109" s="3791"/>
      <c r="C109" s="3112" t="s">
        <v>2719</v>
      </c>
      <c r="D109" s="3086" t="s">
        <v>2720</v>
      </c>
      <c r="E109" s="3112">
        <v>0.15</v>
      </c>
      <c r="F109" s="3112">
        <v>20</v>
      </c>
    </row>
    <row r="110" spans="1:6" ht="13.5">
      <c r="A110" s="3112">
        <v>38</v>
      </c>
      <c r="B110" s="3791"/>
      <c r="C110" s="3112" t="s">
        <v>2721</v>
      </c>
      <c r="D110" s="3086" t="s">
        <v>2722</v>
      </c>
      <c r="E110" s="3112">
        <v>0.1</v>
      </c>
      <c r="F110" s="3112">
        <v>15</v>
      </c>
    </row>
    <row r="111" spans="1:6" ht="24">
      <c r="A111" s="3112">
        <v>39</v>
      </c>
      <c r="B111" s="3791"/>
      <c r="C111" s="3112" t="s">
        <v>2723</v>
      </c>
      <c r="D111" s="3086" t="s">
        <v>2724</v>
      </c>
      <c r="E111" s="3112">
        <v>0.1</v>
      </c>
      <c r="F111" s="3112">
        <v>15</v>
      </c>
    </row>
    <row r="112" spans="1:6" ht="24">
      <c r="A112" s="3112">
        <v>40</v>
      </c>
      <c r="B112" s="3800"/>
      <c r="C112" s="3112" t="s">
        <v>2725</v>
      </c>
      <c r="D112" s="3086" t="s">
        <v>2726</v>
      </c>
      <c r="E112" s="3112">
        <v>0.1</v>
      </c>
      <c r="F112" s="3112">
        <v>15</v>
      </c>
    </row>
    <row r="113" spans="1:6" ht="13.5">
      <c r="A113" s="3112">
        <v>41</v>
      </c>
      <c r="B113" s="3801" t="s">
        <v>2727</v>
      </c>
      <c r="C113" s="3112" t="s">
        <v>2728</v>
      </c>
      <c r="D113" s="3086" t="s">
        <v>2729</v>
      </c>
      <c r="E113" s="3112">
        <v>0.1</v>
      </c>
      <c r="F113" s="3112">
        <v>15</v>
      </c>
    </row>
    <row r="114" spans="1:6" ht="13.5">
      <c r="A114" s="3112">
        <v>42</v>
      </c>
      <c r="B114" s="3801"/>
      <c r="C114" s="3112" t="s">
        <v>2730</v>
      </c>
      <c r="D114" s="3086" t="s">
        <v>2731</v>
      </c>
      <c r="E114" s="3112">
        <v>0.1</v>
      </c>
      <c r="F114" s="3112">
        <v>15</v>
      </c>
    </row>
    <row r="115" spans="1:6" ht="24">
      <c r="A115" s="3112">
        <v>43</v>
      </c>
      <c r="B115" s="3801"/>
      <c r="C115" s="3112" t="s">
        <v>2732</v>
      </c>
      <c r="D115" s="3086" t="s">
        <v>2733</v>
      </c>
      <c r="E115" s="3112">
        <v>0.1</v>
      </c>
      <c r="F115" s="3112">
        <v>15</v>
      </c>
    </row>
    <row r="116" spans="1:6" ht="13.5">
      <c r="A116" s="3112">
        <v>44</v>
      </c>
      <c r="B116" s="3796" t="s">
        <v>2734</v>
      </c>
      <c r="C116" s="3112" t="s">
        <v>2735</v>
      </c>
      <c r="D116" s="3086" t="s">
        <v>2736</v>
      </c>
      <c r="E116" s="3112">
        <v>0.1</v>
      </c>
      <c r="F116" s="3112">
        <v>15</v>
      </c>
    </row>
    <row r="117" spans="1:6" ht="24">
      <c r="A117" s="3112">
        <v>45</v>
      </c>
      <c r="B117" s="3800"/>
      <c r="C117" s="3086" t="s">
        <v>2737</v>
      </c>
      <c r="D117" s="3086" t="s">
        <v>2738</v>
      </c>
      <c r="E117" s="3112">
        <v>0.1</v>
      </c>
      <c r="F117" s="3112">
        <v>15</v>
      </c>
    </row>
    <row r="118" spans="1:6" ht="24">
      <c r="A118" s="3112">
        <v>46</v>
      </c>
      <c r="B118" s="3796" t="s">
        <v>2739</v>
      </c>
      <c r="C118" s="3112" t="s">
        <v>2740</v>
      </c>
      <c r="D118" s="3086" t="s">
        <v>2741</v>
      </c>
      <c r="E118" s="3112">
        <v>0.1</v>
      </c>
      <c r="F118" s="3112">
        <v>15</v>
      </c>
    </row>
    <row r="119" spans="1:6" ht="24">
      <c r="A119" s="3112">
        <v>47</v>
      </c>
      <c r="B119" s="3800"/>
      <c r="C119" s="3112" t="s">
        <v>2742</v>
      </c>
      <c r="D119" s="3086" t="s">
        <v>2743</v>
      </c>
      <c r="E119" s="3112">
        <v>0.1</v>
      </c>
      <c r="F119" s="3112">
        <v>15</v>
      </c>
    </row>
    <row r="120" spans="1:6" ht="13.5">
      <c r="A120" s="3112">
        <v>48</v>
      </c>
      <c r="B120" s="3796" t="s">
        <v>2744</v>
      </c>
      <c r="C120" s="3112" t="s">
        <v>2745</v>
      </c>
      <c r="D120" s="3086" t="s">
        <v>2746</v>
      </c>
      <c r="E120" s="3112">
        <v>0.1</v>
      </c>
      <c r="F120" s="3112">
        <v>15</v>
      </c>
    </row>
    <row r="121" spans="1:6" ht="13.5">
      <c r="A121" s="3112">
        <v>49</v>
      </c>
      <c r="B121" s="3800"/>
      <c r="C121" s="3112" t="s">
        <v>2747</v>
      </c>
      <c r="D121" s="3086" t="s">
        <v>2748</v>
      </c>
      <c r="E121" s="3112">
        <v>0.1</v>
      </c>
      <c r="F121" s="3112">
        <v>15</v>
      </c>
    </row>
    <row r="122" spans="1:6" ht="24">
      <c r="A122" s="3112">
        <v>50</v>
      </c>
      <c r="B122" s="3801" t="s">
        <v>2749</v>
      </c>
      <c r="C122" s="3112" t="s">
        <v>2750</v>
      </c>
      <c r="D122" s="3086" t="s">
        <v>2751</v>
      </c>
      <c r="E122" s="3112">
        <v>0.1</v>
      </c>
      <c r="F122" s="3112">
        <v>15</v>
      </c>
    </row>
    <row r="123" spans="1:6" ht="24">
      <c r="A123" s="3112">
        <v>51</v>
      </c>
      <c r="B123" s="3801"/>
      <c r="C123" s="3112" t="s">
        <v>2752</v>
      </c>
      <c r="D123" s="3086" t="s">
        <v>2753</v>
      </c>
      <c r="E123" s="3112">
        <v>0.1</v>
      </c>
      <c r="F123" s="3112">
        <v>15</v>
      </c>
    </row>
    <row r="124" spans="1:6" ht="24">
      <c r="A124" s="3112">
        <v>52</v>
      </c>
      <c r="B124" s="3801" t="s">
        <v>2754</v>
      </c>
      <c r="C124" s="3112" t="s">
        <v>2755</v>
      </c>
      <c r="D124" s="3086" t="s">
        <v>2756</v>
      </c>
      <c r="E124" s="3112">
        <v>0.1</v>
      </c>
      <c r="F124" s="3112">
        <v>15</v>
      </c>
    </row>
    <row r="125" spans="1:6" ht="24">
      <c r="A125" s="3112">
        <v>53</v>
      </c>
      <c r="B125" s="3801"/>
      <c r="C125" s="3112" t="s">
        <v>2757</v>
      </c>
      <c r="D125" s="3086" t="s">
        <v>2758</v>
      </c>
      <c r="E125" s="3112">
        <v>0.1</v>
      </c>
      <c r="F125" s="3112">
        <v>15</v>
      </c>
    </row>
    <row r="126" spans="1:6" ht="13.5">
      <c r="A126" s="3112">
        <v>54</v>
      </c>
      <c r="B126" s="3112" t="s">
        <v>2759</v>
      </c>
      <c r="C126" s="3112" t="s">
        <v>2760</v>
      </c>
      <c r="D126" s="3086" t="s">
        <v>2761</v>
      </c>
      <c r="E126" s="3112">
        <v>0.1</v>
      </c>
      <c r="F126" s="3112">
        <v>15</v>
      </c>
    </row>
    <row r="127" spans="1:6" ht="13.5">
      <c r="A127" s="3112">
        <v>55</v>
      </c>
      <c r="B127" s="3801" t="s">
        <v>2762</v>
      </c>
      <c r="C127" s="3112" t="s">
        <v>2763</v>
      </c>
      <c r="D127" s="3086" t="s">
        <v>2764</v>
      </c>
      <c r="E127" s="3112">
        <v>0.1</v>
      </c>
      <c r="F127" s="3112">
        <v>15</v>
      </c>
    </row>
    <row r="128" spans="1:6" ht="13.5">
      <c r="A128" s="3112">
        <v>56</v>
      </c>
      <c r="B128" s="3801"/>
      <c r="C128" s="3112" t="s">
        <v>2765</v>
      </c>
      <c r="D128" s="3086" t="s">
        <v>2766</v>
      </c>
      <c r="E128" s="3112">
        <v>0.1</v>
      </c>
      <c r="F128" s="3112">
        <v>15</v>
      </c>
    </row>
    <row r="129" spans="1:6" ht="24">
      <c r="A129" s="3112">
        <v>57</v>
      </c>
      <c r="B129" s="3801"/>
      <c r="C129" s="3112" t="s">
        <v>2767</v>
      </c>
      <c r="D129" s="3086" t="s">
        <v>2768</v>
      </c>
      <c r="E129" s="3112">
        <v>0.1</v>
      </c>
      <c r="F129" s="3112">
        <v>15</v>
      </c>
    </row>
    <row r="130" spans="1:6" ht="24">
      <c r="A130" s="3112">
        <v>58</v>
      </c>
      <c r="B130" s="3801" t="s">
        <v>2769</v>
      </c>
      <c r="C130" s="3112" t="s">
        <v>2770</v>
      </c>
      <c r="D130" s="3086" t="s">
        <v>2771</v>
      </c>
      <c r="E130" s="3112">
        <v>0.1</v>
      </c>
      <c r="F130" s="3112">
        <v>15</v>
      </c>
    </row>
    <row r="131" spans="1:6" ht="13.5">
      <c r="A131" s="3112">
        <v>59</v>
      </c>
      <c r="B131" s="3801"/>
      <c r="C131" s="3112" t="s">
        <v>2772</v>
      </c>
      <c r="D131" s="3086" t="s">
        <v>2773</v>
      </c>
      <c r="E131" s="3112">
        <v>0.1</v>
      </c>
      <c r="F131" s="3112">
        <v>15</v>
      </c>
    </row>
    <row r="132" spans="1:6" ht="13.5">
      <c r="A132" s="3112">
        <v>60</v>
      </c>
      <c r="B132" s="3796" t="s">
        <v>2774</v>
      </c>
      <c r="C132" s="3112" t="s">
        <v>2775</v>
      </c>
      <c r="D132" s="3086" t="s">
        <v>2776</v>
      </c>
      <c r="E132" s="3112">
        <v>0.1</v>
      </c>
      <c r="F132" s="3112">
        <v>15</v>
      </c>
    </row>
    <row r="133" spans="1:6" ht="13.5">
      <c r="A133" s="3112">
        <v>61</v>
      </c>
      <c r="B133" s="3800"/>
      <c r="C133" s="3112" t="s">
        <v>2777</v>
      </c>
      <c r="D133" s="3086" t="s">
        <v>2778</v>
      </c>
      <c r="E133" s="3112">
        <v>0.1</v>
      </c>
      <c r="F133" s="3112">
        <v>15</v>
      </c>
    </row>
    <row r="134" spans="1:6" ht="24">
      <c r="A134" s="3112">
        <v>62</v>
      </c>
      <c r="B134" s="3112" t="s">
        <v>2779</v>
      </c>
      <c r="C134" s="3112" t="s">
        <v>2780</v>
      </c>
      <c r="D134" s="3086" t="s">
        <v>2781</v>
      </c>
      <c r="E134" s="3112">
        <v>0.1</v>
      </c>
      <c r="F134" s="3112">
        <v>15</v>
      </c>
    </row>
    <row r="135" spans="1:6" ht="13.5">
      <c r="A135" s="3112">
        <v>63</v>
      </c>
      <c r="B135" s="3801" t="s">
        <v>2782</v>
      </c>
      <c r="C135" s="3112" t="s">
        <v>2783</v>
      </c>
      <c r="D135" s="3086" t="s">
        <v>2784</v>
      </c>
      <c r="E135" s="3112">
        <v>0.1</v>
      </c>
      <c r="F135" s="3112">
        <v>15</v>
      </c>
    </row>
    <row r="136" spans="1:6" ht="13.5">
      <c r="A136" s="3112">
        <v>64</v>
      </c>
      <c r="B136" s="3801"/>
      <c r="C136" s="3112" t="s">
        <v>2785</v>
      </c>
      <c r="D136" s="3086" t="s">
        <v>2786</v>
      </c>
      <c r="E136" s="3112">
        <v>0.1</v>
      </c>
      <c r="F136" s="3112">
        <v>15</v>
      </c>
    </row>
    <row r="137" spans="1:6" ht="13.5">
      <c r="A137" s="3112">
        <v>65</v>
      </c>
      <c r="B137" s="3112" t="s">
        <v>2787</v>
      </c>
      <c r="C137" s="3112" t="s">
        <v>2788</v>
      </c>
      <c r="D137" s="3086" t="s">
        <v>2789</v>
      </c>
      <c r="E137" s="3112">
        <v>0.1</v>
      </c>
      <c r="F137" s="3112">
        <v>15</v>
      </c>
    </row>
    <row r="138" spans="1:6" ht="13.5">
      <c r="A138" s="3112"/>
      <c r="B138" s="3112"/>
      <c r="C138" s="3112"/>
      <c r="D138" s="3112"/>
      <c r="E138" s="3112" t="s">
        <v>2790</v>
      </c>
      <c r="F138" s="3112"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2791</v>
      </c>
      <c r="B1" s="3121"/>
      <c r="C1" s="3121"/>
      <c r="D1" s="3121"/>
      <c r="E1" s="3121"/>
      <c r="F1" s="3121"/>
      <c r="G1" s="3121"/>
      <c r="H1" s="3121"/>
      <c r="I1" s="3121"/>
      <c r="J1" s="3121"/>
      <c r="K1" s="3121"/>
      <c r="L1" s="3121"/>
      <c r="M1" s="3121"/>
      <c r="N1" s="743"/>
    </row>
    <row r="2" spans="1:20">
      <c r="A2" s="3122" t="s">
        <v>2792</v>
      </c>
      <c r="B2" s="3123" t="s">
        <v>2588</v>
      </c>
      <c r="C2" s="3123" t="s">
        <v>2589</v>
      </c>
      <c r="D2" s="3123" t="s">
        <v>2590</v>
      </c>
      <c r="E2" s="3123" t="s">
        <v>2591</v>
      </c>
      <c r="F2" s="3123" t="s">
        <v>2592</v>
      </c>
      <c r="G2" s="3123" t="s">
        <v>2593</v>
      </c>
      <c r="H2" s="3124" t="s">
        <v>2594</v>
      </c>
      <c r="I2" s="3124" t="s">
        <v>2595</v>
      </c>
      <c r="J2" s="3125" t="s">
        <v>2596</v>
      </c>
      <c r="K2" s="3125" t="s">
        <v>2597</v>
      </c>
      <c r="L2" s="3125" t="s">
        <v>2598</v>
      </c>
      <c r="M2" s="3126" t="s">
        <v>2599</v>
      </c>
      <c r="Q2" s="3136" t="s">
        <v>2797</v>
      </c>
      <c r="R2" s="3136" t="s">
        <v>2798</v>
      </c>
      <c r="S2" s="3136" t="s">
        <v>2799</v>
      </c>
      <c r="T2" s="3136" t="s">
        <v>2800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2793</v>
      </c>
      <c r="B93" s="3121"/>
      <c r="C93" s="3121"/>
      <c r="D93" s="3121"/>
      <c r="E93" s="3121"/>
      <c r="F93" s="3121"/>
      <c r="G93" s="3121"/>
      <c r="H93" s="3121"/>
      <c r="I93" s="3121"/>
      <c r="J93" s="3121"/>
      <c r="K93" s="3121"/>
      <c r="L93" s="3121"/>
      <c r="M93" s="3121"/>
    </row>
    <row r="94" spans="1:20">
      <c r="A94" s="3122" t="s">
        <v>2792</v>
      </c>
      <c r="B94" s="3123" t="s">
        <v>2588</v>
      </c>
      <c r="C94" s="3123" t="s">
        <v>2589</v>
      </c>
      <c r="D94" s="3123" t="s">
        <v>2590</v>
      </c>
      <c r="E94" s="3123" t="s">
        <v>2591</v>
      </c>
      <c r="F94" s="3123" t="s">
        <v>2592</v>
      </c>
      <c r="G94" s="3123" t="s">
        <v>2593</v>
      </c>
      <c r="H94" s="3124" t="s">
        <v>2594</v>
      </c>
      <c r="I94" s="3124" t="s">
        <v>2595</v>
      </c>
      <c r="J94" s="3125" t="s">
        <v>2596</v>
      </c>
      <c r="K94" s="3125" t="s">
        <v>2597</v>
      </c>
      <c r="L94" s="3125" t="s">
        <v>2598</v>
      </c>
      <c r="M94" s="3126" t="s">
        <v>2599</v>
      </c>
      <c r="N94" s="744">
        <f>SUMPRODUCT((A95:A184=ROUNDDOWN(基准地价修正!G3,1))*(B94:M94=基准地价修正!G2)*(B95:M184))</f>
        <v>1.1947000000000001</v>
      </c>
      <c r="Q94" s="3136" t="s">
        <v>2797</v>
      </c>
      <c r="R94" s="3136" t="s">
        <v>2798</v>
      </c>
      <c r="S94" s="3136" t="s">
        <v>2799</v>
      </c>
      <c r="T94" s="3136" t="s">
        <v>2800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2794</v>
      </c>
      <c r="B185" s="3121"/>
      <c r="C185" s="3121"/>
      <c r="D185" s="3121"/>
      <c r="E185" s="3121"/>
      <c r="F185" s="3121"/>
      <c r="G185" s="3121"/>
      <c r="H185" s="3121"/>
      <c r="I185" s="3121"/>
      <c r="J185" s="3121"/>
      <c r="K185" s="3121"/>
      <c r="L185" s="3121"/>
      <c r="M185" s="3121"/>
    </row>
    <row r="186" spans="1:20">
      <c r="A186" s="3122" t="s">
        <v>2792</v>
      </c>
      <c r="B186" s="3123" t="s">
        <v>2588</v>
      </c>
      <c r="C186" s="3123" t="s">
        <v>2589</v>
      </c>
      <c r="D186" s="3123" t="s">
        <v>2590</v>
      </c>
      <c r="E186" s="3123" t="s">
        <v>2591</v>
      </c>
      <c r="F186" s="3123" t="s">
        <v>2592</v>
      </c>
      <c r="G186" s="3123" t="s">
        <v>2593</v>
      </c>
      <c r="H186" s="3124" t="s">
        <v>2594</v>
      </c>
      <c r="I186" s="3124" t="s">
        <v>2595</v>
      </c>
      <c r="J186" s="3125" t="s">
        <v>2596</v>
      </c>
      <c r="K186" s="3125" t="s">
        <v>2597</v>
      </c>
      <c r="L186" s="3125" t="s">
        <v>2598</v>
      </c>
      <c r="M186" s="3126" t="s">
        <v>2599</v>
      </c>
      <c r="Q186" s="3136" t="s">
        <v>2797</v>
      </c>
      <c r="R186" s="3136" t="s">
        <v>2798</v>
      </c>
      <c r="S186" s="3136" t="s">
        <v>2799</v>
      </c>
      <c r="T186" s="3136" t="s">
        <v>2800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2795</v>
      </c>
      <c r="B277" s="3121"/>
      <c r="C277" s="3121"/>
      <c r="D277" s="3121"/>
      <c r="E277" s="3121"/>
      <c r="F277" s="3121"/>
      <c r="G277" s="3121"/>
      <c r="H277" s="3121"/>
      <c r="I277" s="3121"/>
      <c r="J277" s="3121"/>
      <c r="K277" s="3121"/>
      <c r="L277" s="3121"/>
      <c r="M277" s="3121"/>
    </row>
    <row r="278" spans="1:21">
      <c r="A278" s="3122" t="s">
        <v>2792</v>
      </c>
      <c r="B278" s="3123" t="s">
        <v>2588</v>
      </c>
      <c r="C278" s="3123" t="s">
        <v>2589</v>
      </c>
      <c r="D278" s="3123" t="s">
        <v>2590</v>
      </c>
      <c r="E278" s="3123" t="s">
        <v>2591</v>
      </c>
      <c r="F278" s="3123" t="s">
        <v>2592</v>
      </c>
      <c r="G278" s="3123" t="s">
        <v>2593</v>
      </c>
      <c r="H278" s="3124" t="s">
        <v>2594</v>
      </c>
      <c r="I278" s="3124" t="s">
        <v>2595</v>
      </c>
      <c r="J278" s="3125" t="s">
        <v>2596</v>
      </c>
      <c r="K278" s="3125" t="s">
        <v>2597</v>
      </c>
      <c r="L278" s="3125" t="s">
        <v>2598</v>
      </c>
      <c r="M278" s="3126" t="s">
        <v>2599</v>
      </c>
      <c r="Q278" s="3136" t="s">
        <v>2797</v>
      </c>
      <c r="R278" s="3136" t="s">
        <v>2798</v>
      </c>
      <c r="S278" s="3136" t="s">
        <v>2801</v>
      </c>
      <c r="T278" s="3136" t="s">
        <v>2802</v>
      </c>
      <c r="U278" s="3136" t="s">
        <v>2800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2796</v>
      </c>
      <c r="B369" s="3134"/>
      <c r="C369" s="3134"/>
      <c r="D369" s="3134"/>
      <c r="E369" s="3134"/>
      <c r="F369" s="3134"/>
      <c r="G369" s="3134"/>
      <c r="H369" s="3134"/>
      <c r="I369" s="3134"/>
      <c r="J369" s="3134"/>
      <c r="K369" s="3134"/>
      <c r="L369" s="3134"/>
      <c r="M369" s="3134"/>
    </row>
    <row r="370" spans="1:20">
      <c r="A370" s="3122" t="s">
        <v>2792</v>
      </c>
      <c r="B370" s="3123" t="s">
        <v>2588</v>
      </c>
      <c r="C370" s="3123" t="s">
        <v>2589</v>
      </c>
      <c r="D370" s="3123" t="s">
        <v>2590</v>
      </c>
      <c r="E370" s="3123" t="s">
        <v>2591</v>
      </c>
      <c r="F370" s="3123" t="s">
        <v>2592</v>
      </c>
      <c r="G370" s="3123" t="s">
        <v>2593</v>
      </c>
      <c r="H370" s="3124" t="s">
        <v>2594</v>
      </c>
      <c r="I370" s="3124" t="s">
        <v>2595</v>
      </c>
      <c r="J370" s="3125" t="s">
        <v>2596</v>
      </c>
      <c r="K370" s="3125" t="s">
        <v>2597</v>
      </c>
      <c r="L370" s="3125" t="s">
        <v>2598</v>
      </c>
      <c r="M370" s="3126" t="s">
        <v>2599</v>
      </c>
      <c r="N370" s="744">
        <f>SUMPRODUCT((A371:A460=ROUNDDOWN(基准地价修正!G3,1))*(B370:M370=基准地价修正!G2)*(B371:M460))</f>
        <v>1.1364000000000001</v>
      </c>
      <c r="Q370" s="3136" t="s">
        <v>2797</v>
      </c>
      <c r="R370" s="3136" t="s">
        <v>2798</v>
      </c>
      <c r="S370" s="3136" t="s">
        <v>2799</v>
      </c>
      <c r="T370" s="3136" t="s">
        <v>2800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31756</v>
      </c>
      <c r="C2" s="2" t="s">
        <v>106</v>
      </c>
      <c r="D2" s="196"/>
      <c r="E2" s="196"/>
      <c r="F2" s="196"/>
      <c r="G2" s="196"/>
    </row>
    <row r="3" spans="1:7" s="197" customFormat="1" ht="18" customHeight="1" thickBot="1">
      <c r="A3" s="200" t="s">
        <v>58</v>
      </c>
      <c r="B3" s="201">
        <f ca="1">ROUND(B2*10000/'数据-汇总表'!E3,0)</f>
        <v>17893</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2" t="s">
        <v>346</v>
      </c>
      <c r="B6" s="212" t="s">
        <v>64</v>
      </c>
      <c r="C6" s="213">
        <v>20000</v>
      </c>
      <c r="D6" s="214"/>
      <c r="E6" s="215"/>
      <c r="F6" s="215"/>
      <c r="G6" s="216"/>
    </row>
    <row r="7" spans="1:7" s="211" customFormat="1" ht="13.5" customHeight="1">
      <c r="A7" s="772" t="s">
        <v>347</v>
      </c>
      <c r="B7" s="212" t="s">
        <v>30</v>
      </c>
      <c r="C7" s="217">
        <f>ROUND(C6*F7,0)</f>
        <v>610</v>
      </c>
      <c r="D7" s="217"/>
      <c r="E7" s="215"/>
      <c r="F7" s="218">
        <f>'数据-取费表'!B48+'数据-取费表'!B49</f>
        <v>3.0499999999999999E-2</v>
      </c>
      <c r="G7" s="216"/>
    </row>
    <row r="8" spans="1:7" s="220" customFormat="1">
      <c r="A8" s="772" t="s">
        <v>348</v>
      </c>
      <c r="B8" s="212" t="s">
        <v>65</v>
      </c>
      <c r="C8" s="217" t="str">
        <f>IF(G8="已包含在土地购买价格中","0",'数据-取费表'!B29)</f>
        <v>0</v>
      </c>
      <c r="D8" s="219"/>
      <c r="E8" s="217"/>
      <c r="F8" s="218"/>
      <c r="G8" s="1" t="s">
        <v>451</v>
      </c>
    </row>
    <row r="9" spans="1:7" s="211" customFormat="1" ht="13.5" customHeight="1">
      <c r="A9" s="773" t="s">
        <v>355</v>
      </c>
      <c r="B9" s="221" t="s">
        <v>66</v>
      </c>
      <c r="C9" s="222">
        <f>ROUND(D9*E9/10000,0)</f>
        <v>0</v>
      </c>
      <c r="D9" s="839">
        <f>'数据-汇总表'!E5</f>
        <v>0</v>
      </c>
      <c r="E9" s="222">
        <f>'数据-取费表'!B27</f>
        <v>160</v>
      </c>
      <c r="F9" s="218"/>
      <c r="G9" s="223"/>
    </row>
    <row r="10" spans="1:7" s="211" customFormat="1" ht="13.5" customHeight="1">
      <c r="A10" s="773" t="s">
        <v>356</v>
      </c>
      <c r="B10" s="221" t="s">
        <v>67</v>
      </c>
      <c r="C10" s="222">
        <f>ROUND(D10*E10/10000,0)</f>
        <v>355</v>
      </c>
      <c r="D10" s="839">
        <f>'数据-汇总表'!E6</f>
        <v>17747.629999999997</v>
      </c>
      <c r="E10" s="222">
        <f>'数据-取费表'!B28</f>
        <v>200</v>
      </c>
      <c r="F10" s="218"/>
      <c r="G10" s="223"/>
    </row>
    <row r="11" spans="1:7" s="211" customFormat="1" ht="13.5" hidden="1" customHeight="1">
      <c r="A11" s="224" t="s">
        <v>4</v>
      </c>
      <c r="B11" s="212" t="s">
        <v>68</v>
      </c>
      <c r="C11" s="208"/>
      <c r="D11" s="841"/>
      <c r="E11" s="215"/>
      <c r="F11" s="215"/>
      <c r="G11" s="216"/>
    </row>
    <row r="12" spans="1:7" s="211" customFormat="1" ht="13.5" hidden="1" customHeight="1">
      <c r="A12" s="224" t="s">
        <v>5</v>
      </c>
      <c r="B12" s="212" t="s">
        <v>69</v>
      </c>
      <c r="C12" s="208">
        <v>0</v>
      </c>
      <c r="D12" s="841"/>
      <c r="E12" s="225"/>
      <c r="F12" s="218">
        <v>3.0499999999999999E-2</v>
      </c>
      <c r="G12" s="216"/>
    </row>
    <row r="13" spans="1:7" s="211" customFormat="1" ht="13.5" hidden="1" customHeight="1">
      <c r="A13" s="224" t="s">
        <v>6</v>
      </c>
      <c r="B13" s="212" t="s">
        <v>70</v>
      </c>
      <c r="C13" s="208"/>
      <c r="D13" s="841"/>
      <c r="E13" s="215"/>
      <c r="F13" s="215"/>
      <c r="G13" s="216"/>
    </row>
    <row r="14" spans="1:7" s="211" customFormat="1" ht="13.5" hidden="1" customHeight="1">
      <c r="A14" s="224" t="s">
        <v>7</v>
      </c>
      <c r="B14" s="212" t="s">
        <v>65</v>
      </c>
      <c r="C14" s="208"/>
      <c r="D14" s="841"/>
      <c r="E14" s="215"/>
      <c r="F14" s="215"/>
      <c r="G14" s="216" t="s">
        <v>71</v>
      </c>
    </row>
    <row r="15" spans="1:7" s="211" customFormat="1" ht="13.5" hidden="1" customHeight="1">
      <c r="A15" s="224" t="s">
        <v>8</v>
      </c>
      <c r="B15" s="212" t="s">
        <v>72</v>
      </c>
      <c r="C15" s="217"/>
      <c r="D15" s="841"/>
      <c r="E15" s="215"/>
      <c r="F15" s="215"/>
      <c r="G15" s="216" t="s">
        <v>73</v>
      </c>
    </row>
    <row r="16" spans="1:7" s="211" customFormat="1" ht="13.5" hidden="1" customHeight="1">
      <c r="A16" s="224" t="s">
        <v>9</v>
      </c>
      <c r="B16" s="212" t="s">
        <v>65</v>
      </c>
      <c r="C16" s="217"/>
      <c r="D16" s="841"/>
      <c r="E16" s="215"/>
      <c r="F16" s="215"/>
      <c r="G16" s="216"/>
    </row>
    <row r="17" spans="1:7" s="211" customFormat="1" ht="13.5" hidden="1" customHeight="1">
      <c r="A17" s="224" t="s">
        <v>10</v>
      </c>
      <c r="B17" s="212" t="s">
        <v>74</v>
      </c>
      <c r="C17" s="226"/>
      <c r="D17" s="842"/>
      <c r="E17" s="226"/>
      <c r="F17" s="226"/>
      <c r="G17" s="216" t="s">
        <v>73</v>
      </c>
    </row>
    <row r="18" spans="1:7" s="211" customFormat="1" ht="13.5" hidden="1" customHeight="1">
      <c r="A18" s="224" t="s">
        <v>11</v>
      </c>
      <c r="B18" s="212" t="s">
        <v>75</v>
      </c>
      <c r="C18" s="217">
        <v>0</v>
      </c>
      <c r="D18" s="841"/>
      <c r="E18" s="215"/>
      <c r="F18" s="218">
        <v>3.0499999999999999E-2</v>
      </c>
      <c r="G18" s="216" t="s">
        <v>76</v>
      </c>
    </row>
    <row r="19" spans="1:7" s="220" customFormat="1" ht="13.5" customHeight="1">
      <c r="A19" s="771" t="s">
        <v>417</v>
      </c>
      <c r="B19" s="207" t="s">
        <v>84</v>
      </c>
      <c r="C19" s="208">
        <f>IF(G19="已包含在土地取得成本中","0",ROUND(D19*E19/10000,0))</f>
        <v>355</v>
      </c>
      <c r="D19" s="843">
        <f>'数据-汇总表'!E3</f>
        <v>17747.629999999997</v>
      </c>
      <c r="E19" s="208">
        <f>'数据-取费表'!B31</f>
        <v>200</v>
      </c>
      <c r="F19" s="228"/>
      <c r="G19" s="1" t="s">
        <v>436</v>
      </c>
    </row>
    <row r="20" spans="1:7" s="211" customFormat="1" ht="13.5" customHeight="1">
      <c r="A20" s="771" t="s">
        <v>419</v>
      </c>
      <c r="B20" s="207" t="s">
        <v>77</v>
      </c>
      <c r="C20" s="229">
        <f>ROUND((C5+C19)*F20,0)</f>
        <v>419</v>
      </c>
      <c r="D20" s="229"/>
      <c r="E20" s="229"/>
      <c r="F20" s="230">
        <f>'数据-取费表'!B37</f>
        <v>0.02</v>
      </c>
      <c r="G20" s="1061" t="s">
        <v>430</v>
      </c>
    </row>
    <row r="21" spans="1:7" s="211" customFormat="1" ht="13.5" customHeight="1">
      <c r="A21" s="771" t="s">
        <v>421</v>
      </c>
      <c r="B21" s="207" t="s">
        <v>78</v>
      </c>
      <c r="C21" s="232">
        <f>F21</f>
        <v>0.02</v>
      </c>
      <c r="D21" s="233" t="s">
        <v>99</v>
      </c>
      <c r="E21" s="229"/>
      <c r="F21" s="230">
        <f>'数据-取费表'!B38</f>
        <v>0.02</v>
      </c>
      <c r="G21" s="231" t="s">
        <v>79</v>
      </c>
    </row>
    <row r="22" spans="1:7" s="211" customFormat="1" ht="13.5" customHeight="1">
      <c r="A22" s="771" t="s">
        <v>341</v>
      </c>
      <c r="B22" s="207" t="s">
        <v>80</v>
      </c>
      <c r="C22" s="1098">
        <f ca="1">ROUND(SUM(C23:C25),0)</f>
        <v>1072</v>
      </c>
      <c r="D22" s="232">
        <f ca="1">C26</f>
        <v>5.0000000000000001E-4</v>
      </c>
      <c r="E22" s="233" t="s">
        <v>99</v>
      </c>
      <c r="F22" s="234">
        <f ca="1">'数据-取费表'!B40</f>
        <v>3.3500000000000002E-2</v>
      </c>
      <c r="G22" s="1061" t="str">
        <f>IF('数据-取费表'!B22&lt;=1,"单利计息","复利计息")</f>
        <v>复利计息</v>
      </c>
    </row>
    <row r="23" spans="1:7" s="211" customFormat="1" ht="13.5" customHeight="1">
      <c r="A23" s="774" t="s">
        <v>349</v>
      </c>
      <c r="B23" s="212" t="s">
        <v>423</v>
      </c>
      <c r="C23" s="1099">
        <f ca="1">ROUND(IF('数据-取费表'!B22&lt;=1,C5*F22*'数据-取费表'!B23,C5*(POWER((1+F22),'数据-取费表'!B23)-1)),0)</f>
        <v>1044</v>
      </c>
      <c r="D23" s="235"/>
      <c r="E23" s="235"/>
      <c r="F23" s="236"/>
      <c r="G23" s="237" t="s">
        <v>81</v>
      </c>
    </row>
    <row r="24" spans="1:7" s="211" customFormat="1" ht="13.5" customHeight="1">
      <c r="A24" s="774" t="s">
        <v>347</v>
      </c>
      <c r="B24" s="212" t="s">
        <v>418</v>
      </c>
      <c r="C24" s="1099">
        <f ca="1">ROUND(IF('数据-取费表'!B22&lt;=1,C19*F22*('数据-取费表'!B19/2+'数据-取费表'!B21),C19*(POWER((1+F22),('数据-取费表'!B19/2+'数据-取费表'!B21))-1)),0)</f>
        <v>18</v>
      </c>
      <c r="D24" s="235"/>
      <c r="E24" s="235"/>
      <c r="F24" s="236"/>
      <c r="G24" s="237" t="s">
        <v>82</v>
      </c>
    </row>
    <row r="25" spans="1:7" s="211" customFormat="1" ht="24">
      <c r="A25" s="774" t="s">
        <v>348</v>
      </c>
      <c r="B25" s="212" t="s">
        <v>420</v>
      </c>
      <c r="C25" s="1099">
        <f ca="1">ROUND(IF('数据-取费表'!B22&lt;=1,C20*F22*'数据-取费表'!B23/2,C20*(POWER((1+F22),'数据-取费表'!B23/2)-1)),0)</f>
        <v>10</v>
      </c>
      <c r="D25" s="235"/>
      <c r="E25" s="238"/>
      <c r="F25" s="236"/>
      <c r="G25" s="239" t="s">
        <v>83</v>
      </c>
    </row>
    <row r="26" spans="1:7" s="211" customFormat="1">
      <c r="A26" s="774" t="s">
        <v>350</v>
      </c>
      <c r="B26" s="212" t="s">
        <v>422</v>
      </c>
      <c r="C26" s="235">
        <f ca="1">ROUND(IF('数据-取费表'!B22&lt;=1,F21*F22*'数据-取费表'!B23/2,F21*(POWER((1+F22),'数据-取费表'!B23/2)-1)),4)</f>
        <v>5.0000000000000001E-4</v>
      </c>
      <c r="D26" s="235"/>
      <c r="E26" s="238"/>
      <c r="F26" s="236"/>
      <c r="G26" s="240"/>
    </row>
    <row r="27" spans="1:7" s="211" customFormat="1" ht="24.75">
      <c r="A27" s="771" t="s">
        <v>342</v>
      </c>
      <c r="B27" s="241" t="s">
        <v>85</v>
      </c>
      <c r="C27" s="242">
        <f>C28</f>
        <v>2138</v>
      </c>
      <c r="D27" s="232">
        <f>C29</f>
        <v>2E-3</v>
      </c>
      <c r="E27" s="233" t="s">
        <v>99</v>
      </c>
      <c r="F27" s="243">
        <f>'数据-取费表'!Q16</f>
        <v>0.1</v>
      </c>
      <c r="G27" s="244" t="s">
        <v>431</v>
      </c>
    </row>
    <row r="28" spans="1:7" s="211" customFormat="1" ht="13.5" customHeight="1">
      <c r="A28" s="774" t="s">
        <v>349</v>
      </c>
      <c r="B28" s="245" t="s">
        <v>424</v>
      </c>
      <c r="C28" s="246">
        <f>ROUND((C5+C19+C20)*F27*'数据-取费表'!B21/'数据-取费表'!B20,0)</f>
        <v>2138</v>
      </c>
      <c r="D28" s="232"/>
      <c r="E28" s="233"/>
      <c r="F28" s="243"/>
      <c r="G28" s="244"/>
    </row>
    <row r="29" spans="1:7" s="211" customFormat="1" ht="13.5" customHeight="1">
      <c r="A29" s="774" t="s">
        <v>347</v>
      </c>
      <c r="B29" s="245" t="s">
        <v>425</v>
      </c>
      <c r="C29" s="235">
        <f>ROUND(C21*F27*'数据-取费表'!B21/'数据-取费表'!B20,4)</f>
        <v>2E-3</v>
      </c>
      <c r="D29" s="232"/>
      <c r="E29" s="233"/>
      <c r="F29" s="243"/>
      <c r="G29" s="244"/>
    </row>
    <row r="30" spans="1:7" s="211" customFormat="1" ht="13.5" customHeight="1">
      <c r="A30" s="771" t="s">
        <v>343</v>
      </c>
      <c r="B30" s="207" t="s">
        <v>31</v>
      </c>
      <c r="C30" s="232">
        <f>F30</f>
        <v>5.6000000000000001E-2</v>
      </c>
      <c r="D30" s="233" t="s">
        <v>100</v>
      </c>
      <c r="E30" s="238"/>
      <c r="F30" s="234">
        <f>'数据-取费表'!B41</f>
        <v>5.6000000000000001E-2</v>
      </c>
      <c r="G30" s="231" t="s">
        <v>86</v>
      </c>
    </row>
    <row r="31" spans="1:7" ht="16.5" customHeight="1">
      <c r="A31" s="206">
        <v>1</v>
      </c>
      <c r="B31" s="207" t="s">
        <v>101</v>
      </c>
      <c r="C31" s="208">
        <f ca="1">ROUND((C5+C19+C20+C22+C27)/(1-C21-D22-D27-C30/(1+'数据-取费表'!B42)),0)</f>
        <v>26612</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5919</v>
      </c>
      <c r="D33" s="229"/>
      <c r="E33" s="209"/>
      <c r="F33" s="238"/>
      <c r="G33" s="231"/>
    </row>
    <row r="34" spans="1:7" s="255" customFormat="1" ht="13.5" customHeight="1">
      <c r="A34" s="774" t="s">
        <v>349</v>
      </c>
      <c r="B34" s="212" t="s">
        <v>32</v>
      </c>
      <c r="C34" s="217">
        <f>IF(F34=100%,'数据-取费表'!M16-SUMIF('数据-取费表'!C:C,"公共配套",'数据-取费表'!M:M),'数据-取费表'!O16-SUMIF('数据-取费表'!C:C,"公共配套",'数据-取费表'!O:O))</f>
        <v>5324</v>
      </c>
      <c r="D34" s="214"/>
      <c r="E34" s="217"/>
      <c r="F34" s="254">
        <f>IF('数据-取费表'!B24=0,1,'数据-取费表'!N16)</f>
        <v>1</v>
      </c>
      <c r="G34" s="216" t="s">
        <v>89</v>
      </c>
    </row>
    <row r="35" spans="1:7" ht="13.5" customHeight="1">
      <c r="A35" s="774" t="s">
        <v>351</v>
      </c>
      <c r="B35" s="212" t="s">
        <v>33</v>
      </c>
      <c r="C35" s="217">
        <f>ROUND(C34*F35,0)</f>
        <v>160</v>
      </c>
      <c r="D35" s="217"/>
      <c r="E35" s="217"/>
      <c r="F35" s="256">
        <f>'数据-取费表'!B33</f>
        <v>0.03</v>
      </c>
      <c r="G35" s="216" t="s">
        <v>90</v>
      </c>
    </row>
    <row r="36" spans="1:7" ht="24">
      <c r="A36" s="774"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4" t="s">
        <v>353</v>
      </c>
      <c r="B37" s="212" t="s">
        <v>91</v>
      </c>
      <c r="C37" s="246">
        <f>ROUND(E37*D37*F34/10000,0)</f>
        <v>355</v>
      </c>
      <c r="D37" s="214">
        <f>'数据-汇总表'!E3</f>
        <v>17747.629999999997</v>
      </c>
      <c r="E37" s="246">
        <f>'数据-取费表'!B35</f>
        <v>200</v>
      </c>
      <c r="F37" s="256"/>
      <c r="G37" s="258" t="s">
        <v>92</v>
      </c>
    </row>
    <row r="38" spans="1:7" ht="13.5" customHeight="1">
      <c r="A38" s="774" t="s">
        <v>354</v>
      </c>
      <c r="B38" s="212" t="s">
        <v>36</v>
      </c>
      <c r="C38" s="217">
        <f>ROUND(C34*F38,0)</f>
        <v>80</v>
      </c>
      <c r="D38" s="217"/>
      <c r="E38" s="217"/>
      <c r="F38" s="256">
        <f>'数据-取费表'!B36</f>
        <v>1.4999999999999999E-2</v>
      </c>
      <c r="G38" s="216" t="s">
        <v>90</v>
      </c>
    </row>
    <row r="39" spans="1:7" s="211" customFormat="1" ht="13.5" customHeight="1">
      <c r="A39" s="771" t="s">
        <v>338</v>
      </c>
      <c r="B39" s="207" t="s">
        <v>77</v>
      </c>
      <c r="C39" s="229">
        <f>ROUND(C33*F20,0)</f>
        <v>118</v>
      </c>
      <c r="D39" s="229"/>
      <c r="E39" s="229"/>
      <c r="F39" s="230"/>
      <c r="G39" s="1061" t="s">
        <v>433</v>
      </c>
    </row>
    <row r="40" spans="1:7" s="211" customFormat="1" ht="13.5" customHeight="1">
      <c r="A40" s="771" t="s">
        <v>339</v>
      </c>
      <c r="B40" s="207" t="s">
        <v>78</v>
      </c>
      <c r="C40" s="259">
        <f>F21</f>
        <v>0.02</v>
      </c>
      <c r="D40" s="233" t="s">
        <v>102</v>
      </c>
      <c r="E40" s="229"/>
      <c r="F40" s="230"/>
      <c r="G40" s="231" t="s">
        <v>93</v>
      </c>
    </row>
    <row r="41" spans="1:7" s="211" customFormat="1" ht="13.5" customHeight="1">
      <c r="A41" s="771" t="s">
        <v>340</v>
      </c>
      <c r="B41" s="207" t="s">
        <v>80</v>
      </c>
      <c r="C41" s="229">
        <f ca="1">ROUND(SUM(C42:C43),0)</f>
        <v>151</v>
      </c>
      <c r="D41" s="232">
        <f ca="1">C44</f>
        <v>5.0000000000000001E-4</v>
      </c>
      <c r="E41" s="233" t="s">
        <v>102</v>
      </c>
      <c r="F41" s="234"/>
      <c r="G41" s="1061" t="str">
        <f>IF('数据-取费表'!B22&lt;=1,"单利计息","复利计息")</f>
        <v>复利计息</v>
      </c>
    </row>
    <row r="42" spans="1:7" ht="13.5" customHeight="1">
      <c r="A42" s="774" t="s">
        <v>349</v>
      </c>
      <c r="B42" s="212" t="s">
        <v>423</v>
      </c>
      <c r="C42" s="235">
        <f ca="1">ROUND(IF('数据-取费表'!B22&lt;=1,C33*F22*'数据-取费表'!B21/2,C33*(POWER((1+F22),'数据-取费表'!B21/2)-1)),0)</f>
        <v>148</v>
      </c>
      <c r="D42" s="235"/>
      <c r="E42" s="235"/>
      <c r="F42" s="236"/>
      <c r="G42" s="3683" t="s">
        <v>94</v>
      </c>
    </row>
    <row r="43" spans="1:7" ht="13.5" customHeight="1">
      <c r="A43" s="774" t="s">
        <v>347</v>
      </c>
      <c r="B43" s="212" t="s">
        <v>426</v>
      </c>
      <c r="C43" s="235">
        <f ca="1">ROUND(IF('数据-取费表'!B22&lt;=1,C39*F22*'数据-取费表'!B21/2,C39*(POWER((1+F22),'数据-取费表'!B21/2)-1)),0)</f>
        <v>3</v>
      </c>
      <c r="D43" s="235"/>
      <c r="E43" s="235"/>
      <c r="F43" s="236"/>
      <c r="G43" s="3684"/>
    </row>
    <row r="44" spans="1:7" ht="13.5" customHeight="1">
      <c r="A44" s="774" t="s">
        <v>348</v>
      </c>
      <c r="B44" s="212" t="s">
        <v>428</v>
      </c>
      <c r="C44" s="235">
        <f ca="1">ROUND(IF('数据-取费表'!B22&lt;=1,C40*F22*'数据-取费表'!B21/2,C40*(POWER((1+F22),'数据-取费表'!B21/2)-1)),4)</f>
        <v>5.0000000000000001E-4</v>
      </c>
      <c r="D44" s="235"/>
      <c r="E44" s="235"/>
      <c r="F44" s="236"/>
      <c r="G44" s="3685"/>
    </row>
    <row r="45" spans="1:7" s="211" customFormat="1" ht="13.5" customHeight="1">
      <c r="A45" s="771" t="s">
        <v>341</v>
      </c>
      <c r="B45" s="241" t="s">
        <v>85</v>
      </c>
      <c r="C45" s="242">
        <f>C46</f>
        <v>604</v>
      </c>
      <c r="D45" s="232">
        <f>C47</f>
        <v>2E-3</v>
      </c>
      <c r="E45" s="233" t="s">
        <v>102</v>
      </c>
      <c r="F45" s="243"/>
      <c r="G45" s="244" t="s">
        <v>434</v>
      </c>
    </row>
    <row r="46" spans="1:7" s="211" customFormat="1" ht="13.5" customHeight="1">
      <c r="A46" s="774" t="s">
        <v>349</v>
      </c>
      <c r="B46" s="245" t="s">
        <v>427</v>
      </c>
      <c r="C46" s="246">
        <f>ROUND((C33+C39)*F27,0)</f>
        <v>604</v>
      </c>
      <c r="D46" s="260"/>
      <c r="E46" s="233"/>
      <c r="F46" s="243"/>
      <c r="G46" s="244"/>
    </row>
    <row r="47" spans="1:7" s="211" customFormat="1" ht="13.5" customHeight="1">
      <c r="A47" s="774" t="s">
        <v>347</v>
      </c>
      <c r="B47" s="245" t="s">
        <v>429</v>
      </c>
      <c r="C47" s="235">
        <f>ROUND(C40*F27,4)</f>
        <v>2E-3</v>
      </c>
      <c r="D47" s="260"/>
      <c r="E47" s="233"/>
      <c r="F47" s="243"/>
      <c r="G47" s="244"/>
    </row>
    <row r="48" spans="1:7" s="211" customFormat="1" ht="13.5" customHeight="1">
      <c r="A48" s="771" t="s">
        <v>342</v>
      </c>
      <c r="B48" s="207" t="s">
        <v>95</v>
      </c>
      <c r="C48" s="259">
        <f>F30</f>
        <v>5.6000000000000001E-2</v>
      </c>
      <c r="D48" s="233" t="s">
        <v>103</v>
      </c>
      <c r="E48" s="229"/>
      <c r="F48" s="234"/>
      <c r="G48" s="231" t="s">
        <v>96</v>
      </c>
    </row>
    <row r="49" spans="1:7" ht="16.5" customHeight="1">
      <c r="A49" s="771" t="s">
        <v>343</v>
      </c>
      <c r="B49" s="207" t="s">
        <v>104</v>
      </c>
      <c r="C49" s="229">
        <f ca="1">ROUND((C33+C39+C41+C45)/(1-C40-D41-D45-C48/(1+'数据-取费表'!B42)),0)</f>
        <v>7349</v>
      </c>
      <c r="D49" s="229"/>
      <c r="E49" s="229"/>
      <c r="F49" s="261"/>
      <c r="G49" s="231" t="s">
        <v>435</v>
      </c>
    </row>
    <row r="50" spans="1:7" s="255" customFormat="1" ht="24">
      <c r="A50" s="771" t="s">
        <v>344</v>
      </c>
      <c r="B50" s="207" t="s">
        <v>97</v>
      </c>
      <c r="C50" s="229"/>
      <c r="D50" s="229"/>
      <c r="E50" s="229"/>
      <c r="F50" s="261">
        <f>IF('数据-取费表'!B24=0,'数据-取费表'!N16,1)</f>
        <v>0.7</v>
      </c>
      <c r="G50" s="244" t="s">
        <v>98</v>
      </c>
    </row>
    <row r="51" spans="1:7" ht="16.5" customHeight="1">
      <c r="A51" s="771" t="s">
        <v>345</v>
      </c>
      <c r="B51" s="207" t="s">
        <v>105</v>
      </c>
      <c r="C51" s="229">
        <f ca="1">ROUND(C49*F50,0)</f>
        <v>5144</v>
      </c>
      <c r="D51" s="229"/>
      <c r="E51" s="229"/>
      <c r="F51" s="261"/>
      <c r="G51" s="231" t="s">
        <v>37</v>
      </c>
    </row>
    <row r="52" spans="1:7" s="205" customFormat="1" ht="16.5" thickBot="1">
      <c r="A52" s="262" t="s">
        <v>38</v>
      </c>
      <c r="B52" s="263"/>
      <c r="C52" s="264">
        <f ca="1">C31+C51</f>
        <v>31756</v>
      </c>
      <c r="D52" s="263"/>
      <c r="E52" s="263"/>
      <c r="F52" s="263"/>
      <c r="G52" s="265"/>
    </row>
    <row r="55" spans="1:7" ht="15">
      <c r="B55" s="267" t="s">
        <v>39</v>
      </c>
      <c r="C55" s="268"/>
    </row>
    <row r="56" spans="1:7">
      <c r="B56" s="270" t="s">
        <v>40</v>
      </c>
      <c r="C56" s="271">
        <f ca="1">ROUND(C51/C52,3)</f>
        <v>0.16200000000000001</v>
      </c>
    </row>
    <row r="57" spans="1:7">
      <c r="B57" s="270" t="s">
        <v>41</v>
      </c>
      <c r="C57" s="272">
        <f ca="1">1-C56</f>
        <v>0.83799999999999997</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4" t="s">
        <v>2832</v>
      </c>
      <c r="B1" s="3804"/>
      <c r="C1" s="3804"/>
      <c r="D1" s="3804"/>
      <c r="E1" s="3804"/>
      <c r="F1" s="3804"/>
      <c r="G1" s="3805"/>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802" t="s">
        <v>2859</v>
      </c>
      <c r="B3" s="3224"/>
      <c r="C3" s="3225" t="s">
        <v>2804</v>
      </c>
      <c r="D3" s="3225" t="s">
        <v>2860</v>
      </c>
      <c r="E3" s="3225" t="s">
        <v>2806</v>
      </c>
      <c r="F3" s="3225" t="s">
        <v>2861</v>
      </c>
      <c r="G3" s="3225" t="s">
        <v>2624</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803"/>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spans="1:5" ht="18">
      <c r="A3" s="3497" t="str">
        <f>IF(项目基本情况!B9="房地产市场价值","估价结果一览表（市场价值不需“结果表-1”）","估价结果一览表")</f>
        <v>估价结果一览表</v>
      </c>
      <c r="B3" s="3497"/>
      <c r="C3" s="3497"/>
      <c r="D3" s="3497"/>
      <c r="E3" s="3497"/>
    </row>
    <row r="4" spans="1:5" ht="19.5" thickBot="1">
      <c r="A4" s="1487"/>
      <c r="B4" s="3495" t="s">
        <v>917</v>
      </c>
      <c r="C4" s="3495"/>
      <c r="D4" s="3495"/>
      <c r="E4" s="1487"/>
    </row>
    <row r="5" spans="1:5" ht="16.5" thickTop="1">
      <c r="A5" s="1485"/>
      <c r="B5" s="3493" t="s">
        <v>909</v>
      </c>
      <c r="C5" s="1488" t="s">
        <v>910</v>
      </c>
      <c r="D5" s="844">
        <f ca="1">结果表!H101</f>
        <v>11143</v>
      </c>
      <c r="E5" s="1485"/>
    </row>
    <row r="6" spans="1:5" ht="15.75">
      <c r="A6" s="1485"/>
      <c r="B6" s="3493"/>
      <c r="C6" s="1488" t="s">
        <v>911</v>
      </c>
      <c r="D6" s="844" t="str">
        <f ca="1">NUMBERSTRING(INT(D5*10000),2)&amp;"元整"</f>
        <v>壹亿壹仟壹佰肆拾叁万元整</v>
      </c>
      <c r="E6" s="1485"/>
    </row>
    <row r="7" spans="1:5" ht="15.75">
      <c r="A7" s="1485"/>
      <c r="B7" s="3498"/>
      <c r="C7" s="1489" t="s">
        <v>912</v>
      </c>
      <c r="D7" s="845">
        <f ca="1">结果表!H102</f>
        <v>6279</v>
      </c>
      <c r="E7" s="1485"/>
    </row>
    <row r="8" spans="1:5" ht="15.75">
      <c r="A8" s="1485"/>
      <c r="B8" s="3499" t="str">
        <f>结果表!E103</f>
        <v>2.估价师知悉的法定优先受偿款</v>
      </c>
      <c r="C8" s="1490" t="s">
        <v>913</v>
      </c>
      <c r="D8" s="845">
        <f>结果表!H103</f>
        <v>0</v>
      </c>
      <c r="E8" s="1485"/>
    </row>
    <row r="9" spans="1:5" ht="15.75">
      <c r="A9" s="1485"/>
      <c r="B9" s="3501"/>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492" t="str">
        <f>结果表!E107</f>
        <v>3.房地产抵押价值</v>
      </c>
      <c r="C13" s="1493" t="s">
        <v>910</v>
      </c>
      <c r="D13" s="847">
        <f ca="1">结果表!H107</f>
        <v>11143</v>
      </c>
      <c r="E13" s="1485"/>
    </row>
    <row r="14" spans="1:5" ht="15.75">
      <c r="A14" s="1485"/>
      <c r="B14" s="3493"/>
      <c r="C14" s="1488" t="s">
        <v>911</v>
      </c>
      <c r="D14" s="844" t="str">
        <f ca="1">NUMBERSTRING(INT(D13*10000),2)&amp;"元整"</f>
        <v>壹亿壹仟壹佰肆拾叁万元整</v>
      </c>
      <c r="E14" s="1485"/>
    </row>
    <row r="15" spans="1:5" ht="15">
      <c r="A15" s="1485"/>
      <c r="B15" s="3498"/>
      <c r="C15" s="1489" t="s">
        <v>921</v>
      </c>
      <c r="D15" s="853">
        <f ca="1">结果表!H108</f>
        <v>6279</v>
      </c>
      <c r="E15" s="1485"/>
    </row>
    <row r="16" spans="1:5" ht="15">
      <c r="A16" s="1485"/>
      <c r="B16" s="3499" t="str">
        <f>结果表!E109</f>
        <v>——</v>
      </c>
      <c r="C16" s="1493" t="s">
        <v>922</v>
      </c>
      <c r="D16" s="1494" t="str">
        <f>结果表!H109</f>
        <v>——</v>
      </c>
      <c r="E16" s="1485"/>
    </row>
    <row r="17" spans="1:5" ht="15.75">
      <c r="A17" s="1485"/>
      <c r="B17" s="3500"/>
      <c r="C17" s="1488" t="s">
        <v>923</v>
      </c>
      <c r="D17" s="844" t="e">
        <f>NUMBERSTRING(INT(D16*10000),2)&amp;"元整"</f>
        <v>#VALUE!</v>
      </c>
      <c r="E17" s="1485"/>
    </row>
    <row r="18" spans="1:5" ht="15">
      <c r="A18" s="1485"/>
      <c r="B18" s="3501"/>
      <c r="C18" s="1489" t="s">
        <v>912</v>
      </c>
      <c r="D18" s="853" t="str">
        <f>结果表!H110</f>
        <v>——</v>
      </c>
      <c r="E18" s="1485"/>
    </row>
    <row r="19" spans="1:5" ht="15.75">
      <c r="A19" s="1485"/>
      <c r="B19" s="3492" t="str">
        <f>结果表!E111</f>
        <v>——</v>
      </c>
      <c r="C19" s="1493" t="s">
        <v>910</v>
      </c>
      <c r="D19" s="845" t="str">
        <f>结果表!H111</f>
        <v>——</v>
      </c>
      <c r="E19" s="1485"/>
    </row>
    <row r="20" spans="1:5" ht="15.75">
      <c r="A20" s="1485"/>
      <c r="B20" s="3493"/>
      <c r="C20" s="1488" t="s">
        <v>923</v>
      </c>
      <c r="D20" s="844" t="e">
        <f>NUMBERSTRING(INT(D19*10000),2)&amp;"元整"</f>
        <v>#VALUE!</v>
      </c>
      <c r="E20" s="1485"/>
    </row>
    <row r="21" spans="1:5" ht="15.75" thickBot="1">
      <c r="A21" s="1485"/>
      <c r="B21" s="3494"/>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6" t="s">
        <v>3174</v>
      </c>
      <c r="B1" s="3806"/>
    </row>
    <row r="2" spans="1:7" ht="14.25" thickBot="1">
      <c r="A2" s="3249"/>
      <c r="B2" s="3249"/>
    </row>
    <row r="3" spans="1:7" ht="14.25" thickBot="1">
      <c r="A3" s="3249"/>
      <c r="B3" s="3249"/>
      <c r="C3" s="3250" t="s">
        <v>2804</v>
      </c>
      <c r="D3" s="3250" t="s">
        <v>2860</v>
      </c>
      <c r="E3" s="3250" t="s">
        <v>2806</v>
      </c>
      <c r="F3" s="3250" t="s">
        <v>2861</v>
      </c>
      <c r="G3" s="3250" t="s">
        <v>2624</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3284"/>
  </cols>
  <sheetData>
    <row r="1" spans="1:6">
      <c r="A1" s="3807" t="s">
        <v>3225</v>
      </c>
      <c r="B1" s="3807"/>
      <c r="C1" s="3807"/>
      <c r="D1" s="3807"/>
      <c r="E1" s="3807"/>
      <c r="F1" s="3808"/>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5">
        <f>基准地价修正!G23</f>
        <v>45539</v>
      </c>
      <c r="B1" s="3204" t="s">
        <v>3364</v>
      </c>
      <c r="C1" s="3205"/>
      <c r="D1" s="3205"/>
      <c r="E1" s="3205"/>
      <c r="F1" s="3205"/>
      <c r="G1" s="3205"/>
      <c r="H1" s="3205"/>
      <c r="I1" s="3205"/>
      <c r="J1" s="3159"/>
      <c r="K1" s="3205" t="s">
        <v>454</v>
      </c>
      <c r="L1" s="3205"/>
      <c r="M1" s="3205"/>
      <c r="N1" s="3205"/>
      <c r="O1" s="3205"/>
      <c r="P1" s="3205"/>
      <c r="Q1" s="3159"/>
      <c r="R1" s="3809" t="s">
        <v>456</v>
      </c>
      <c r="S1" s="3810"/>
      <c r="T1" s="3810"/>
      <c r="U1" s="3810"/>
      <c r="V1" s="3810"/>
      <c r="W1" s="3810"/>
      <c r="X1" s="3159"/>
      <c r="Y1" s="3809" t="s">
        <v>457</v>
      </c>
      <c r="Z1" s="3810"/>
      <c r="AA1" s="3810"/>
      <c r="AB1" s="3810"/>
      <c r="AC1" s="3810"/>
      <c r="AD1" s="3810"/>
    </row>
    <row r="2" spans="1:30" s="3137" customFormat="1" ht="14.25" thickBot="1">
      <c r="B2" s="3138"/>
      <c r="C2" s="3139"/>
      <c r="D2" s="3140" t="s">
        <v>2803</v>
      </c>
      <c r="E2" s="3141" t="s">
        <v>2804</v>
      </c>
      <c r="F2" s="3141" t="s">
        <v>2805</v>
      </c>
      <c r="G2" s="3141" t="s">
        <v>2806</v>
      </c>
      <c r="H2" s="3141" t="s">
        <v>2807</v>
      </c>
      <c r="I2" s="3141" t="s">
        <v>2624</v>
      </c>
      <c r="J2" s="3142"/>
      <c r="K2" s="3140" t="s">
        <v>2803</v>
      </c>
      <c r="L2" s="3141" t="s">
        <v>2804</v>
      </c>
      <c r="M2" s="3141" t="s">
        <v>2805</v>
      </c>
      <c r="N2" s="3141" t="s">
        <v>2806</v>
      </c>
      <c r="O2" s="3141" t="s">
        <v>2808</v>
      </c>
      <c r="P2" s="3141" t="s">
        <v>2624</v>
      </c>
      <c r="Q2" s="3142"/>
      <c r="R2" s="3140" t="s">
        <v>2803</v>
      </c>
      <c r="S2" s="3141" t="s">
        <v>2804</v>
      </c>
      <c r="T2" s="3141" t="s">
        <v>2805</v>
      </c>
      <c r="U2" s="3141" t="s">
        <v>2809</v>
      </c>
      <c r="V2" s="3141" t="s">
        <v>2810</v>
      </c>
      <c r="W2" s="3141" t="s">
        <v>2624</v>
      </c>
      <c r="X2" s="3142"/>
      <c r="Y2" s="3140" t="s">
        <v>2803</v>
      </c>
      <c r="Z2" s="3141" t="s">
        <v>2804</v>
      </c>
      <c r="AA2" s="3141" t="s">
        <v>2805</v>
      </c>
      <c r="AB2" s="3141" t="s">
        <v>2811</v>
      </c>
      <c r="AC2" s="3141" t="s">
        <v>2810</v>
      </c>
      <c r="AD2" s="3141" t="s">
        <v>2624</v>
      </c>
    </row>
    <row r="3" spans="1:30" s="3155" customFormat="1" ht="12.75">
      <c r="A3" s="3143" t="s">
        <v>2812</v>
      </c>
      <c r="B3" s="3144"/>
      <c r="C3" s="3145"/>
      <c r="D3" s="3145">
        <f>ROUND(AVERAGEIF(D4:D19,"&lt;&gt;0"),2)</f>
        <v>0.59</v>
      </c>
      <c r="E3" s="3145">
        <f t="shared" ref="E3:H3" si="0">ROUND(AVERAGEIF(E4:E19,"&lt;&gt;0"),2)</f>
        <v>0.36</v>
      </c>
      <c r="F3" s="3145">
        <f t="shared" si="0"/>
        <v>0.06</v>
      </c>
      <c r="G3" s="3145">
        <f t="shared" si="0"/>
        <v>0.6</v>
      </c>
      <c r="H3" s="3145">
        <f t="shared" si="0"/>
        <v>0.6</v>
      </c>
      <c r="I3" s="3145">
        <f>F3</f>
        <v>0.06</v>
      </c>
      <c r="J3" s="3146"/>
      <c r="K3" s="3147">
        <f>ROUND(AVERAGEIF(K4:K19,"&lt;&gt;0"),4)</f>
        <v>5.8999999999999999E-3</v>
      </c>
      <c r="L3" s="3148">
        <f t="shared" ref="L3:O3" si="1">ROUND(AVERAGEIF(L4:L19,"&lt;&gt;0"),4)</f>
        <v>3.5999999999999999E-3</v>
      </c>
      <c r="M3" s="3148">
        <f t="shared" si="1"/>
        <v>5.9999999999999995E-4</v>
      </c>
      <c r="N3" s="3148">
        <f t="shared" si="1"/>
        <v>6.0000000000000001E-3</v>
      </c>
      <c r="O3" s="3148">
        <f t="shared" si="1"/>
        <v>6.0000000000000001E-3</v>
      </c>
      <c r="P3" s="3148">
        <f>M3</f>
        <v>5.9999999999999995E-4</v>
      </c>
      <c r="Q3" s="3146"/>
      <c r="R3" s="3149">
        <f>ROUND(SUMPRODUCT(PRODUCT(1+K4:K19)),4)</f>
        <v>1.0852999999999999</v>
      </c>
      <c r="S3" s="3150">
        <f t="shared" ref="S3:V3" si="2">ROUND(SUMPRODUCT(PRODUCT(1+L4:L19)),4)</f>
        <v>1.0513999999999999</v>
      </c>
      <c r="T3" s="3150">
        <f t="shared" si="2"/>
        <v>1.0083</v>
      </c>
      <c r="U3" s="3150">
        <f t="shared" si="2"/>
        <v>1.0871999999999999</v>
      </c>
      <c r="V3" s="3150">
        <f t="shared" si="2"/>
        <v>1.0880000000000001</v>
      </c>
      <c r="W3" s="3149">
        <f>T3</f>
        <v>1.0083</v>
      </c>
      <c r="X3" s="3146"/>
      <c r="Y3" s="3151">
        <f>ROUND(AVERAGEIF(Y6:Y19,"&lt;&gt;0"),4)</f>
        <v>8.3999999999999995E-3</v>
      </c>
      <c r="Z3" s="3152">
        <f t="shared" ref="Z3:AC3" si="3">ROUND(AVERAGEIF(Z6:Z19,"&lt;&gt;0"),4)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199" t="s">
        <v>3370</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1.0748</v>
      </c>
      <c r="S5" s="3177">
        <f>ROUND(IF(项目基本情况!$B$8="出让",SUMPRODUCT(PRODUCT(1+L5:$L$19)),SUMPRODUCT(PRODUCT(1+L5:$L$18))),4)</f>
        <v>1.0498000000000001</v>
      </c>
      <c r="T5" s="3177">
        <f>ROUND(IF(项目基本情况!$B$8="出让",SUMPRODUCT(PRODUCT(1+M5:$M$19)),SUMPRODUCT(PRODUCT(1+M5:$M$18))),4)</f>
        <v>1.0107999999999999</v>
      </c>
      <c r="U5" s="3177">
        <f>ROUND(IF(项目基本情况!$B$8="出让",SUMPRODUCT(PRODUCT(1+N5:$N$19)),SUMPRODUCT(PRODUCT(1+N5:$N$18))),4)</f>
        <v>1.0752999999999999</v>
      </c>
      <c r="V5" s="3177">
        <f>ROUND(IF(项目基本情况!$B$8="出让",SUMPRODUCT(PRODUCT(1+O5:$O$19)),SUMPRODUCT(PRODUCT(1+O5:$O$18))),4)</f>
        <v>1.0841000000000001</v>
      </c>
      <c r="W5" s="3177">
        <f>T5</f>
        <v>1.0107999999999999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3371</v>
      </c>
      <c r="B6" s="3181">
        <v>2024</v>
      </c>
      <c r="C6" s="3182">
        <v>2</v>
      </c>
      <c r="D6" s="3183">
        <v>-0.59</v>
      </c>
      <c r="E6" s="3183">
        <v>-0.21</v>
      </c>
      <c r="F6" s="3183">
        <v>-1.38</v>
      </c>
      <c r="G6" s="3183">
        <v>-1.24</v>
      </c>
      <c r="H6" s="3184">
        <v>0.34</v>
      </c>
      <c r="I6" s="3185">
        <f t="shared" ref="I6:I19" si="15">F6</f>
        <v>-1.38</v>
      </c>
      <c r="J6" s="3186"/>
      <c r="K6" s="3187">
        <f t="shared" ref="K6:O19" si="16">D6/100</f>
        <v>-5.8999999999999999E-3</v>
      </c>
      <c r="L6" s="3188">
        <f t="shared" si="16"/>
        <v>-2.0999999999999999E-3</v>
      </c>
      <c r="M6" s="3188">
        <f t="shared" si="16"/>
        <v>-1.38E-2</v>
      </c>
      <c r="N6" s="3188">
        <f t="shared" si="16"/>
        <v>-1.24E-2</v>
      </c>
      <c r="O6" s="3188">
        <f t="shared" si="16"/>
        <v>3.4000000000000002E-3</v>
      </c>
      <c r="P6" s="3188">
        <f>M6</f>
        <v>-1.38E-2</v>
      </c>
      <c r="Q6" s="3186"/>
      <c r="R6" s="3186">
        <f>ROUND(IF(项目基本情况!$B$8="出让",SUMPRODUCT(PRODUCT(1+K6:$K$19)),SUMPRODUCT(PRODUCT(1+K6:$K$18))),4)</f>
        <v>1.0748</v>
      </c>
      <c r="S6" s="3186">
        <f>ROUND(IF(项目基本情况!$B$8="出让",SUMPRODUCT(PRODUCT(1+L6:$L$19)),SUMPRODUCT(PRODUCT(1+L6:$L$18))),4)</f>
        <v>1.0498000000000001</v>
      </c>
      <c r="T6" s="3186">
        <f>ROUND(IF(项目基本情况!$B$8="出让",SUMPRODUCT(PRODUCT(1+M6:$M$19)),SUMPRODUCT(PRODUCT(1+M6:$M$18))),4)</f>
        <v>1.0107999999999999</v>
      </c>
      <c r="U6" s="3186">
        <f>ROUND(IF(项目基本情况!$B$8="出让",SUMPRODUCT(PRODUCT(1+N6:$N$19)),SUMPRODUCT(PRODUCT(1+N6:$N$18))),4)</f>
        <v>1.0752999999999999</v>
      </c>
      <c r="V6" s="3186">
        <f>ROUND(IF(项目基本情况!$B$8="出让",SUMPRODUCT(PRODUCT(1+O6:$O$19)),SUMPRODUCT(PRODUCT(1+O6:$O$18))),4)</f>
        <v>1.0841000000000001</v>
      </c>
      <c r="W6" s="3186">
        <f>T6</f>
        <v>1.0107999999999999</v>
      </c>
      <c r="X6" s="3186"/>
      <c r="Y6" s="3188">
        <f>IF(D6=0,0,ROUND(AVERAGE(D6:D19)/100,4))</f>
        <v>5.8999999999999999E-3</v>
      </c>
      <c r="Z6" s="3188">
        <f t="shared" ref="Z6:AC6" si="17">IF(E6=0,0,ROUND(AVERAGE(E6:E19)/100,4))</f>
        <v>3.5999999999999999E-3</v>
      </c>
      <c r="AA6" s="3188">
        <f t="shared" si="17"/>
        <v>5.9999999999999995E-4</v>
      </c>
      <c r="AB6" s="3188">
        <f t="shared" si="17"/>
        <v>6.0000000000000001E-3</v>
      </c>
      <c r="AC6" s="3188">
        <f t="shared" si="17"/>
        <v>6.0000000000000001E-3</v>
      </c>
      <c r="AD6" s="3188">
        <f t="shared" ref="AD6:AD18" si="18">AA6</f>
        <v>5.9999999999999995E-4</v>
      </c>
    </row>
    <row r="7" spans="1:30" s="3179" customFormat="1" ht="12.75">
      <c r="A7" s="3170" t="s">
        <v>3373</v>
      </c>
      <c r="B7" s="3171">
        <v>2024</v>
      </c>
      <c r="C7" s="3172">
        <v>1</v>
      </c>
      <c r="D7" s="3173">
        <v>0.08</v>
      </c>
      <c r="E7" s="3173">
        <v>0.46</v>
      </c>
      <c r="F7" s="3173">
        <v>-0.16</v>
      </c>
      <c r="G7" s="3173">
        <v>0.26</v>
      </c>
      <c r="H7" s="3190">
        <v>0.59</v>
      </c>
      <c r="I7" s="3174">
        <v>0</v>
      </c>
      <c r="J7" s="3175"/>
      <c r="K7" s="3176">
        <f t="shared" ref="K7" si="19">D7/100</f>
        <v>8.0000000000000004E-4</v>
      </c>
      <c r="L7" s="3166">
        <f t="shared" ref="L7" si="20">E7/100</f>
        <v>4.5999999999999999E-3</v>
      </c>
      <c r="M7" s="3166">
        <f t="shared" ref="M7" si="21">F7/100</f>
        <v>-1.6000000000000001E-3</v>
      </c>
      <c r="N7" s="3166">
        <f t="shared" ref="N7" si="22">G7/100</f>
        <v>2.5999999999999999E-3</v>
      </c>
      <c r="O7" s="3166">
        <f t="shared" ref="O7" si="23">H7/100</f>
        <v>5.8999999999999999E-3</v>
      </c>
      <c r="P7" s="3166">
        <f t="shared" ref="P7" si="24">M7</f>
        <v>-1.6000000000000001E-3</v>
      </c>
      <c r="Q7" s="3175"/>
      <c r="R7" s="3177">
        <f>ROUND(IF(项目基本情况!$B$8="出让",SUMPRODUCT(PRODUCT(1+K7:$K$19)),SUMPRODUCT(PRODUCT(1+K7:$K$18))),4)</f>
        <v>1.0811999999999999</v>
      </c>
      <c r="S7" s="3177">
        <f>ROUND(IF(项目基本情况!$B$8="出让",SUMPRODUCT(PRODUCT(1+L7:$L$19)),SUMPRODUCT(PRODUCT(1+L7:$L$18))),4)</f>
        <v>1.052</v>
      </c>
      <c r="T7" s="3177">
        <f>ROUND(IF(项目基本情况!$B$8="出让",SUMPRODUCT(PRODUCT(1+M7:$M$19)),SUMPRODUCT(PRODUCT(1+M7:$M$18))),4)</f>
        <v>1.0249999999999999</v>
      </c>
      <c r="U7" s="3177">
        <f>ROUND(IF(项目基本情况!$B$8="出让",SUMPRODUCT(PRODUCT(1+N7:$N$19)),SUMPRODUCT(PRODUCT(1+N7:$N$18))),4)</f>
        <v>1.0888</v>
      </c>
      <c r="V7" s="3177">
        <f>ROUND(IF(项目基本情况!$B$8="出让",SUMPRODUCT(PRODUCT(1+O7:$O$19)),SUMPRODUCT(PRODUCT(1+O7:$O$18))),4)</f>
        <v>1.0804</v>
      </c>
      <c r="W7" s="3177">
        <f t="shared" ref="W7" si="25">T7</f>
        <v>1.0249999999999999</v>
      </c>
      <c r="X7" s="3175"/>
      <c r="Y7" s="3178"/>
      <c r="Z7" s="3178"/>
      <c r="AA7" s="3178"/>
      <c r="AB7" s="3178"/>
      <c r="AC7" s="3178"/>
      <c r="AD7" s="3178"/>
    </row>
    <row r="8" spans="1:30" s="3179" customFormat="1" ht="12.75">
      <c r="A8" s="3170" t="s">
        <v>3368</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3367</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3363</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3362</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3361</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3357</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3348</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2813</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2814</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2815</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2816</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2817</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2" t="s">
        <v>3359</v>
      </c>
    </row>
    <row r="22" spans="1:30" s="3003" customFormat="1">
      <c r="I22" s="3202" t="s">
        <v>2818</v>
      </c>
    </row>
    <row r="23" spans="1:30" s="3003" customFormat="1"/>
    <row r="24" spans="1:30" s="3203" customFormat="1" ht="12.75">
      <c r="B24" s="3204" t="s">
        <v>3365</v>
      </c>
      <c r="C24" s="3205"/>
      <c r="D24" s="3205"/>
      <c r="E24" s="3205"/>
      <c r="F24" s="3205"/>
      <c r="G24" s="3205"/>
      <c r="H24" s="3205"/>
      <c r="I24" s="3205"/>
      <c r="J24" s="3159"/>
      <c r="K24" s="3205" t="s">
        <v>2819</v>
      </c>
      <c r="L24" s="3205"/>
      <c r="M24" s="3205"/>
      <c r="N24" s="3205"/>
      <c r="O24" s="3205"/>
      <c r="P24" s="3205"/>
      <c r="Q24" s="3159"/>
      <c r="R24" s="3809" t="s">
        <v>2820</v>
      </c>
      <c r="S24" s="3810"/>
      <c r="T24" s="3810"/>
      <c r="U24" s="3810"/>
      <c r="V24" s="3810"/>
      <c r="W24" s="3810"/>
      <c r="X24" s="3159"/>
      <c r="Y24" s="3809" t="s">
        <v>2821</v>
      </c>
      <c r="Z24" s="3810"/>
      <c r="AA24" s="3810"/>
      <c r="AB24" s="3810"/>
      <c r="AC24" s="3810"/>
      <c r="AD24" s="3810"/>
    </row>
    <row r="25" spans="1:30" s="3137" customFormat="1" ht="14.25" thickBot="1">
      <c r="B25" s="3138"/>
      <c r="C25" s="3139"/>
      <c r="D25" s="3140" t="s">
        <v>2822</v>
      </c>
      <c r="E25" s="3141" t="s">
        <v>2823</v>
      </c>
      <c r="F25" s="3141" t="s">
        <v>2824</v>
      </c>
      <c r="G25" s="3141" t="s">
        <v>2825</v>
      </c>
      <c r="H25" s="3141"/>
      <c r="I25" s="3141" t="s">
        <v>2826</v>
      </c>
      <c r="J25" s="3142"/>
      <c r="K25" s="3140" t="s">
        <v>2822</v>
      </c>
      <c r="L25" s="3141" t="s">
        <v>2823</v>
      </c>
      <c r="M25" s="3141" t="s">
        <v>2824</v>
      </c>
      <c r="N25" s="3141" t="s">
        <v>2825</v>
      </c>
      <c r="O25" s="3141"/>
      <c r="P25" s="3141" t="s">
        <v>2826</v>
      </c>
      <c r="Q25" s="3142"/>
      <c r="R25" s="3140" t="s">
        <v>2822</v>
      </c>
      <c r="S25" s="3141" t="s">
        <v>2823</v>
      </c>
      <c r="T25" s="3141" t="s">
        <v>2824</v>
      </c>
      <c r="U25" s="3141" t="s">
        <v>2825</v>
      </c>
      <c r="V25" s="3141"/>
      <c r="W25" s="3141" t="s">
        <v>2826</v>
      </c>
      <c r="X25" s="3142"/>
      <c r="Y25" s="3140" t="s">
        <v>2822</v>
      </c>
      <c r="Z25" s="3141" t="s">
        <v>2823</v>
      </c>
      <c r="AA25" s="3141" t="s">
        <v>2824</v>
      </c>
      <c r="AB25" s="3141" t="s">
        <v>2825</v>
      </c>
      <c r="AC25" s="3141"/>
      <c r="AD25" s="3141" t="s">
        <v>2826</v>
      </c>
    </row>
    <row r="26" spans="1:30" s="3155" customFormat="1" ht="12.75">
      <c r="A26" s="3143" t="s">
        <v>2827</v>
      </c>
      <c r="B26" s="3144"/>
      <c r="C26" s="3145"/>
      <c r="D26" s="3145"/>
      <c r="E26" s="3145">
        <f t="shared" ref="E26:G26" si="43">ROUND(AVERAGEIF(E27:E42,"&lt;&gt;0"),2)</f>
        <v>0.33</v>
      </c>
      <c r="F26" s="3145">
        <f t="shared" si="43"/>
        <v>0.24</v>
      </c>
      <c r="G26" s="3145">
        <f t="shared" si="43"/>
        <v>0.62</v>
      </c>
      <c r="H26" s="3145"/>
      <c r="I26" s="3145">
        <f>F26</f>
        <v>0.24</v>
      </c>
      <c r="J26" s="3146"/>
      <c r="K26" s="3147"/>
      <c r="L26" s="3148">
        <f t="shared" ref="L26:N26" si="44">ROUND(AVERAGEIF(L27:L42,"&lt;&gt;0"),4)</f>
        <v>3.3E-3</v>
      </c>
      <c r="M26" s="3148">
        <f t="shared" si="44"/>
        <v>2.3999999999999998E-3</v>
      </c>
      <c r="N26" s="3148">
        <f t="shared" si="44"/>
        <v>6.1999999999999998E-3</v>
      </c>
      <c r="O26" s="3148"/>
      <c r="P26" s="3148">
        <f>M26</f>
        <v>2.3999999999999998E-3</v>
      </c>
      <c r="Q26" s="3146"/>
      <c r="R26" s="3149"/>
      <c r="S26" s="3150">
        <f>ROUND(SUMPRODUCT(PRODUCT(1+L27:L42)),4)</f>
        <v>1.0468999999999999</v>
      </c>
      <c r="T26" s="3150">
        <f t="shared" ref="T26:U26" si="45">ROUND(SUMPRODUCT(PRODUCT(1+M27:M42)),4)</f>
        <v>1.0347</v>
      </c>
      <c r="U26" s="3150">
        <f t="shared" si="45"/>
        <v>1.0895999999999999</v>
      </c>
      <c r="V26" s="3150"/>
      <c r="W26" s="3149">
        <f>T26</f>
        <v>1.0347</v>
      </c>
      <c r="X26" s="3146"/>
      <c r="Y26" s="3151"/>
      <c r="Z26" s="3152">
        <f t="shared" ref="Z26:AB26" si="46">ROUND(AVERAGEIF(Z27:Z42,"&lt;&gt;0"),4)</f>
        <v>4.1999999999999997E-3</v>
      </c>
      <c r="AA26" s="3153">
        <f t="shared" si="46"/>
        <v>3.3999999999999998E-3</v>
      </c>
      <c r="AB26" s="3151">
        <f t="shared" si="46"/>
        <v>8.6E-3</v>
      </c>
      <c r="AC26" s="3154"/>
      <c r="AD26" s="3151">
        <f>AA26</f>
        <v>3.3999999999999998E-3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199" t="s">
        <v>3370</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1.0432999999999999</v>
      </c>
      <c r="T28" s="3177">
        <f>ROUND(IF(项目基本情况!$B$8="出让",SUMPRODUCT(PRODUCT(1+M28:M$42)),SUMPRODUCT(PRODUCT(1+M28:M$41))),4)</f>
        <v>1.0298</v>
      </c>
      <c r="U28" s="3177">
        <f>ROUND(IF(项目基本情况!$B$8="出让",SUMPRODUCT(PRODUCT(1+N28:N$42)),SUMPRODUCT(PRODUCT(1+N28:N$41))),4)</f>
        <v>1.079</v>
      </c>
      <c r="V28" s="3177"/>
      <c r="W28" s="3177">
        <f>T28</f>
        <v>1.0298</v>
      </c>
      <c r="X28" s="3175"/>
      <c r="Y28" s="3178"/>
      <c r="Z28" s="3206">
        <f t="shared" ref="Z28:AB29" si="51">IF(E28=0,0,ROUND(AVERAGE(E28:E41)/100,4))</f>
        <v>0</v>
      </c>
      <c r="AA28" s="3206">
        <f t="shared" si="51"/>
        <v>0</v>
      </c>
      <c r="AB28" s="3206">
        <f t="shared" si="51"/>
        <v>0</v>
      </c>
      <c r="AC28" s="3207"/>
      <c r="AD28" s="3178">
        <f>IF(I28=0,0,ROUND(AVERAGE(I28:I41)/100,4))</f>
        <v>0</v>
      </c>
    </row>
    <row r="29" spans="1:30" s="3189" customFormat="1" ht="12.75">
      <c r="A29" s="3180" t="s">
        <v>3371</v>
      </c>
      <c r="B29" s="3181">
        <v>2024</v>
      </c>
      <c r="C29" s="3182">
        <v>2</v>
      </c>
      <c r="D29" s="3183"/>
      <c r="E29" s="3183">
        <v>-0.31</v>
      </c>
      <c r="F29" s="3183">
        <v>-0.39</v>
      </c>
      <c r="G29" s="3183">
        <v>1.23</v>
      </c>
      <c r="H29" s="3184"/>
      <c r="I29" s="3185">
        <f t="shared" ref="I29:I42" si="52">F29</f>
        <v>-0.39</v>
      </c>
      <c r="J29" s="3186"/>
      <c r="K29" s="3187"/>
      <c r="L29" s="3188">
        <f t="shared" ref="L29:N42" si="53">E29/100</f>
        <v>-3.0999999999999999E-3</v>
      </c>
      <c r="M29" s="3188">
        <f t="shared" si="53"/>
        <v>-3.9000000000000003E-3</v>
      </c>
      <c r="N29" s="3188">
        <f t="shared" si="53"/>
        <v>1.23E-2</v>
      </c>
      <c r="O29" s="3188"/>
      <c r="P29" s="3188">
        <f>M29</f>
        <v>-3.9000000000000003E-3</v>
      </c>
      <c r="Q29" s="3186"/>
      <c r="R29" s="3186"/>
      <c r="S29" s="3186">
        <f>ROUND(IF(项目基本情况!$B$8="出让",SUMPRODUCT(PRODUCT(1+L29:L$42)),SUMPRODUCT(PRODUCT(1+L29:L$41))),4)</f>
        <v>1.0432999999999999</v>
      </c>
      <c r="T29" s="3186">
        <f>ROUND(IF(项目基本情况!$B$8="出让",SUMPRODUCT(PRODUCT(1+M29:M$42)),SUMPRODUCT(PRODUCT(1+M29:M$41))),4)</f>
        <v>1.0298</v>
      </c>
      <c r="U29" s="3186">
        <f>ROUND(IF(项目基本情况!$B$8="出让",SUMPRODUCT(PRODUCT(1+N29:N$42)),SUMPRODUCT(PRODUCT(1+N29:N$41))),4)</f>
        <v>1.079</v>
      </c>
      <c r="V29" s="3186"/>
      <c r="W29" s="3186">
        <f>T29</f>
        <v>1.0298</v>
      </c>
      <c r="X29" s="3186"/>
      <c r="Y29" s="3188"/>
      <c r="Z29" s="3209">
        <f t="shared" si="51"/>
        <v>3.3E-3</v>
      </c>
      <c r="AA29" s="3210">
        <f t="shared" si="51"/>
        <v>2.3999999999999998E-3</v>
      </c>
      <c r="AB29" s="3188">
        <f t="shared" si="51"/>
        <v>6.1999999999999998E-3</v>
      </c>
      <c r="AC29" s="3211"/>
      <c r="AD29" s="3188">
        <f>IF(I29=0,0,ROUND(AVERAGE(I29:I42)/100,4))</f>
        <v>2.3999999999999998E-3</v>
      </c>
    </row>
    <row r="30" spans="1:30" s="3179" customFormat="1" ht="12.75">
      <c r="A30" s="3170" t="s">
        <v>3372</v>
      </c>
      <c r="B30" s="3171">
        <v>2024</v>
      </c>
      <c r="C30" s="3172">
        <v>1</v>
      </c>
      <c r="D30" s="3173"/>
      <c r="E30" s="3173">
        <v>0.25</v>
      </c>
      <c r="F30" s="3173">
        <v>0.4</v>
      </c>
      <c r="G30" s="3173">
        <v>-0.63</v>
      </c>
      <c r="H30" s="3190"/>
      <c r="I30" s="3174">
        <f t="shared" ref="I30:I31" si="54">F30</f>
        <v>0.4</v>
      </c>
      <c r="J30" s="3175"/>
      <c r="K30" s="3176"/>
      <c r="L30" s="3166">
        <f t="shared" ref="L30" si="55">E30/100</f>
        <v>2.5000000000000001E-3</v>
      </c>
      <c r="M30" s="3166">
        <f t="shared" ref="M30" si="56">F30/100</f>
        <v>4.0000000000000001E-3</v>
      </c>
      <c r="N30" s="3166">
        <f t="shared" ref="N30" si="57">G30/100</f>
        <v>-6.3E-3</v>
      </c>
      <c r="O30" s="3166"/>
      <c r="P30" s="3166">
        <f t="shared" ref="P30" si="58">M30</f>
        <v>4.0000000000000001E-3</v>
      </c>
      <c r="Q30" s="3175"/>
      <c r="R30" s="3177"/>
      <c r="S30" s="3177">
        <f>ROUND(IF(项目基本情况!$B$8="出让",SUMPRODUCT(PRODUCT(1+L30:L$42)),SUMPRODUCT(PRODUCT(1+L30:L$41))),4)</f>
        <v>1.0465</v>
      </c>
      <c r="T30" s="3177">
        <f>ROUND(IF(项目基本情况!$B$8="出让",SUMPRODUCT(PRODUCT(1+M30:M$42)),SUMPRODUCT(PRODUCT(1+M30:M$41))),4)</f>
        <v>1.0338000000000001</v>
      </c>
      <c r="U30" s="3177">
        <f>ROUND(IF(项目基本情况!$B$8="出让",SUMPRODUCT(PRODUCT(1+N30:N$42)),SUMPRODUCT(PRODUCT(1+N30:N$41))),4)</f>
        <v>1.0659000000000001</v>
      </c>
      <c r="V30" s="3177"/>
      <c r="W30" s="3177">
        <f t="shared" ref="W30" si="59">T30</f>
        <v>1.0338000000000001</v>
      </c>
      <c r="X30" s="3175"/>
      <c r="Y30" s="3178"/>
      <c r="Z30" s="3206"/>
      <c r="AA30" s="3208"/>
      <c r="AB30" s="3178"/>
      <c r="AC30" s="3207"/>
      <c r="AD30" s="3178"/>
    </row>
    <row r="31" spans="1:30" s="3179" customFormat="1" ht="12.75">
      <c r="A31" s="3170" t="s">
        <v>3369</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3367</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3366</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3362</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3361</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3358</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3348</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2828</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2829</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2830</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2831</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2817</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2" t="s">
        <v>3360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2114</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3356</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3353</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2115</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3354</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3355</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2429</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2306</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2305</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2304</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2301</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2300</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2130</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2128</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2127</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2126</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2124</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2123</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2125</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1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2121</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1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2120</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1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2113</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2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2111</v>
      </c>
      <c r="B25" s="2214">
        <v>439</v>
      </c>
      <c r="C25" s="2214">
        <v>327</v>
      </c>
      <c r="D25" s="2214">
        <f>C25</f>
        <v>327</v>
      </c>
      <c r="E25" s="2214">
        <v>627</v>
      </c>
      <c r="F25" s="2215">
        <v>283</v>
      </c>
      <c r="G25" s="381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2112</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1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1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2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1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1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1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1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1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1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1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1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1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1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1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1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1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1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1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2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1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1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1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1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1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1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1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1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1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1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1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1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1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1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1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1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1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1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1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1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1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1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1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1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1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1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1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1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1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1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1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1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1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1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1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1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1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1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1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1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1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1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1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1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6"/>
  <sheetViews>
    <sheetView workbookViewId="0">
      <selection activeCell="C13" sqref="C13:H1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45539</v>
      </c>
      <c r="D1" s="1296" t="s">
        <v>603</v>
      </c>
      <c r="E1" s="1291">
        <f>'数据-取费表'!B22</f>
        <v>1.5</v>
      </c>
      <c r="F1" s="1296" t="s">
        <v>604</v>
      </c>
      <c r="G1" s="1292">
        <f ca="1">INDIRECT("d"&amp;$K$1)/100</f>
        <v>3.3500000000000002E-2</v>
      </c>
      <c r="H1" s="1296" t="s">
        <v>634</v>
      </c>
      <c r="I1" s="1292">
        <f ca="1">F4/100</f>
        <v>1.4999999999999999E-2</v>
      </c>
      <c r="J1" s="1297">
        <f>IF(C1&gt;C13,0,MATCH(C1,C$13:C$113,-1))+IF(SUMIF(C13:C113,C1,D13:D113)=0,13,12)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3.35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3.35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3.35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3.35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3.85</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45495</v>
      </c>
      <c r="D13" s="2816">
        <v>3.35</v>
      </c>
      <c r="E13" s="2816">
        <f>D13</f>
        <v>3.35</v>
      </c>
      <c r="F13" s="2816">
        <f>D13</f>
        <v>3.35</v>
      </c>
      <c r="G13" s="2816">
        <f>D13</f>
        <v>3.35</v>
      </c>
      <c r="H13" s="2816">
        <v>3.85</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45342</v>
      </c>
      <c r="D14" s="2811">
        <v>3.45</v>
      </c>
      <c r="E14" s="2811">
        <f>D14</f>
        <v>3.45</v>
      </c>
      <c r="F14" s="2811">
        <f>D14</f>
        <v>3.45</v>
      </c>
      <c r="G14" s="2811">
        <f>D14</f>
        <v>3.45</v>
      </c>
      <c r="H14" s="2811">
        <v>3.95</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45159</v>
      </c>
      <c r="D15" s="2811">
        <v>3.45</v>
      </c>
      <c r="E15" s="2811">
        <f>D15</f>
        <v>3.45</v>
      </c>
      <c r="F15" s="2811">
        <f>D15</f>
        <v>3.45</v>
      </c>
      <c r="G15" s="2811">
        <f>D15</f>
        <v>3.45</v>
      </c>
      <c r="H15" s="2811">
        <v>4.2</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45097</v>
      </c>
      <c r="D16" s="2811">
        <v>3.55</v>
      </c>
      <c r="E16" s="2811">
        <f>D16</f>
        <v>3.55</v>
      </c>
      <c r="F16" s="2811">
        <f>D16</f>
        <v>3.55</v>
      </c>
      <c r="G16" s="2811">
        <f>D16</f>
        <v>3.55</v>
      </c>
      <c r="H16" s="2811">
        <v>4.2</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44795</v>
      </c>
      <c r="D17" s="2811">
        <v>3.65</v>
      </c>
      <c r="E17" s="2811">
        <v>3.65</v>
      </c>
      <c r="F17" s="2811">
        <v>3.65</v>
      </c>
      <c r="G17" s="2811">
        <v>3.65</v>
      </c>
      <c r="H17" s="2811">
        <v>4.3</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2">
        <v>44701</v>
      </c>
      <c r="D18" s="2811">
        <v>3.7</v>
      </c>
      <c r="E18" s="2811">
        <f>D18</f>
        <v>3.7</v>
      </c>
      <c r="F18" s="2811">
        <f>D18</f>
        <v>3.7</v>
      </c>
      <c r="G18" s="2811">
        <f>D18</f>
        <v>3.7</v>
      </c>
      <c r="H18" s="2811">
        <v>4.45</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0"/>
      <c r="C19" s="2812">
        <v>44581</v>
      </c>
      <c r="D19" s="2811">
        <v>3.7</v>
      </c>
      <c r="E19" s="2811">
        <f>D19</f>
        <v>3.7</v>
      </c>
      <c r="F19" s="2811">
        <f>D19</f>
        <v>3.7</v>
      </c>
      <c r="G19" s="2811">
        <f>D19</f>
        <v>3.7</v>
      </c>
      <c r="H19" s="2811">
        <v>4.5999999999999996</v>
      </c>
      <c r="I19" s="2816"/>
      <c r="J19" s="2816"/>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1"/>
      <c r="C20" s="2812">
        <v>44550</v>
      </c>
      <c r="D20" s="2811">
        <v>3.8</v>
      </c>
      <c r="E20" s="2811">
        <f>D20</f>
        <v>3.8</v>
      </c>
      <c r="F20" s="2811">
        <f>D20</f>
        <v>3.8</v>
      </c>
      <c r="G20" s="2811">
        <f>D20</f>
        <v>3.8</v>
      </c>
      <c r="H20" s="2811">
        <v>4.6500000000000004</v>
      </c>
      <c r="I20" s="2811"/>
      <c r="J20" s="2816"/>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1"/>
      <c r="C21" s="2812">
        <v>43941</v>
      </c>
      <c r="D21" s="2811">
        <v>3.85</v>
      </c>
      <c r="E21" s="2811">
        <v>3.85</v>
      </c>
      <c r="F21" s="2811">
        <v>3.85</v>
      </c>
      <c r="G21" s="2811">
        <v>3.85</v>
      </c>
      <c r="H21" s="2811">
        <v>4.6500000000000004</v>
      </c>
      <c r="I21" s="2811"/>
      <c r="J21" s="2811"/>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43881</v>
      </c>
      <c r="D22" s="2811">
        <v>4.05</v>
      </c>
      <c r="E22" s="2811">
        <v>4.05</v>
      </c>
      <c r="F22" s="2811">
        <v>4.05</v>
      </c>
      <c r="G22" s="2811">
        <v>4.05</v>
      </c>
      <c r="H22" s="2811">
        <v>4.75</v>
      </c>
      <c r="I22" s="2811"/>
      <c r="J22" s="2811"/>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1"/>
      <c r="C23" s="2812">
        <v>43789</v>
      </c>
      <c r="D23" s="2811">
        <v>4.1500000000000004</v>
      </c>
      <c r="E23" s="2811">
        <v>4.1500000000000004</v>
      </c>
      <c r="F23" s="2811">
        <v>4.1500000000000004</v>
      </c>
      <c r="G23" s="2811">
        <v>4.1500000000000004</v>
      </c>
      <c r="H23" s="2811">
        <v>4.8</v>
      </c>
      <c r="I23" s="2811"/>
      <c r="J23" s="2811"/>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2811"/>
      <c r="C24" s="2812">
        <v>43728</v>
      </c>
      <c r="D24" s="2811">
        <v>4.2</v>
      </c>
      <c r="E24" s="2811">
        <v>4.2</v>
      </c>
      <c r="F24" s="2811">
        <v>4.2</v>
      </c>
      <c r="G24" s="2811">
        <v>4.2</v>
      </c>
      <c r="H24" s="2811">
        <v>4.8499999999999996</v>
      </c>
      <c r="I24" s="2811"/>
      <c r="J24" s="2811"/>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ht="14.25">
      <c r="B25" s="2810" t="s">
        <v>2302</v>
      </c>
      <c r="C25" s="2813">
        <v>43697</v>
      </c>
      <c r="D25" s="2814">
        <v>4.25</v>
      </c>
      <c r="E25" s="2814">
        <v>4.25</v>
      </c>
      <c r="F25" s="2814">
        <v>4.25</v>
      </c>
      <c r="G25" s="2814">
        <v>4.25</v>
      </c>
      <c r="H25" s="2814">
        <v>4.8499999999999996</v>
      </c>
      <c r="I25" s="2814"/>
      <c r="J25" s="2814"/>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ht="14.25">
      <c r="B26" s="2818"/>
      <c r="C26" s="2819">
        <v>42301</v>
      </c>
      <c r="D26" s="2820">
        <v>4.3499999999999996</v>
      </c>
      <c r="E26" s="2820">
        <v>4.3499999999999996</v>
      </c>
      <c r="F26" s="2820">
        <v>4.75</v>
      </c>
      <c r="G26" s="2820">
        <v>4.75</v>
      </c>
      <c r="H26" s="2820">
        <v>4.9000000000000004</v>
      </c>
      <c r="I26" s="2820"/>
      <c r="J26" s="2820"/>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42242</v>
      </c>
      <c r="D27" s="1284">
        <v>4.5999999999999996</v>
      </c>
      <c r="E27" s="1284">
        <v>4.5999999999999996</v>
      </c>
      <c r="F27" s="1284">
        <v>5</v>
      </c>
      <c r="G27" s="1284">
        <v>5</v>
      </c>
      <c r="H27" s="1284">
        <v>5.15</v>
      </c>
      <c r="I27" s="1284">
        <v>2.75</v>
      </c>
      <c r="J27" s="1284">
        <v>3.25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42183</v>
      </c>
      <c r="D28" s="1284">
        <v>4.8499999999999996</v>
      </c>
      <c r="E28" s="1284">
        <v>4.8499999999999996</v>
      </c>
      <c r="F28" s="1284">
        <v>5.25</v>
      </c>
      <c r="G28" s="1284">
        <v>5.25</v>
      </c>
      <c r="H28" s="1284">
        <v>5.4</v>
      </c>
      <c r="I28" s="1284">
        <v>3</v>
      </c>
      <c r="J28" s="1284">
        <v>3.5</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42135</v>
      </c>
      <c r="D29" s="1284">
        <v>5.0999999999999996</v>
      </c>
      <c r="E29" s="1284">
        <v>5.0999999999999996</v>
      </c>
      <c r="F29" s="1284">
        <v>5.5</v>
      </c>
      <c r="G29" s="1284">
        <v>5.5</v>
      </c>
      <c r="H29" s="1284">
        <v>5.65</v>
      </c>
      <c r="I29" s="1284">
        <v>3.25</v>
      </c>
      <c r="J29" s="1284">
        <v>3.75</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42064</v>
      </c>
      <c r="D30" s="1284">
        <v>5.35</v>
      </c>
      <c r="E30" s="1284">
        <v>5.35</v>
      </c>
      <c r="F30" s="1284">
        <v>5.75</v>
      </c>
      <c r="G30" s="1284">
        <v>5.75</v>
      </c>
      <c r="H30" s="1284">
        <v>5.9</v>
      </c>
      <c r="I30" s="1284"/>
      <c r="J30" s="1284"/>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41965</v>
      </c>
      <c r="D31" s="1284">
        <v>5.6</v>
      </c>
      <c r="E31" s="1284">
        <v>5.6</v>
      </c>
      <c r="F31" s="1284">
        <v>6</v>
      </c>
      <c r="G31" s="1284">
        <v>6</v>
      </c>
      <c r="H31" s="1284">
        <v>6.15</v>
      </c>
      <c r="I31" s="1284"/>
      <c r="J31" s="1284"/>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41096</v>
      </c>
      <c r="D32" s="1284">
        <v>5.6</v>
      </c>
      <c r="E32" s="1284">
        <v>6</v>
      </c>
      <c r="F32" s="1284">
        <v>6.15</v>
      </c>
      <c r="G32" s="1284">
        <v>6.4</v>
      </c>
      <c r="H32" s="1284">
        <v>6.55</v>
      </c>
      <c r="I32" s="1284">
        <v>4</v>
      </c>
      <c r="J32" s="1284">
        <v>4.5</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41068</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40731</v>
      </c>
      <c r="D34" s="1284">
        <v>6.1</v>
      </c>
      <c r="E34" s="1284">
        <v>6.56</v>
      </c>
      <c r="F34" s="1284">
        <v>6.65</v>
      </c>
      <c r="G34" s="1284">
        <v>6.9</v>
      </c>
      <c r="H34" s="1284">
        <v>7.05</v>
      </c>
      <c r="I34" s="1284">
        <v>4.45</v>
      </c>
      <c r="J34" s="1284">
        <v>4.9000000000000004</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40639</v>
      </c>
      <c r="D35" s="1284">
        <v>5.85</v>
      </c>
      <c r="E35" s="1284">
        <v>6.31</v>
      </c>
      <c r="F35" s="1284">
        <v>6.4</v>
      </c>
      <c r="G35" s="1284">
        <v>6.65</v>
      </c>
      <c r="H35" s="1284">
        <v>6.8</v>
      </c>
      <c r="I35" s="1284">
        <v>4.2</v>
      </c>
      <c r="J35" s="1284">
        <v>4.7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40583</v>
      </c>
      <c r="D36" s="1284">
        <v>5.6</v>
      </c>
      <c r="E36" s="1284">
        <v>6.06</v>
      </c>
      <c r="F36" s="1284">
        <v>6.1</v>
      </c>
      <c r="G36" s="1284">
        <v>6.45</v>
      </c>
      <c r="H36" s="1284">
        <v>6.6</v>
      </c>
      <c r="I36" s="1284">
        <v>4</v>
      </c>
      <c r="J36" s="1284">
        <v>4.5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40538</v>
      </c>
      <c r="D37" s="1284">
        <v>5.35</v>
      </c>
      <c r="E37" s="1284">
        <v>5.81</v>
      </c>
      <c r="F37" s="1284">
        <v>5.85</v>
      </c>
      <c r="G37" s="1284">
        <v>6.22</v>
      </c>
      <c r="H37" s="1284">
        <v>6.4</v>
      </c>
      <c r="I37" s="1284">
        <v>3.75</v>
      </c>
      <c r="J37" s="1284">
        <v>4.3</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40471</v>
      </c>
      <c r="D38" s="1284">
        <v>5.0999999999999996</v>
      </c>
      <c r="E38" s="1284">
        <v>5.56</v>
      </c>
      <c r="F38" s="1284">
        <v>5.6</v>
      </c>
      <c r="G38" s="1284">
        <v>5.96</v>
      </c>
      <c r="H38" s="1284">
        <v>6.14</v>
      </c>
      <c r="I38" s="1284">
        <v>3.5</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39805</v>
      </c>
      <c r="D39" s="1284">
        <v>4.8600000000000003</v>
      </c>
      <c r="E39" s="1284">
        <v>5.31</v>
      </c>
      <c r="F39" s="1284">
        <v>5.4</v>
      </c>
      <c r="G39" s="1284">
        <v>5.76</v>
      </c>
      <c r="H39" s="1284">
        <v>5.94</v>
      </c>
      <c r="I39" s="1284">
        <v>3.33</v>
      </c>
      <c r="J39" s="1284">
        <v>3.87</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39779</v>
      </c>
      <c r="D40" s="1284">
        <v>5.04</v>
      </c>
      <c r="E40" s="1284">
        <v>5.58</v>
      </c>
      <c r="F40" s="1284">
        <v>5.67</v>
      </c>
      <c r="G40" s="1284">
        <v>5.94</v>
      </c>
      <c r="H40" s="1284">
        <v>6.12</v>
      </c>
      <c r="I40" s="1284">
        <v>3.51</v>
      </c>
      <c r="J40" s="1284">
        <v>4.05</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39751</v>
      </c>
      <c r="D41" s="1284">
        <v>6.03</v>
      </c>
      <c r="E41" s="1284">
        <v>6.66</v>
      </c>
      <c r="F41" s="1284">
        <v>6.75</v>
      </c>
      <c r="G41" s="1284">
        <v>7.02</v>
      </c>
      <c r="H41" s="1284">
        <v>7.2</v>
      </c>
      <c r="I41" s="1284">
        <v>4.05</v>
      </c>
      <c r="J41" s="1284">
        <v>4.59</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6">
        <v>39748</v>
      </c>
      <c r="D42" s="1284">
        <v>6.12</v>
      </c>
      <c r="E42" s="1284">
        <v>6.93</v>
      </c>
      <c r="F42" s="1284">
        <v>7.02</v>
      </c>
      <c r="G42" s="1284">
        <v>7.29</v>
      </c>
      <c r="H42" s="1284">
        <v>7.47</v>
      </c>
      <c r="I42" s="1284">
        <v>4.05</v>
      </c>
      <c r="J42" s="1284">
        <v>4.59</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39730</v>
      </c>
      <c r="D43" s="1284">
        <v>6.12</v>
      </c>
      <c r="E43" s="1284">
        <v>6.93</v>
      </c>
      <c r="F43" s="1284">
        <v>7.02</v>
      </c>
      <c r="G43" s="1284">
        <v>7.29</v>
      </c>
      <c r="H43" s="1284">
        <v>7.47</v>
      </c>
      <c r="I43" s="1284">
        <v>4.32</v>
      </c>
      <c r="J43" s="1284">
        <v>4.8600000000000003</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39707</v>
      </c>
      <c r="D44" s="1284">
        <v>6.21</v>
      </c>
      <c r="E44" s="1284">
        <v>7.2</v>
      </c>
      <c r="F44" s="1284">
        <v>7.29</v>
      </c>
      <c r="G44" s="1284">
        <v>7.56</v>
      </c>
      <c r="H44" s="1284">
        <v>7.74</v>
      </c>
      <c r="I44" s="1284">
        <v>4.59</v>
      </c>
      <c r="J44" s="1284">
        <v>5.13</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39437</v>
      </c>
      <c r="D45" s="1284">
        <v>6.57</v>
      </c>
      <c r="E45" s="1284">
        <v>7.47</v>
      </c>
      <c r="F45" s="1284">
        <v>7.56</v>
      </c>
      <c r="G45" s="1284">
        <v>7.74</v>
      </c>
      <c r="H45" s="1284">
        <v>7.83</v>
      </c>
      <c r="I45" s="1284">
        <v>4.7699999999999996</v>
      </c>
      <c r="J45" s="1284">
        <v>5.22</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39340</v>
      </c>
      <c r="D46" s="1284">
        <v>6.48</v>
      </c>
      <c r="E46" s="1284">
        <v>7.29</v>
      </c>
      <c r="F46" s="1284">
        <v>7.47</v>
      </c>
      <c r="G46" s="1284">
        <v>7.65</v>
      </c>
      <c r="H46" s="1284">
        <v>7.83</v>
      </c>
      <c r="I46" s="1284">
        <v>4.7699999999999996</v>
      </c>
      <c r="J46" s="1284">
        <v>5.22</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39316</v>
      </c>
      <c r="D47" s="1284">
        <v>6.21</v>
      </c>
      <c r="E47" s="1284">
        <v>7.02</v>
      </c>
      <c r="F47" s="1284">
        <v>7.2</v>
      </c>
      <c r="G47" s="1284">
        <v>7.38</v>
      </c>
      <c r="H47" s="1284">
        <v>7.56</v>
      </c>
      <c r="I47" s="1284">
        <v>4.59</v>
      </c>
      <c r="J47" s="1284">
        <v>5.04</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39284</v>
      </c>
      <c r="D48" s="1284">
        <v>6.03</v>
      </c>
      <c r="E48" s="1284">
        <v>6.84</v>
      </c>
      <c r="F48" s="1284">
        <v>7.02</v>
      </c>
      <c r="G48" s="1284">
        <v>7.2</v>
      </c>
      <c r="H48" s="1284">
        <v>7.38</v>
      </c>
      <c r="I48" s="1284">
        <v>4.5</v>
      </c>
      <c r="J48" s="1284">
        <v>4.95</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39221</v>
      </c>
      <c r="D49" s="1284">
        <v>5.85</v>
      </c>
      <c r="E49" s="1284">
        <v>6.57</v>
      </c>
      <c r="F49" s="1284">
        <v>6.75</v>
      </c>
      <c r="G49" s="1284">
        <v>6.93</v>
      </c>
      <c r="H49" s="1284">
        <v>7.2</v>
      </c>
      <c r="I49" s="1284">
        <v>4.41</v>
      </c>
      <c r="J49" s="1284">
        <v>4.8600000000000003</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39159</v>
      </c>
      <c r="D50" s="1284">
        <v>5.67</v>
      </c>
      <c r="E50" s="1284">
        <v>6.39</v>
      </c>
      <c r="F50" s="1284">
        <v>6.57</v>
      </c>
      <c r="G50" s="1284">
        <v>6.75</v>
      </c>
      <c r="H50" s="1284">
        <v>7.11</v>
      </c>
      <c r="I50" s="1284">
        <v>4.32</v>
      </c>
      <c r="J50" s="1284">
        <v>4.7699999999999996</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38948</v>
      </c>
      <c r="D51" s="1284">
        <v>5.58</v>
      </c>
      <c r="E51" s="1284">
        <v>6.12</v>
      </c>
      <c r="F51" s="1284">
        <v>6.3</v>
      </c>
      <c r="G51" s="1284">
        <v>6.48</v>
      </c>
      <c r="H51" s="1284">
        <v>6.84</v>
      </c>
      <c r="I51" s="1284">
        <v>4.1399999999999997</v>
      </c>
      <c r="J51" s="1284">
        <v>4.59</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38835</v>
      </c>
      <c r="D52" s="1284">
        <v>5.4</v>
      </c>
      <c r="E52" s="1284">
        <v>5.85</v>
      </c>
      <c r="F52" s="1284">
        <v>6.03</v>
      </c>
      <c r="G52" s="1284">
        <v>6.12</v>
      </c>
      <c r="H52" s="1284">
        <v>6.39</v>
      </c>
      <c r="I52" s="1284">
        <v>4.1399999999999997</v>
      </c>
      <c r="J52" s="1284">
        <v>4.59</v>
      </c>
      <c r="L52" s="1284"/>
      <c r="M52" s="1285"/>
      <c r="N52" s="1284"/>
      <c r="O52" s="1284"/>
      <c r="P52" s="1284"/>
      <c r="Q52" s="1284"/>
      <c r="R52" s="1284"/>
      <c r="S52" s="1284"/>
      <c r="T52" s="1284"/>
      <c r="U52" s="1284"/>
      <c r="V52" s="1284"/>
      <c r="W52" s="1284"/>
      <c r="X52" s="1284"/>
      <c r="Y52" s="1284"/>
      <c r="Z52" s="1284"/>
    </row>
    <row r="53" spans="2:26">
      <c r="B53" s="1284"/>
      <c r="C53" s="1285">
        <v>38428</v>
      </c>
      <c r="D53" s="1284">
        <v>5.22</v>
      </c>
      <c r="E53" s="1284">
        <v>5.58</v>
      </c>
      <c r="F53" s="1284">
        <v>5.76</v>
      </c>
      <c r="G53" s="1284">
        <v>5.85</v>
      </c>
      <c r="H53" s="1284">
        <v>6.12</v>
      </c>
      <c r="I53" s="1284">
        <v>3.96</v>
      </c>
      <c r="J53" s="1284">
        <v>4.41</v>
      </c>
      <c r="L53" s="1284"/>
      <c r="M53" s="1285"/>
      <c r="N53" s="1284"/>
      <c r="O53" s="1284"/>
      <c r="P53" s="1284"/>
      <c r="Q53" s="1284"/>
      <c r="R53" s="1284"/>
      <c r="S53" s="1284"/>
      <c r="T53" s="1284"/>
      <c r="U53" s="1284"/>
      <c r="V53" s="1284"/>
      <c r="W53" s="1284"/>
      <c r="X53" s="1284"/>
      <c r="Y53" s="1284"/>
      <c r="Z53" s="1284"/>
    </row>
    <row r="54" spans="2:26">
      <c r="B54" s="1284"/>
      <c r="C54" s="1285">
        <v>38289</v>
      </c>
      <c r="D54" s="1284">
        <v>5.22</v>
      </c>
      <c r="E54" s="1284">
        <v>5.58</v>
      </c>
      <c r="F54" s="1284">
        <v>5.76</v>
      </c>
      <c r="G54" s="1284">
        <v>5.85</v>
      </c>
      <c r="H54" s="1284">
        <v>6.12</v>
      </c>
      <c r="I54" s="1284">
        <v>3.78</v>
      </c>
      <c r="J54" s="1284">
        <v>4.2300000000000004</v>
      </c>
      <c r="L54" s="1284"/>
      <c r="M54" s="1285"/>
      <c r="N54" s="1284"/>
      <c r="O54" s="1284"/>
      <c r="P54" s="1284"/>
      <c r="Q54" s="1284"/>
      <c r="R54" s="1284"/>
      <c r="S54" s="1284"/>
      <c r="T54" s="1284"/>
      <c r="U54" s="1284"/>
      <c r="V54" s="1284"/>
      <c r="W54" s="1284"/>
      <c r="X54" s="1284"/>
      <c r="Y54" s="1284"/>
      <c r="Z54" s="1284"/>
    </row>
    <row r="55" spans="2:26">
      <c r="B55" s="1284"/>
      <c r="C55" s="1285">
        <v>37308</v>
      </c>
      <c r="D55" s="1284">
        <v>5.04</v>
      </c>
      <c r="E55" s="1284">
        <v>5.31</v>
      </c>
      <c r="F55" s="1284">
        <v>5.49</v>
      </c>
      <c r="G55" s="1284">
        <v>5.58</v>
      </c>
      <c r="H55" s="1284">
        <v>5.76</v>
      </c>
      <c r="I55" s="1284">
        <v>3.6</v>
      </c>
      <c r="J55" s="1284">
        <v>4.05</v>
      </c>
      <c r="L55" s="1284"/>
      <c r="M55" s="1285"/>
      <c r="N55" s="1284"/>
      <c r="O55" s="1284"/>
      <c r="P55" s="1284"/>
      <c r="Q55" s="1284"/>
      <c r="R55" s="1284"/>
      <c r="S55" s="1284"/>
      <c r="T55" s="1284"/>
      <c r="U55" s="1284"/>
      <c r="V55" s="1284"/>
      <c r="W55" s="1284"/>
      <c r="X55" s="1284"/>
      <c r="Y55" s="1284"/>
      <c r="Z55" s="1284"/>
    </row>
    <row r="56" spans="2:26">
      <c r="B56" s="1284"/>
      <c r="C56" s="1285">
        <v>36321</v>
      </c>
      <c r="D56" s="1284">
        <v>5.58</v>
      </c>
      <c r="E56" s="1284">
        <v>5.85</v>
      </c>
      <c r="F56" s="1284">
        <v>5.94</v>
      </c>
      <c r="G56" s="1284">
        <v>6.03</v>
      </c>
      <c r="H56" s="1284">
        <v>6.21</v>
      </c>
      <c r="I56" s="1284">
        <v>4.1399999999999997</v>
      </c>
      <c r="J56" s="1284">
        <v>4.59</v>
      </c>
      <c r="L56" s="1284"/>
      <c r="M56" s="1285"/>
      <c r="N56" s="1284"/>
      <c r="O56" s="1284"/>
      <c r="P56" s="1284"/>
      <c r="Q56" s="1284"/>
      <c r="R56" s="1284"/>
      <c r="S56" s="1284"/>
      <c r="T56" s="1284"/>
      <c r="U56" s="1284"/>
      <c r="V56" s="1284"/>
      <c r="W56" s="1284"/>
      <c r="X56" s="1284"/>
      <c r="Y56" s="1284"/>
      <c r="Z56" s="1284"/>
    </row>
    <row r="57" spans="2:26">
      <c r="B57" s="1284"/>
      <c r="C57" s="1285">
        <v>36136</v>
      </c>
      <c r="D57" s="1284">
        <v>6.12</v>
      </c>
      <c r="E57" s="1284">
        <v>6.39</v>
      </c>
      <c r="F57" s="1284">
        <v>6.66</v>
      </c>
      <c r="G57" s="1284">
        <v>7.2</v>
      </c>
      <c r="H57" s="1284">
        <v>7.56</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35977</v>
      </c>
      <c r="D58" s="1284">
        <v>6.57</v>
      </c>
      <c r="E58" s="1284">
        <v>6.93</v>
      </c>
      <c r="F58" s="1284">
        <v>7.11</v>
      </c>
      <c r="G58" s="1284">
        <v>7.65</v>
      </c>
      <c r="H58" s="1284">
        <v>8.01</v>
      </c>
      <c r="I58" s="1284">
        <v>0</v>
      </c>
      <c r="J58" s="1284">
        <v>0</v>
      </c>
    </row>
    <row r="59" spans="2:26">
      <c r="B59" s="1284"/>
      <c r="C59" s="1285">
        <v>35879</v>
      </c>
      <c r="D59" s="1284">
        <v>7.02</v>
      </c>
      <c r="E59" s="1284">
        <v>7.92</v>
      </c>
      <c r="F59" s="1284">
        <v>9</v>
      </c>
      <c r="G59" s="1284">
        <v>9.7200000000000006</v>
      </c>
      <c r="H59" s="1284">
        <v>10.35</v>
      </c>
      <c r="I59" s="1284">
        <v>0</v>
      </c>
      <c r="J59" s="1284">
        <v>0</v>
      </c>
    </row>
    <row r="60" spans="2:26">
      <c r="B60" s="1284"/>
      <c r="C60" s="1285">
        <v>35726</v>
      </c>
      <c r="D60" s="1284">
        <v>7.65</v>
      </c>
      <c r="E60" s="1284">
        <v>8.64</v>
      </c>
      <c r="F60" s="1284">
        <v>9.36</v>
      </c>
      <c r="G60" s="1284">
        <v>9.9</v>
      </c>
      <c r="H60" s="1284">
        <v>10.53</v>
      </c>
      <c r="I60" s="1284">
        <v>0</v>
      </c>
      <c r="J60" s="1284">
        <v>0</v>
      </c>
    </row>
    <row r="61" spans="2:26">
      <c r="B61" s="1284"/>
      <c r="C61" s="1285">
        <v>35300</v>
      </c>
      <c r="D61" s="1284">
        <v>9.18</v>
      </c>
      <c r="E61" s="1284">
        <v>10.08</v>
      </c>
      <c r="F61" s="1284">
        <v>10.98</v>
      </c>
      <c r="G61" s="1284">
        <v>11.7</v>
      </c>
      <c r="H61" s="1284">
        <v>12.42</v>
      </c>
      <c r="I61" s="1284">
        <v>0</v>
      </c>
      <c r="J61" s="1284">
        <v>0</v>
      </c>
    </row>
    <row r="62" spans="2:26">
      <c r="B62" s="1284"/>
      <c r="C62" s="1285">
        <v>35186</v>
      </c>
      <c r="D62" s="1284">
        <v>9.7200000000000006</v>
      </c>
      <c r="E62" s="1284">
        <v>10.98</v>
      </c>
      <c r="F62" s="1284">
        <v>13.14</v>
      </c>
      <c r="G62" s="1284">
        <v>14.94</v>
      </c>
      <c r="H62" s="1284">
        <v>15.12</v>
      </c>
      <c r="I62" s="1284">
        <v>0</v>
      </c>
      <c r="J62" s="1284">
        <v>0</v>
      </c>
    </row>
    <row r="63" spans="2:26">
      <c r="B63" s="1284"/>
      <c r="C63" s="1285">
        <v>34881</v>
      </c>
      <c r="D63" s="1284">
        <v>10.08</v>
      </c>
      <c r="E63" s="1284">
        <v>12.06</v>
      </c>
      <c r="F63" s="1284">
        <v>13.5</v>
      </c>
      <c r="G63" s="1284">
        <v>15.12</v>
      </c>
      <c r="H63" s="1284">
        <v>15.3</v>
      </c>
      <c r="I63" s="1284">
        <v>0</v>
      </c>
      <c r="J63" s="1284">
        <v>0</v>
      </c>
    </row>
    <row r="64" spans="2:26">
      <c r="B64" s="1284"/>
      <c r="C64" s="1285">
        <v>34700</v>
      </c>
      <c r="D64" s="1284">
        <v>9</v>
      </c>
      <c r="E64" s="1284">
        <v>10.98</v>
      </c>
      <c r="F64" s="1284">
        <v>12.96</v>
      </c>
      <c r="G64" s="1284">
        <v>14.58</v>
      </c>
      <c r="H64" s="1284">
        <v>14.76</v>
      </c>
      <c r="I64" s="1284">
        <v>0</v>
      </c>
      <c r="J64" s="1284">
        <v>0</v>
      </c>
    </row>
    <row r="65" spans="2:10">
      <c r="B65" s="1284"/>
      <c r="C65" s="1285">
        <v>34161</v>
      </c>
      <c r="D65" s="1284">
        <v>9</v>
      </c>
      <c r="E65" s="1284">
        <v>10.98</v>
      </c>
      <c r="F65" s="1284">
        <v>12.24</v>
      </c>
      <c r="G65" s="1284">
        <v>13.86</v>
      </c>
      <c r="H65" s="1284">
        <v>14.04</v>
      </c>
      <c r="I65" s="1284">
        <v>0</v>
      </c>
      <c r="J65" s="1284">
        <v>0</v>
      </c>
    </row>
    <row r="66" spans="2:10">
      <c r="B66" s="1284"/>
      <c r="C66" s="1285">
        <v>34104</v>
      </c>
      <c r="D66" s="1284">
        <v>8.82</v>
      </c>
      <c r="E66" s="1284">
        <v>9.36</v>
      </c>
      <c r="F66" s="1284">
        <v>10.8</v>
      </c>
      <c r="G66" s="1284">
        <v>12.06</v>
      </c>
      <c r="H66" s="1284">
        <v>12.24</v>
      </c>
      <c r="I66" s="1284">
        <v>0</v>
      </c>
      <c r="J66" s="1284">
        <v>0</v>
      </c>
    </row>
    <row r="67" spans="2:10">
      <c r="B67" s="1284"/>
      <c r="C67" s="1285">
        <v>33349</v>
      </c>
      <c r="D67" s="1284">
        <v>8.1</v>
      </c>
      <c r="E67" s="1284">
        <v>8.64</v>
      </c>
      <c r="F67" s="1284">
        <v>9</v>
      </c>
      <c r="G67" s="1284">
        <v>9.5399999999999991</v>
      </c>
      <c r="H67" s="1284">
        <v>9.7200000000000006</v>
      </c>
      <c r="I67" s="1284">
        <v>0</v>
      </c>
      <c r="J67" s="1284">
        <v>0</v>
      </c>
    </row>
    <row r="68" spans="2:10">
      <c r="B68" s="1284"/>
      <c r="C68" s="1285">
        <v>33318</v>
      </c>
      <c r="D68" s="1284">
        <v>9</v>
      </c>
      <c r="E68" s="1284">
        <v>10.08</v>
      </c>
      <c r="F68" s="1284">
        <v>10.8</v>
      </c>
      <c r="G68" s="1284">
        <v>11.52</v>
      </c>
      <c r="H68" s="1284">
        <v>11.88</v>
      </c>
      <c r="I68" s="1284" t="s">
        <v>633</v>
      </c>
      <c r="J68" s="1284" t="s">
        <v>633</v>
      </c>
    </row>
    <row r="69" spans="2:10">
      <c r="B69" s="1284"/>
      <c r="C69" s="1285">
        <v>33106</v>
      </c>
      <c r="D69" s="1284">
        <v>8.64</v>
      </c>
      <c r="E69" s="1284">
        <v>9.36</v>
      </c>
      <c r="F69" s="1284">
        <v>10.08</v>
      </c>
      <c r="G69" s="1284">
        <v>10.8</v>
      </c>
      <c r="H69" s="1284">
        <v>11.16</v>
      </c>
      <c r="I69" s="1284">
        <v>0</v>
      </c>
      <c r="J69" s="1284">
        <v>0</v>
      </c>
    </row>
    <row r="70" spans="2:10">
      <c r="B70" s="1284"/>
      <c r="C70" s="1285">
        <v>32540</v>
      </c>
      <c r="D70" s="1284">
        <v>11.34</v>
      </c>
      <c r="E70" s="1284">
        <v>11.34</v>
      </c>
      <c r="F70" s="1284">
        <v>12.78</v>
      </c>
      <c r="G70" s="1284">
        <v>14.4</v>
      </c>
      <c r="H70" s="1284">
        <v>19.260000000000002</v>
      </c>
      <c r="I70" s="1284">
        <v>0</v>
      </c>
      <c r="J70" s="1284">
        <v>0</v>
      </c>
    </row>
    <row r="71" spans="2:10">
      <c r="B71" s="1284"/>
      <c r="C71" s="1285"/>
      <c r="D71" s="1284"/>
      <c r="E71" s="1284"/>
      <c r="F71" s="1284"/>
      <c r="G71" s="1284"/>
      <c r="H71" s="1284"/>
      <c r="I71" s="1284"/>
      <c r="J71" s="1284"/>
    </row>
    <row r="72" spans="2:10">
      <c r="B72" s="1287"/>
      <c r="C72" s="1288"/>
      <c r="D72" s="1287"/>
      <c r="E72" s="1287"/>
      <c r="F72" s="1287"/>
      <c r="G72" s="1287"/>
      <c r="H72" s="1287"/>
      <c r="I72" s="1287"/>
      <c r="J72" s="1287"/>
    </row>
    <row r="73" spans="2:10">
      <c r="B73" s="1287"/>
      <c r="C73" s="1288"/>
      <c r="D73" s="1287"/>
      <c r="E73" s="1287"/>
      <c r="F73" s="1287"/>
      <c r="G73" s="1287"/>
      <c r="H73" s="1287"/>
      <c r="I73" s="1287"/>
      <c r="J73" s="1287"/>
    </row>
    <row r="74" spans="2:10">
      <c r="B74" s="1287"/>
      <c r="C74" s="1288"/>
      <c r="D74" s="1287"/>
      <c r="E74" s="1287"/>
      <c r="F74" s="1287"/>
      <c r="G74" s="1287"/>
      <c r="H74" s="1287"/>
      <c r="I74" s="1287"/>
      <c r="J74" s="1287"/>
    </row>
    <row r="75" spans="2:10">
      <c r="B75" s="1236"/>
      <c r="C75" s="1236"/>
      <c r="D75" s="1236"/>
      <c r="E75" s="1236"/>
      <c r="F75" s="1236"/>
      <c r="G75" s="1236"/>
      <c r="H75" s="1236"/>
      <c r="I75" s="1236"/>
      <c r="J75" s="1236"/>
    </row>
    <row r="76" spans="2:10">
      <c r="B76" s="1236"/>
      <c r="C76" s="1236"/>
      <c r="D76" s="1236"/>
      <c r="E76" s="1236"/>
      <c r="F76" s="1236"/>
      <c r="G76" s="1236"/>
      <c r="H76" s="1236"/>
      <c r="I76" s="1236"/>
      <c r="J76" s="1236"/>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V31"/>
  <sheetViews>
    <sheetView view="pageBreakPreview" zoomScaleNormal="100" zoomScaleSheetLayoutView="100" workbookViewId="0">
      <selection activeCell="D23" sqref="D23"/>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t="e">
        <f ca="1">SUMIF(B6:B13,"&lt;&gt;#ref!",B6:B13)</f>
        <v>#N/A</v>
      </c>
      <c r="C2" s="1866" t="s">
        <v>1651</v>
      </c>
      <c r="D2" s="1867" t="s">
        <v>1652</v>
      </c>
      <c r="E2" s="2601">
        <f>SUM(E6:E13)</f>
        <v>17747.629999999997</v>
      </c>
      <c r="F2" s="2701"/>
      <c r="G2" s="1483"/>
      <c r="H2" s="1483"/>
      <c r="I2" s="1483"/>
      <c r="J2" s="1483"/>
      <c r="K2" s="1483"/>
      <c r="L2" s="1483"/>
      <c r="M2" s="1483"/>
      <c r="N2" s="1483"/>
      <c r="O2" s="1483"/>
      <c r="P2" s="1483"/>
      <c r="Q2" s="1483"/>
      <c r="R2" s="1483"/>
      <c r="S2" s="1483"/>
    </row>
    <row r="3" spans="1:22" ht="15.75">
      <c r="A3" s="1864" t="s">
        <v>686</v>
      </c>
      <c r="B3" s="2595" t="e">
        <f ca="1">ROUND(B2*10000/E2,0)</f>
        <v>#N/A</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822" t="s">
        <v>1654</v>
      </c>
      <c r="C5" s="3823"/>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v>
      </c>
      <c r="B6" s="2596">
        <f ca="1">IF(F6="是",'数据-取费表'!AO6,0)</f>
        <v>11969</v>
      </c>
      <c r="C6" s="1866" t="s">
        <v>1651</v>
      </c>
      <c r="D6" s="2703"/>
      <c r="E6" s="2600">
        <f>IF(OR(A6=0,F6="否"),0,'数据-取费表'!K6+'数据-取费表'!S6)</f>
        <v>17747.629999999997</v>
      </c>
      <c r="F6" s="1870" t="s">
        <v>1657</v>
      </c>
      <c r="G6" s="1483"/>
      <c r="H6" s="1483"/>
      <c r="I6" s="1483"/>
      <c r="J6" s="1483"/>
      <c r="K6" s="1483"/>
      <c r="L6" s="1483"/>
      <c r="M6" s="1483"/>
      <c r="N6" s="1483"/>
      <c r="O6" s="1483"/>
      <c r="P6" s="1483"/>
      <c r="Q6" s="1483"/>
      <c r="R6" s="1483"/>
      <c r="S6" s="1483"/>
    </row>
    <row r="7" spans="1:22">
      <c r="A7" s="2598" t="str">
        <f>'数据-取费表'!AN7</f>
        <v>1、3号收益法</v>
      </c>
      <c r="B7" s="2596" t="e">
        <f ca="1">IF(F7="是",'数据-取费表'!AO7,0)</f>
        <v>#N/A</v>
      </c>
      <c r="C7" s="1866" t="s">
        <v>1651</v>
      </c>
      <c r="D7" s="2703"/>
      <c r="E7" s="2600">
        <f>IF(OR(A7=0,F7="否"),0,'数据-取费表'!K7+'数据-取费表'!S7)</f>
        <v>0</v>
      </c>
      <c r="F7" s="1870" t="s">
        <v>1657</v>
      </c>
      <c r="G7" s="1483"/>
      <c r="H7" s="1483"/>
      <c r="I7" s="1483"/>
      <c r="J7" s="1483"/>
      <c r="K7" s="1483"/>
      <c r="L7" s="1483"/>
      <c r="M7" s="1483"/>
      <c r="N7" s="1483"/>
      <c r="O7" s="1483"/>
      <c r="P7" s="1483"/>
      <c r="Q7" s="1483"/>
      <c r="R7" s="1483"/>
      <c r="S7" s="1483"/>
    </row>
    <row r="8" spans="1:22">
      <c r="A8" s="2598" t="str">
        <f>'数据-取费表'!AN8</f>
        <v>2号收益法</v>
      </c>
      <c r="B8" s="2596" t="e">
        <f ca="1">IF(F8="是",'数据-取费表'!AO8,0)</f>
        <v>#N/A</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C00-000000000000}">
      <formula1>估价范围判定</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zoomScaleSheetLayoutView="70" workbookViewId="0">
      <selection activeCell="F43" sqref="F43"/>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10"/>
      <c r="C1" s="1373" t="s">
        <v>3445</v>
      </c>
      <c r="D1" s="1356" t="s">
        <v>43</v>
      </c>
      <c r="E1" s="1357" t="s">
        <v>678</v>
      </c>
      <c r="F1" s="1056">
        <f ca="1">J53</f>
        <v>26.49</v>
      </c>
      <c r="G1" s="1372">
        <f>MATCH(C1,'数据-取费表'!A6:A16,0)+5</f>
        <v>6</v>
      </c>
      <c r="H1" s="2686"/>
      <c r="I1" s="2687"/>
      <c r="J1" s="2687"/>
      <c r="K1" s="2688"/>
      <c r="L1" s="2687"/>
      <c r="M1" s="2687"/>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11969</v>
      </c>
      <c r="C2" s="1381" t="s">
        <v>805</v>
      </c>
      <c r="D2" s="1381"/>
      <c r="E2" s="1382"/>
      <c r="F2" s="1383"/>
      <c r="G2" s="2700"/>
      <c r="H2" s="2689"/>
      <c r="I2" s="2689"/>
      <c r="J2" s="2689"/>
      <c r="K2" s="2690"/>
      <c r="L2" s="2689"/>
      <c r="M2" s="2689"/>
    </row>
    <row r="3" spans="1:37" ht="18" customHeight="1" thickBot="1">
      <c r="A3" s="1384" t="s">
        <v>806</v>
      </c>
      <c r="B3" s="1385">
        <f ca="1">IF(ISERROR(B2*10000/F43),0,ROUND(B2*10000/F43,0))</f>
        <v>6744</v>
      </c>
      <c r="C3" s="1381" t="s">
        <v>807</v>
      </c>
      <c r="D3" s="1381"/>
      <c r="E3" s="1382"/>
      <c r="F3" s="1383"/>
      <c r="G3" s="2700"/>
      <c r="H3" s="680"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f ca="1">C6+C10+C12</f>
        <v>1102</v>
      </c>
      <c r="D5" s="1358" t="s">
        <v>693</v>
      </c>
      <c r="E5" s="1065"/>
      <c r="F5" s="1066"/>
      <c r="G5" s="1378"/>
      <c r="H5" s="296">
        <v>1</v>
      </c>
      <c r="I5" s="297" t="s">
        <v>692</v>
      </c>
      <c r="J5" s="1064">
        <f ca="1">J6+J10+J12</f>
        <v>0</v>
      </c>
      <c r="K5" s="1358" t="s">
        <v>693</v>
      </c>
      <c r="L5" s="1065"/>
      <c r="M5" s="1066"/>
    </row>
    <row r="6" spans="1:37" ht="18" customHeight="1">
      <c r="A6" s="1063" t="s">
        <v>398</v>
      </c>
      <c r="B6" s="3686" t="s">
        <v>694</v>
      </c>
      <c r="C6" s="1068">
        <f ca="1">ROUND(F6*F8*F7*(1-F9)/10000,0)</f>
        <v>1101</v>
      </c>
      <c r="D6" s="152" t="s">
        <v>2109</v>
      </c>
      <c r="E6" s="299" t="s">
        <v>696</v>
      </c>
      <c r="F6" s="300">
        <f ca="1">INDIRECT("'数据-取费表'!u"&amp;$G$1)</f>
        <v>2</v>
      </c>
      <c r="G6" s="1378"/>
      <c r="H6" s="1063" t="s">
        <v>398</v>
      </c>
      <c r="I6" s="3686" t="s">
        <v>694</v>
      </c>
      <c r="J6" s="298">
        <f ca="1">ROUND(M6*M8*M7*(1-M9)/10000,0)</f>
        <v>0</v>
      </c>
      <c r="K6" s="152" t="s">
        <v>2108</v>
      </c>
      <c r="L6" s="299" t="s">
        <v>696</v>
      </c>
      <c r="M6" s="300">
        <f ca="1">INDIRECT("'数据-取费表'!z"&amp;$G$1)</f>
        <v>0</v>
      </c>
    </row>
    <row r="7" spans="1:37" ht="18" customHeight="1">
      <c r="A7" s="1067"/>
      <c r="B7" s="3687"/>
      <c r="C7" s="1069"/>
      <c r="D7" s="304"/>
      <c r="E7" s="1070" t="s">
        <v>697</v>
      </c>
      <c r="F7" s="300">
        <f ca="1">IF(INDIRECT("'数据-取费表'!ah"&amp;$G$1)="",INDIRECT("'数据-取费表'!k"&amp;$G$1),INDIRECT("'数据-取费表'!ah"&amp;$G$1))</f>
        <v>17747.629999999997</v>
      </c>
      <c r="G7" s="1378"/>
      <c r="H7" s="301"/>
      <c r="I7" s="3687"/>
      <c r="J7" s="303"/>
      <c r="K7" s="304"/>
      <c r="L7" s="299" t="s">
        <v>697</v>
      </c>
      <c r="M7" s="300">
        <f ca="1">F7</f>
        <v>17747.629999999997</v>
      </c>
    </row>
    <row r="8" spans="1:37" ht="18" customHeight="1">
      <c r="A8" s="301"/>
      <c r="B8" s="3687"/>
      <c r="C8" s="303"/>
      <c r="D8" s="304"/>
      <c r="E8" s="299" t="s">
        <v>698</v>
      </c>
      <c r="F8" s="300">
        <f ca="1">INDIRECT("'数据-取费表'!ai"&amp;$G$1)</f>
        <v>365</v>
      </c>
      <c r="G8" s="1378"/>
      <c r="H8" s="301"/>
      <c r="I8" s="3687"/>
      <c r="J8" s="303"/>
      <c r="K8" s="304"/>
      <c r="L8" s="299" t="s">
        <v>698</v>
      </c>
      <c r="M8" s="300">
        <f ca="1">INDIRECT("'数据-取费表'!ai"&amp;$G$1)</f>
        <v>365</v>
      </c>
    </row>
    <row r="9" spans="1:37" ht="18" customHeight="1">
      <c r="A9" s="301"/>
      <c r="B9" s="3688"/>
      <c r="C9" s="303"/>
      <c r="D9" s="304"/>
      <c r="E9" s="299" t="s">
        <v>699</v>
      </c>
      <c r="F9" s="309">
        <f ca="1">INDIRECT("'数据-取费表'!w"&amp;$G$1)</f>
        <v>0.15</v>
      </c>
      <c r="G9" s="1378"/>
      <c r="H9" s="301"/>
      <c r="I9" s="3688"/>
      <c r="J9" s="303"/>
      <c r="K9" s="304"/>
      <c r="L9" s="310" t="s">
        <v>699</v>
      </c>
      <c r="M9" s="311">
        <f ca="1">INDIRECT("'数据-取费表'!ab"&amp;$G$1)</f>
        <v>0</v>
      </c>
    </row>
    <row r="10" spans="1:37" ht="18" customHeight="1">
      <c r="A10" s="1063" t="s">
        <v>402</v>
      </c>
      <c r="B10" s="1359" t="s">
        <v>700</v>
      </c>
      <c r="C10" s="313">
        <f ca="1">ROUND(IF(F10="押一",C6/12*F11,IF(F10="押二",C6/12*2*F11,IF(F10="押三",C6/12*3*F11,C11*F11))),0)</f>
        <v>1</v>
      </c>
      <c r="D10" s="1360" t="s">
        <v>2117</v>
      </c>
      <c r="E10" s="310" t="s">
        <v>701</v>
      </c>
      <c r="F10" s="1110" t="s">
        <v>3405</v>
      </c>
      <c r="G10" s="1378"/>
      <c r="H10" s="1063" t="s">
        <v>402</v>
      </c>
      <c r="I10" s="1359" t="s">
        <v>700</v>
      </c>
      <c r="J10" s="298">
        <f ca="1">ROUND(IF(M10="押一",J6/12*M11,IF(M10="押二",J6/12*2*M11,IF(M10="押三",J6/12*3*M11,J11*M11))),0)</f>
        <v>0</v>
      </c>
      <c r="K10" s="1360" t="s">
        <v>2116</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81"/>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5144</v>
      </c>
      <c r="D13" s="1075" t="s">
        <v>705</v>
      </c>
      <c r="E13" s="1075" t="s">
        <v>706</v>
      </c>
      <c r="F13" s="1076">
        <f ca="1">INDIRECT("'数据-取费表'!y"&amp;$G$1)</f>
        <v>0.7</v>
      </c>
      <c r="G13" s="1378"/>
      <c r="H13" s="1073">
        <v>2</v>
      </c>
      <c r="I13" s="1074" t="s">
        <v>704</v>
      </c>
      <c r="J13" s="1062">
        <f ca="1">ROUND(J14*J15,0)</f>
        <v>0</v>
      </c>
      <c r="K13" s="1081" t="s">
        <v>705</v>
      </c>
      <c r="L13" s="1386"/>
      <c r="M13" s="1387"/>
    </row>
    <row r="14" spans="1:37" ht="18" customHeight="1">
      <c r="A14" s="976" t="s">
        <v>397</v>
      </c>
      <c r="B14" s="299" t="s">
        <v>707</v>
      </c>
      <c r="C14" s="315">
        <f ca="1">INDIRECT("'数据-取费表'!m"&amp;$G$1)+INDIRECT("'数据-取费表'!t"&amp;$G$1)</f>
        <v>5324</v>
      </c>
      <c r="D14" s="1339" t="s">
        <v>708</v>
      </c>
      <c r="E14" s="1336"/>
      <c r="F14" s="316"/>
      <c r="G14" s="1378"/>
      <c r="H14" s="976" t="s">
        <v>398</v>
      </c>
      <c r="I14" s="299" t="s">
        <v>709</v>
      </c>
      <c r="J14" s="21">
        <f ca="1">C29</f>
        <v>7349</v>
      </c>
      <c r="K14" s="12"/>
      <c r="L14" s="801"/>
      <c r="M14" s="802"/>
    </row>
    <row r="15" spans="1:37" s="1391" customFormat="1" ht="18" customHeight="1" thickBot="1">
      <c r="A15" s="976" t="s">
        <v>399</v>
      </c>
      <c r="B15" s="299" t="s">
        <v>710</v>
      </c>
      <c r="C15" s="21">
        <f ca="1">ROUND(C14*F15,0)</f>
        <v>160</v>
      </c>
      <c r="D15" s="317" t="s">
        <v>711</v>
      </c>
      <c r="E15" s="317" t="s">
        <v>712</v>
      </c>
      <c r="F15" s="318">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ROUND(INDIRECT("'数据-取费表'!m"&amp;$G$1)*F16,0)</f>
        <v>0</v>
      </c>
      <c r="D16" s="299" t="s">
        <v>711</v>
      </c>
      <c r="E16" s="299" t="s">
        <v>712</v>
      </c>
      <c r="F16" s="319">
        <f ca="1">IF(INDIRECT("'数据-取费表'!c"&amp;$G$1)="住宅",'数据-取费表'!B34,0)</f>
        <v>0</v>
      </c>
      <c r="G16" s="1378"/>
      <c r="H16" s="1073" t="s">
        <v>393</v>
      </c>
      <c r="I16" s="1074" t="s">
        <v>714</v>
      </c>
      <c r="J16" s="307">
        <f ca="1">ROUND(J17+J22+J23+J24,0)</f>
        <v>17</v>
      </c>
      <c r="K16" s="1081" t="s">
        <v>715</v>
      </c>
      <c r="L16" s="1082"/>
      <c r="M16" s="1066"/>
    </row>
    <row r="17" spans="1:37" s="1391" customFormat="1" ht="18" customHeight="1">
      <c r="A17" s="976" t="s">
        <v>681</v>
      </c>
      <c r="B17" s="299" t="s">
        <v>716</v>
      </c>
      <c r="C17" s="21">
        <f ca="1">ROUND(F17*(F43+INDIRECT("'数据-取费表'!S"&amp;$G$1))/10000,0)</f>
        <v>355</v>
      </c>
      <c r="D17" s="299" t="s">
        <v>717</v>
      </c>
      <c r="E17" s="299" t="s">
        <v>718</v>
      </c>
      <c r="F17" s="23">
        <f>'数据-取费表'!B35</f>
        <v>200</v>
      </c>
      <c r="G17" s="1390"/>
      <c r="H17" s="976" t="s">
        <v>398</v>
      </c>
      <c r="I17" s="299" t="s">
        <v>719</v>
      </c>
      <c r="J17" s="2310">
        <f ca="1">ROUND(IF(AND(项目基本情况!B11="自然人",项目基本情况!B10="北京市"),J6*M17/(1+'数据-取费表'!C42),J18+J19+J20),2)</f>
        <v>2.29</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80</v>
      </c>
      <c r="D18" s="299" t="s">
        <v>711</v>
      </c>
      <c r="E18" s="299" t="s">
        <v>712</v>
      </c>
      <c r="F18" s="319">
        <f>'数据-取费表'!B36</f>
        <v>1.4999999999999999E-2</v>
      </c>
      <c r="G18" s="1390"/>
      <c r="H18" s="976" t="s">
        <v>397</v>
      </c>
      <c r="I18" s="299" t="s">
        <v>723</v>
      </c>
      <c r="J18" s="21">
        <f ca="1">ROUND(J6*M18/(1+'数据-取费表'!C42),2)</f>
        <v>0</v>
      </c>
      <c r="K18" s="1338" t="s">
        <v>724</v>
      </c>
      <c r="L18" s="299" t="s">
        <v>712</v>
      </c>
      <c r="M18" s="319">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5919</v>
      </c>
      <c r="D19" s="128" t="s">
        <v>726</v>
      </c>
      <c r="E19" s="1354"/>
      <c r="F19" s="23"/>
      <c r="G19" s="1378"/>
      <c r="H19" s="976" t="s">
        <v>399</v>
      </c>
      <c r="I19" s="299" t="s">
        <v>727</v>
      </c>
      <c r="J19" s="21">
        <f ca="1">IF(K19="按租金收入计税",ROUND(J6*M19/(1+'数据-取费表'!C42),2),ROUND(C29*M19*0.7,2))</f>
        <v>0</v>
      </c>
      <c r="K19" s="1364" t="s">
        <v>3329</v>
      </c>
      <c r="L19" s="299" t="s">
        <v>712</v>
      </c>
      <c r="M19" s="319">
        <f>IF(K19="按租金收入计税",'数据-取费表'!B51,'数据-取费表'!B50)</f>
        <v>0.12</v>
      </c>
    </row>
    <row r="20" spans="1:37" s="1391" customFormat="1" ht="18" customHeight="1">
      <c r="A20" s="976" t="s">
        <v>402</v>
      </c>
      <c r="B20" s="299" t="s">
        <v>728</v>
      </c>
      <c r="C20" s="21">
        <f ca="1">ROUND(C19*F20,0)</f>
        <v>118</v>
      </c>
      <c r="D20" s="320" t="s">
        <v>729</v>
      </c>
      <c r="E20" s="299" t="s">
        <v>712</v>
      </c>
      <c r="F20" s="319">
        <f>'数据-取费表'!B37</f>
        <v>0.02</v>
      </c>
      <c r="G20" s="1390"/>
      <c r="H20" s="976" t="s">
        <v>680</v>
      </c>
      <c r="I20" s="152" t="s">
        <v>730</v>
      </c>
      <c r="J20" s="22">
        <f ca="1">ROUND(M20*M21/10000,2)</f>
        <v>2.29</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15</v>
      </c>
      <c r="D21" s="320" t="s">
        <v>734</v>
      </c>
      <c r="E21" s="299" t="s">
        <v>735</v>
      </c>
      <c r="F21" s="319">
        <f>'数据-取费表'!B38</f>
        <v>0.02</v>
      </c>
      <c r="G21" s="1390"/>
      <c r="H21" s="323"/>
      <c r="I21" s="308"/>
      <c r="J21" s="26"/>
      <c r="K21" s="324"/>
      <c r="L21" s="299" t="s">
        <v>736</v>
      </c>
      <c r="M21" s="300">
        <f ca="1">INDIRECT("'数据-取费表'!r"&amp;$G$1)</f>
        <v>15255.5</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ROUND(J14*M22,2)</f>
        <v>14.7</v>
      </c>
      <c r="K22" s="1338" t="s">
        <v>739</v>
      </c>
      <c r="L22" s="299" t="s">
        <v>712</v>
      </c>
      <c r="M22" s="325">
        <f ca="1">INDIRECT("'数据-取费表'!Ak"&amp;$G$1)</f>
        <v>2E-3</v>
      </c>
    </row>
    <row r="23" spans="1:37" s="1391" customFormat="1" ht="18" customHeight="1">
      <c r="A23" s="976" t="s">
        <v>397</v>
      </c>
      <c r="B23" s="299" t="s">
        <v>740</v>
      </c>
      <c r="C23" s="21">
        <f ca="1">IF('数据-取费表'!B22&lt;=1,ROUND(C19*F24*F23/2,0)+ROUND(C20*F24*F23/2,0),ROUND(C19*(POWER((1+F24),F23/2)-1),0)+ROUND(C20*(POWER((1+F24),F23/2)-1),0))</f>
        <v>151</v>
      </c>
      <c r="D23" s="326" t="str">
        <f>IF(F23&lt;=1,"(建造成本+管理费用)×利率×(建设周期÷2)","(建造成本+管理费用)×((1+利率)^(建设周期÷2)-1)")</f>
        <v>(建造成本+管理费用)×((1+利率)^(建设周期÷2)-1)</v>
      </c>
      <c r="E23" s="299" t="s">
        <v>741</v>
      </c>
      <c r="F23" s="322">
        <f>'数据-取费表'!B20</f>
        <v>1.5</v>
      </c>
      <c r="G23" s="1390"/>
      <c r="H23" s="976" t="s">
        <v>437</v>
      </c>
      <c r="I23" s="299" t="s">
        <v>742</v>
      </c>
      <c r="J23" s="21">
        <f ca="1">ROUND(J13*M23,2)</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5.0000000000000001E-4</v>
      </c>
      <c r="D24" s="326" t="str">
        <f>IF(F23&lt;=1,"销售费用×利率×(建设周期÷2)","销售费用×((1+利率)^(建设周期÷2)-1)")</f>
        <v>销售费用×((1+利率)^(建设周期÷2)-1)</v>
      </c>
      <c r="E24" s="299" t="s">
        <v>747</v>
      </c>
      <c r="F24" s="328">
        <f ca="1">'数据-取费表'!B40</f>
        <v>3.3500000000000002E-2</v>
      </c>
      <c r="G24" s="1390"/>
      <c r="H24" s="1083" t="s">
        <v>684</v>
      </c>
      <c r="I24" s="1084" t="s">
        <v>728</v>
      </c>
      <c r="J24" s="1085">
        <f ca="1">ROUND(J5*M24,2)</f>
        <v>0</v>
      </c>
      <c r="K24" s="1086" t="s">
        <v>748</v>
      </c>
      <c r="L24" s="1084" t="s">
        <v>744</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1354"/>
      <c r="F25" s="23"/>
      <c r="G25" s="1378"/>
      <c r="H25" s="1073" t="s">
        <v>394</v>
      </c>
      <c r="I25" s="1088" t="s">
        <v>752</v>
      </c>
      <c r="J25" s="307">
        <f ca="1">J5-J16</f>
        <v>-17</v>
      </c>
      <c r="K25" s="1089" t="s">
        <v>753</v>
      </c>
      <c r="L25" s="1090"/>
      <c r="M25" s="1091"/>
    </row>
    <row r="26" spans="1:37">
      <c r="A26" s="976" t="s">
        <v>397</v>
      </c>
      <c r="B26" s="299" t="s">
        <v>754</v>
      </c>
      <c r="C26" s="21">
        <f ca="1">ROUND((C19+C20)*F26,0)</f>
        <v>604</v>
      </c>
      <c r="D26" s="320" t="s">
        <v>755</v>
      </c>
      <c r="E26" s="310" t="s">
        <v>756</v>
      </c>
      <c r="F26" s="309">
        <f ca="1">INDIRECT("'数据-取费表'!q"&amp;$G$1)</f>
        <v>0.1</v>
      </c>
      <c r="G26" s="1378"/>
      <c r="H26" s="296" t="s">
        <v>395</v>
      </c>
      <c r="I26" s="297" t="s">
        <v>757</v>
      </c>
      <c r="J26" s="298">
        <f ca="1">IF(J5&lt;&gt;0,ROUND(J25*(1-((1+M28)/(1+M26))^M27)/(M26-M28),0),0)</f>
        <v>0</v>
      </c>
      <c r="K26" s="321" t="s">
        <v>758</v>
      </c>
      <c r="L26" s="299" t="s">
        <v>759</v>
      </c>
      <c r="M26" s="309">
        <f ca="1">INDIRECT("'数据-取费表'!I"&amp;$G$1)</f>
        <v>0.06</v>
      </c>
    </row>
    <row r="27" spans="1:37" ht="18" customHeight="1">
      <c r="A27" s="976" t="s">
        <v>399</v>
      </c>
      <c r="B27" s="299" t="s">
        <v>760</v>
      </c>
      <c r="C27" s="21">
        <f ca="1">ROUND(F21*F26,4)</f>
        <v>2E-3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5.33E-2</v>
      </c>
      <c r="D28" s="320" t="s">
        <v>765</v>
      </c>
      <c r="E28" s="299" t="s">
        <v>712</v>
      </c>
      <c r="F28" s="319">
        <f>'数据-取费表'!B41</f>
        <v>5.6000000000000001E-2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7349</v>
      </c>
      <c r="D29" s="1086"/>
      <c r="E29" s="1084"/>
      <c r="F29" s="1087"/>
      <c r="G29" s="1390"/>
      <c r="H29" s="331" t="s">
        <v>396</v>
      </c>
      <c r="I29" s="332" t="s">
        <v>768</v>
      </c>
      <c r="J29" s="333">
        <f ca="1">ROUND(J26/(1+F40)^F41,0)</f>
        <v>0</v>
      </c>
      <c r="K29" s="334" t="s">
        <v>769</v>
      </c>
      <c r="L29" s="335"/>
      <c r="M29" s="336">
        <f ca="1">INDIRECT("'数据-取费表'!k"&amp;$G$1)</f>
        <v>17747.629999999997</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218</v>
      </c>
      <c r="D30" s="1081" t="s">
        <v>715</v>
      </c>
      <c r="E30" s="1082"/>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ROUND(IF(AND(项目基本情况!B11="自然人",项目基本情况!B10="北京市"),C6*F31/(1+'数据-取费表'!C42),C32+C33+C34),2)</f>
        <v>186.84</v>
      </c>
      <c r="D31" s="1339" t="s">
        <v>720</v>
      </c>
      <c r="E31" s="1338" t="s">
        <v>770</v>
      </c>
      <c r="F31" s="2309" t="str">
        <f>IF(项目基本情况!B11="企业","——",IF(M47="住宅",IF(F6*F7*F8/12/(1+'数据-取费表'!F30)&gt;100000,4%,2.5%),IF(F6*F7*F8/12/(1+'数据-取费表'!F30)&gt;100000,12%,7%)))</f>
        <v>——</v>
      </c>
      <c r="G31" s="1378"/>
      <c r="H31" s="2802" t="s">
        <v>2299</v>
      </c>
      <c r="I31" s="1392"/>
      <c r="J31" s="1393"/>
      <c r="K31" s="2469"/>
      <c r="L31" s="2692"/>
      <c r="M31" s="2693"/>
    </row>
    <row r="32" spans="1:37" ht="18" customHeight="1">
      <c r="A32" s="976" t="s">
        <v>397</v>
      </c>
      <c r="B32" s="299" t="s">
        <v>723</v>
      </c>
      <c r="C32" s="21">
        <f ca="1">IF(项目基本情况!B11="自然人","——",ROUND(C6*F32/(1+'数据-取费表'!C42),2))</f>
        <v>58.72</v>
      </c>
      <c r="D32" s="1338" t="s">
        <v>724</v>
      </c>
      <c r="E32" s="299" t="s">
        <v>712</v>
      </c>
      <c r="F32" s="328">
        <f>'数据-取费表'!B41</f>
        <v>5.6000000000000001E-2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IF(项目基本情况!B11="自然人","——",IF(D33="按租金收入计税",ROUND(C6*F33/(1+'数据-取费表'!C42),2),IF(D33="按房产原值计税",ROUND(C29*F33*0.7,2),INDIRECT("'数据-取费表'!Aj"&amp;$G$1))))</f>
        <v>125.83</v>
      </c>
      <c r="D33" s="1364" t="s">
        <v>3329</v>
      </c>
      <c r="E33" s="299" t="s">
        <v>712</v>
      </c>
      <c r="F33" s="319">
        <f>IF(D33="按票据","——",IF(D33="按租金收入计税",'数据-取费表'!B51,'数据-取费表'!B50))</f>
        <v>0.12</v>
      </c>
      <c r="G33" s="1378"/>
      <c r="H33" s="2694">
        <f ca="1">C30/C6</f>
        <v>0.19800181653042689</v>
      </c>
      <c r="I33" s="1392"/>
      <c r="J33" s="1393"/>
      <c r="K33" s="2695"/>
      <c r="L33" s="2694"/>
      <c r="M33" s="2694"/>
    </row>
    <row r="34" spans="1:18" ht="18" customHeight="1">
      <c r="A34" s="1063" t="s">
        <v>680</v>
      </c>
      <c r="B34" s="152" t="s">
        <v>730</v>
      </c>
      <c r="C34" s="22">
        <f ca="1">IF(项目基本情况!B11="自然人","——",ROUND(F34*F35/10000,2))</f>
        <v>2.29</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15255.5</v>
      </c>
      <c r="G35" s="1378"/>
      <c r="H35" s="2691"/>
      <c r="I35" s="1392"/>
      <c r="J35" s="1393"/>
      <c r="K35" s="2695"/>
      <c r="L35" s="2694"/>
      <c r="M35" s="2694"/>
    </row>
    <row r="36" spans="1:18" ht="18" customHeight="1">
      <c r="A36" s="1096" t="s">
        <v>402</v>
      </c>
      <c r="B36" s="299" t="s">
        <v>738</v>
      </c>
      <c r="C36" s="21">
        <f ca="1">ROUND(C29*F36,2)</f>
        <v>14.7</v>
      </c>
      <c r="D36" s="1338" t="s">
        <v>771</v>
      </c>
      <c r="E36" s="299" t="s">
        <v>712</v>
      </c>
      <c r="F36" s="325">
        <f ca="1">INDIRECT("'数据-取费表'!Ak"&amp;$G$1)</f>
        <v>2E-3</v>
      </c>
      <c r="G36" s="1378"/>
      <c r="H36" s="2694"/>
      <c r="I36" s="1392"/>
      <c r="J36" s="1393"/>
      <c r="K36" s="2538"/>
      <c r="L36" s="2694"/>
      <c r="M36" s="2694"/>
    </row>
    <row r="37" spans="1:18" ht="18" customHeight="1">
      <c r="A37" s="976" t="s">
        <v>437</v>
      </c>
      <c r="B37" s="299" t="s">
        <v>742</v>
      </c>
      <c r="C37" s="21">
        <f ca="1">ROUND(C13*F37,2)</f>
        <v>5.14</v>
      </c>
      <c r="D37" s="1338" t="s">
        <v>743</v>
      </c>
      <c r="E37" s="299" t="s">
        <v>744</v>
      </c>
      <c r="F37" s="327">
        <f ca="1">INDIRECT("'数据-取费表'!Al"&amp;$G$1)</f>
        <v>1E-3</v>
      </c>
      <c r="G37" s="1378"/>
      <c r="H37" s="2694"/>
      <c r="I37" s="1392"/>
      <c r="J37" s="1393"/>
      <c r="K37" s="2538"/>
      <c r="L37" s="2694"/>
      <c r="M37" s="2694"/>
    </row>
    <row r="38" spans="1:18" ht="18" customHeight="1" thickBot="1">
      <c r="A38" s="1083" t="s">
        <v>684</v>
      </c>
      <c r="B38" s="1084" t="s">
        <v>728</v>
      </c>
      <c r="C38" s="1085">
        <f ca="1">ROUND(C5*F38,2)</f>
        <v>11.02</v>
      </c>
      <c r="D38" s="1086" t="s">
        <v>748</v>
      </c>
      <c r="E38" s="1084" t="s">
        <v>744</v>
      </c>
      <c r="F38" s="1080">
        <f ca="1">INDIRECT("'数据-取费表'!Am"&amp;$G$1)</f>
        <v>0.01</v>
      </c>
      <c r="G38" s="1378"/>
      <c r="H38" s="2694"/>
      <c r="I38" s="1392"/>
      <c r="J38" s="1393"/>
      <c r="K38" s="2698"/>
      <c r="L38" s="2694"/>
      <c r="M38" s="2694"/>
    </row>
    <row r="39" spans="1:18" ht="24.6" customHeight="1" thickTop="1">
      <c r="A39" s="1073" t="s">
        <v>394</v>
      </c>
      <c r="B39" s="1088" t="s">
        <v>772</v>
      </c>
      <c r="C39" s="307">
        <f ca="1">C5-C30</f>
        <v>884</v>
      </c>
      <c r="D39" s="1089" t="s">
        <v>773</v>
      </c>
      <c r="E39" s="1090"/>
      <c r="F39" s="1091"/>
      <c r="G39" s="1378"/>
      <c r="H39" s="2694"/>
      <c r="I39" s="1392"/>
      <c r="J39" s="1393"/>
      <c r="K39" s="2698"/>
      <c r="L39" s="2694"/>
      <c r="M39" s="2694"/>
    </row>
    <row r="40" spans="1:18" ht="18" customHeight="1">
      <c r="A40" s="296" t="s">
        <v>395</v>
      </c>
      <c r="B40" s="297" t="s">
        <v>774</v>
      </c>
      <c r="C40" s="298">
        <f ca="1">ROUND(C39*(1-((1+F42)/(1+F40))^F41)/(F40-F42),0)</f>
        <v>11586</v>
      </c>
      <c r="D40" s="321" t="s">
        <v>758</v>
      </c>
      <c r="E40" s="299" t="s">
        <v>759</v>
      </c>
      <c r="F40" s="309">
        <f ca="1">INDIRECT("'数据-取费表'!I"&amp;$G$1)</f>
        <v>0.06</v>
      </c>
      <c r="G40" s="1378"/>
      <c r="H40" s="1455"/>
      <c r="I40" s="1392"/>
      <c r="J40" s="1393"/>
      <c r="K40" s="2698"/>
      <c r="L40" s="1455"/>
      <c r="M40" s="1455"/>
    </row>
    <row r="41" spans="1:18" ht="18" customHeight="1">
      <c r="A41" s="301"/>
      <c r="B41" s="302"/>
      <c r="C41" s="303"/>
      <c r="D41" s="329" t="s">
        <v>775</v>
      </c>
      <c r="E41" s="299" t="s">
        <v>763</v>
      </c>
      <c r="F41" s="330">
        <f ca="1">IF(INDIRECT("'数据-取费表'!af"&amp;$G$1)=0,INDIRECT("'数据-取费表'!ae"&amp;$G$1),INDIRECT("'数据-取费表'!af"&amp;$G$1))</f>
        <v>26.49</v>
      </c>
      <c r="G41" s="1378"/>
      <c r="H41" s="1185"/>
      <c r="I41" s="1392"/>
      <c r="J41" s="1393"/>
      <c r="K41" s="2538"/>
      <c r="L41" s="1185"/>
      <c r="M41" s="1185"/>
    </row>
    <row r="42" spans="1:18" ht="18" customHeight="1">
      <c r="A42" s="305"/>
      <c r="B42" s="306"/>
      <c r="C42" s="307"/>
      <c r="D42" s="324"/>
      <c r="E42" s="299" t="s">
        <v>766</v>
      </c>
      <c r="F42" s="309">
        <f ca="1">INDIRECT("'数据-取费表'!v"&amp;$G$1)</f>
        <v>0</v>
      </c>
      <c r="G42" s="1378"/>
      <c r="H42" s="1185"/>
      <c r="I42" s="1392"/>
      <c r="J42" s="1393"/>
      <c r="K42" s="2538"/>
      <c r="L42" s="1185"/>
      <c r="M42" s="1185"/>
    </row>
    <row r="43" spans="1:18" ht="18" customHeight="1" thickBot="1">
      <c r="A43" s="331" t="s">
        <v>396</v>
      </c>
      <c r="B43" s="332" t="s">
        <v>776</v>
      </c>
      <c r="C43" s="333">
        <f ca="1">ROUND(C40*10000/F43,0)</f>
        <v>6528</v>
      </c>
      <c r="D43" s="334" t="s">
        <v>777</v>
      </c>
      <c r="E43" s="335" t="s">
        <v>778</v>
      </c>
      <c r="F43" s="336">
        <f ca="1">INDIRECT("'数据-取费表'!k"&amp;$G$1)</f>
        <v>17747.629999999997</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9" t="s">
        <v>808</v>
      </c>
      <c r="P45" s="1455"/>
      <c r="Q45" s="1455"/>
      <c r="R45" s="1455"/>
    </row>
    <row r="46" spans="1:18" s="1378" customFormat="1" ht="13.5" thickBot="1">
      <c r="A46" s="1398" t="s">
        <v>809</v>
      </c>
      <c r="C46" s="1399">
        <f ca="1">C68-C40</f>
        <v>-11874</v>
      </c>
      <c r="D46" s="1400" t="str">
        <f>C2</f>
        <v>万元</v>
      </c>
      <c r="E46" s="1394"/>
      <c r="F46" s="1394"/>
      <c r="I46" s="1401" t="s">
        <v>810</v>
      </c>
      <c r="J46" s="1402"/>
      <c r="K46" s="1403"/>
      <c r="L46" s="1404">
        <f ca="1">IF(M47="住宅",0,IF(L48&gt;J51,L60,J60))</f>
        <v>383</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3406</v>
      </c>
      <c r="K47" s="1410" t="s">
        <v>816</v>
      </c>
      <c r="L47" s="1411">
        <f ca="1">INDIRECT("'数据-取费表'!d"&amp;$G$1)</f>
        <v>50</v>
      </c>
      <c r="M47" s="1374" t="str">
        <f>IF(ISNUMBER(FIND("住宅",C1)),"住宅","非住宅")</f>
        <v>非住宅</v>
      </c>
      <c r="O47" s="1412" t="s">
        <v>403</v>
      </c>
      <c r="P47" s="1413" t="s">
        <v>817</v>
      </c>
      <c r="Q47" s="1414">
        <f ca="1">C40+J29</f>
        <v>11586</v>
      </c>
      <c r="R47" s="1414" t="s">
        <v>818</v>
      </c>
    </row>
    <row r="48" spans="1:18" s="1378" customFormat="1" ht="28.5" thickBot="1">
      <c r="A48" s="1104" t="s">
        <v>438</v>
      </c>
      <c r="B48" s="297" t="s">
        <v>692</v>
      </c>
      <c r="C48" s="1353">
        <f ca="1">C49+C53+C55</f>
        <v>0</v>
      </c>
      <c r="D48" s="1106"/>
      <c r="E48" s="1107"/>
      <c r="F48" s="956"/>
      <c r="G48" s="719"/>
      <c r="H48" s="720"/>
      <c r="I48" s="1415" t="s">
        <v>819</v>
      </c>
      <c r="J48" s="1416" t="s">
        <v>3407</v>
      </c>
      <c r="K48" s="1417" t="s">
        <v>820</v>
      </c>
      <c r="L48" s="1418">
        <f ca="1">INDIRECT("'数据-取费表'!f"&amp;$G$1)</f>
        <v>26.49</v>
      </c>
      <c r="O48" s="1412" t="s">
        <v>404</v>
      </c>
      <c r="P48" s="1413" t="s">
        <v>821</v>
      </c>
      <c r="Q48" s="1414">
        <f ca="1">J60</f>
        <v>383</v>
      </c>
      <c r="R48" s="1414" t="s">
        <v>822</v>
      </c>
    </row>
    <row r="49" spans="1:18" s="1378" customFormat="1" ht="13.5" thickBot="1">
      <c r="A49" s="969" t="s">
        <v>439</v>
      </c>
      <c r="B49" s="1365" t="s">
        <v>779</v>
      </c>
      <c r="C49" s="1108">
        <f ca="1">ROUND(F49*F51*F50*(1-F52)/10000,0)</f>
        <v>0</v>
      </c>
      <c r="D49" s="1049" t="s">
        <v>2110</v>
      </c>
      <c r="E49" s="1366" t="s">
        <v>780</v>
      </c>
      <c r="F49" s="1054"/>
      <c r="G49" s="1419"/>
      <c r="H49" s="720"/>
      <c r="I49" s="1415" t="s">
        <v>823</v>
      </c>
      <c r="J49" s="1420">
        <f>Sheet1!K2</f>
        <v>2002</v>
      </c>
      <c r="K49" s="1417" t="s">
        <v>824</v>
      </c>
      <c r="L49" s="1421"/>
      <c r="O49" s="1422" t="s">
        <v>405</v>
      </c>
      <c r="P49" s="1413" t="s">
        <v>825</v>
      </c>
      <c r="Q49" s="1414">
        <f ca="1">C29</f>
        <v>7349</v>
      </c>
      <c r="R49" s="1414" t="s">
        <v>818</v>
      </c>
    </row>
    <row r="50" spans="1:18" s="1378" customFormat="1" ht="13.5" thickBot="1">
      <c r="A50" s="970"/>
      <c r="B50" s="973"/>
      <c r="C50" s="1112"/>
      <c r="D50" s="947"/>
      <c r="E50" s="1050" t="s">
        <v>697</v>
      </c>
      <c r="F50" s="1051">
        <f ca="1">F7</f>
        <v>17747.629999999997</v>
      </c>
      <c r="H50" s="720"/>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38</v>
      </c>
      <c r="K51" s="1428" t="s">
        <v>830</v>
      </c>
      <c r="L51" s="1429">
        <f ca="1">ROUND(-PV(INDIRECT("'数据-取费表'!h"&amp;$G$1),J51,(C39-C13*C76),0),0)</f>
        <v>8837</v>
      </c>
      <c r="M51" s="1430"/>
      <c r="O51" s="1422" t="s">
        <v>407</v>
      </c>
      <c r="P51" s="1413" t="s">
        <v>831</v>
      </c>
      <c r="Q51" s="1425">
        <f>J52</f>
        <v>0.08</v>
      </c>
      <c r="R51" s="1414"/>
    </row>
    <row r="52" spans="1:18" s="1378" customFormat="1" ht="13.5" thickBot="1">
      <c r="A52" s="971"/>
      <c r="B52" s="973"/>
      <c r="C52" s="974"/>
      <c r="D52" s="947"/>
      <c r="E52" s="975" t="s">
        <v>699</v>
      </c>
      <c r="F52" s="1048"/>
      <c r="I52" s="1431" t="s">
        <v>832</v>
      </c>
      <c r="J52" s="1432">
        <v>0.08</v>
      </c>
      <c r="K52" s="1431" t="s">
        <v>833</v>
      </c>
      <c r="L52" s="1432"/>
      <c r="O52" s="1422" t="s">
        <v>408</v>
      </c>
      <c r="P52" s="1413" t="s">
        <v>834</v>
      </c>
      <c r="Q52" s="1414">
        <f ca="1">J53</f>
        <v>26.49</v>
      </c>
      <c r="R52" s="1414" t="s">
        <v>835</v>
      </c>
    </row>
    <row r="53" spans="1:18" s="1378" customFormat="1" ht="24.75" thickBot="1">
      <c r="A53" s="1146" t="s">
        <v>440</v>
      </c>
      <c r="B53" s="1367" t="s">
        <v>700</v>
      </c>
      <c r="C53" s="313">
        <f ca="1">ROUND(IF(F53="押一",C49/12*F11,IF(F53="押二",C49/12*2*F11,IF(F53="押三",C49/12*3*F11,C54*F11))),0)</f>
        <v>0</v>
      </c>
      <c r="D53" s="1360" t="s">
        <v>2116</v>
      </c>
      <c r="E53" s="310" t="s">
        <v>701</v>
      </c>
      <c r="F53" s="1110"/>
      <c r="I53" s="1433" t="s">
        <v>836</v>
      </c>
      <c r="J53" s="2162">
        <f ca="1">IF(M47="住宅",IF(D1="——",MAX(J51,L48),MAX(J51,L48-'数据-取费表'!B24)),IF(D1="——",MIN(J51,L48),MIN(J51,L48-'数据-取费表'!B24)))</f>
        <v>26.49</v>
      </c>
      <c r="K53" s="3689" t="s">
        <v>837</v>
      </c>
      <c r="L53" s="3690"/>
      <c r="O53" s="1412" t="s">
        <v>409</v>
      </c>
      <c r="P53" s="1413" t="s">
        <v>838</v>
      </c>
      <c r="Q53" s="1414">
        <f ca="1">Q47+Q48</f>
        <v>11969</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0.192</v>
      </c>
      <c r="K55" s="1439" t="s">
        <v>841</v>
      </c>
      <c r="L55" s="1440"/>
      <c r="O55" s="1405" t="s">
        <v>811</v>
      </c>
      <c r="P55" s="1406" t="s">
        <v>812</v>
      </c>
      <c r="Q55" s="1407" t="s">
        <v>813</v>
      </c>
      <c r="R55" s="1407" t="s">
        <v>814</v>
      </c>
    </row>
    <row r="56" spans="1:18" s="1378" customFormat="1" ht="25.5" thickTop="1" thickBot="1">
      <c r="A56" s="951">
        <v>2</v>
      </c>
      <c r="B56" s="952" t="s">
        <v>704</v>
      </c>
      <c r="C56" s="229">
        <f ca="1">C13</f>
        <v>5144</v>
      </c>
      <c r="D56" s="1441"/>
      <c r="E56" s="1442"/>
      <c r="F56" s="1434"/>
      <c r="I56" s="1443" t="s">
        <v>842</v>
      </c>
      <c r="J56" s="1444" t="s">
        <v>3477</v>
      </c>
      <c r="K56" s="1415" t="s">
        <v>843</v>
      </c>
      <c r="L56" s="1418" t="str">
        <f ca="1">IF(L48&lt;J51,"——",L48-J53)</f>
        <v>——</v>
      </c>
      <c r="O56" s="1412" t="s">
        <v>403</v>
      </c>
      <c r="P56" s="1413" t="s">
        <v>817</v>
      </c>
      <c r="Q56" s="1414">
        <f ca="1">C40+J29</f>
        <v>11586</v>
      </c>
      <c r="R56" s="1414" t="s">
        <v>818</v>
      </c>
    </row>
    <row r="57" spans="1:18" s="1378" customFormat="1" ht="24.75" thickBot="1">
      <c r="A57" s="1445"/>
      <c r="B57" s="944" t="s">
        <v>767</v>
      </c>
      <c r="C57" s="235">
        <f ca="1">C29</f>
        <v>7349</v>
      </c>
      <c r="D57" s="1446"/>
      <c r="E57" s="1447"/>
      <c r="F57" s="1448"/>
      <c r="I57" s="1449" t="s">
        <v>844</v>
      </c>
      <c r="J57" s="1450">
        <f ca="1">IF(OR(M47="住宅",J51&lt;L48,J56="是"),"——",J51-L48)</f>
        <v>11.510000000000002</v>
      </c>
      <c r="K57" s="1415" t="s">
        <v>845</v>
      </c>
      <c r="L57" s="1418" t="str">
        <f ca="1">IF(L48&lt;J51,"——",IF(L55="比较法",L49,IF(L55="基准地价",L50,L51)))</f>
        <v>——</v>
      </c>
      <c r="O57" s="1412" t="s">
        <v>404</v>
      </c>
      <c r="P57" s="1413" t="s">
        <v>846</v>
      </c>
      <c r="Q57" s="1414">
        <f ca="1">L60</f>
        <v>0</v>
      </c>
      <c r="R57" s="1414" t="s">
        <v>847</v>
      </c>
    </row>
    <row r="58" spans="1:18" s="1378" customFormat="1" ht="24.75" thickBot="1">
      <c r="A58" s="312" t="s">
        <v>393</v>
      </c>
      <c r="B58" s="952" t="s">
        <v>714</v>
      </c>
      <c r="C58" s="313">
        <f ca="1">ROUND(C59+C64+C65+C66,0)</f>
        <v>22</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2</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2940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8">
        <f t="shared" ref="F60:F66" si="0">F32</f>
        <v>5.6000000000000001E-2</v>
      </c>
      <c r="I60" s="1452" t="s">
        <v>853</v>
      </c>
      <c r="J60" s="1453">
        <f ca="1">IF(OR(M47="住宅",J51&lt;L48,J56="是"),"0",ROUND(J59/(1+J52)^J53,0))</f>
        <v>383</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3329</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2.29</v>
      </c>
      <c r="D62" s="959" t="s">
        <v>786</v>
      </c>
      <c r="E62" s="944" t="s">
        <v>787</v>
      </c>
      <c r="F62" s="322">
        <f t="shared" si="0"/>
        <v>1.5</v>
      </c>
      <c r="I62" s="1456" t="s">
        <v>858</v>
      </c>
      <c r="J62" s="1457" t="s">
        <v>859</v>
      </c>
      <c r="K62" s="1457" t="s">
        <v>860</v>
      </c>
      <c r="L62" s="1457" t="s">
        <v>861</v>
      </c>
      <c r="M62" s="1458" t="s">
        <v>862</v>
      </c>
      <c r="O62" s="1412" t="s">
        <v>409</v>
      </c>
      <c r="P62" s="1413" t="s">
        <v>863</v>
      </c>
      <c r="Q62" s="1414">
        <f ca="1">Q56+Q57</f>
        <v>11586</v>
      </c>
      <c r="R62" s="1414" t="s">
        <v>410</v>
      </c>
    </row>
    <row r="63" spans="1:18" s="1378" customFormat="1" ht="13.5" thickBot="1">
      <c r="A63" s="323"/>
      <c r="B63" s="950"/>
      <c r="C63" s="26"/>
      <c r="D63" s="960"/>
      <c r="E63" s="944" t="s">
        <v>788</v>
      </c>
      <c r="F63" s="300">
        <f t="shared" ca="1" si="0"/>
        <v>15255.5</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14.7</v>
      </c>
      <c r="D64" s="958" t="s">
        <v>791</v>
      </c>
      <c r="E64" s="944" t="s">
        <v>783</v>
      </c>
      <c r="F64" s="325">
        <f t="shared" ca="1" si="0"/>
        <v>2E-3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5.14</v>
      </c>
      <c r="D65" s="958" t="s">
        <v>743</v>
      </c>
      <c r="E65" s="944" t="s">
        <v>744</v>
      </c>
      <c r="F65" s="327">
        <f t="shared" ca="1" si="0"/>
        <v>1E-3</v>
      </c>
      <c r="I65" s="1456" t="s">
        <v>867</v>
      </c>
      <c r="J65" s="1457">
        <v>40</v>
      </c>
      <c r="K65" s="1457">
        <v>30</v>
      </c>
      <c r="L65" s="1457">
        <v>50</v>
      </c>
      <c r="M65" s="1459">
        <v>0.02</v>
      </c>
      <c r="O65" s="1412" t="s">
        <v>403</v>
      </c>
      <c r="P65" s="1413" t="s">
        <v>868</v>
      </c>
      <c r="Q65" s="1414">
        <f ca="1">C40+J29</f>
        <v>11586</v>
      </c>
      <c r="R65" s="1414" t="s">
        <v>818</v>
      </c>
    </row>
    <row r="66" spans="1:18" s="1378" customFormat="1" ht="16.5" thickBot="1">
      <c r="A66" s="976" t="s">
        <v>793</v>
      </c>
      <c r="B66" s="944" t="s">
        <v>728</v>
      </c>
      <c r="C66" s="21">
        <f ca="1">ROUND(C48*F66,2)</f>
        <v>0</v>
      </c>
      <c r="D66" s="958" t="s">
        <v>794</v>
      </c>
      <c r="E66" s="944" t="s">
        <v>712</v>
      </c>
      <c r="F66" s="309">
        <f t="shared" ca="1" si="0"/>
        <v>0.01</v>
      </c>
      <c r="O66" s="1412" t="s">
        <v>404</v>
      </c>
      <c r="P66" s="1413" t="s">
        <v>846</v>
      </c>
      <c r="Q66" s="1414">
        <f ca="1">L60</f>
        <v>0</v>
      </c>
      <c r="R66" s="1414" t="s">
        <v>869</v>
      </c>
    </row>
    <row r="67" spans="1:18" s="1378" customFormat="1" ht="16.5" thickBot="1">
      <c r="A67" s="951" t="s">
        <v>394</v>
      </c>
      <c r="B67" s="961" t="s">
        <v>752</v>
      </c>
      <c r="C67" s="313">
        <f ca="1">C48-C58</f>
        <v>-22</v>
      </c>
      <c r="D67" s="957" t="s">
        <v>753</v>
      </c>
      <c r="E67" s="962"/>
      <c r="F67" s="963"/>
      <c r="O67" s="1422" t="s">
        <v>405</v>
      </c>
      <c r="P67" s="1413" t="s">
        <v>850</v>
      </c>
      <c r="Q67" s="1460">
        <f ca="1">L51</f>
        <v>8837</v>
      </c>
      <c r="R67" s="1414" t="s">
        <v>870</v>
      </c>
    </row>
    <row r="68" spans="1:18" s="1378" customFormat="1" ht="16.5" thickBot="1">
      <c r="A68" s="941" t="s">
        <v>395</v>
      </c>
      <c r="B68" s="942" t="s">
        <v>774</v>
      </c>
      <c r="C68" s="298">
        <f ca="1">ROUND(C67*(1-((1+F70)/(1+F68))^F69)/(F68-F70),0)</f>
        <v>-288</v>
      </c>
      <c r="D68" s="959" t="s">
        <v>758</v>
      </c>
      <c r="E68" s="944" t="s">
        <v>759</v>
      </c>
      <c r="F68" s="309">
        <f ca="1">F40</f>
        <v>0.06</v>
      </c>
      <c r="O68" s="1422" t="s">
        <v>406</v>
      </c>
      <c r="P68" s="1461" t="s">
        <v>871</v>
      </c>
      <c r="Q68" s="1414">
        <f ca="1">ROUND(Q69-Q70*Q71,0)</f>
        <v>524</v>
      </c>
      <c r="R68" s="1414" t="s">
        <v>414</v>
      </c>
    </row>
    <row r="69" spans="1:18" s="1378" customFormat="1" ht="13.5" thickBot="1">
      <c r="A69" s="945"/>
      <c r="B69" s="946"/>
      <c r="C69" s="303"/>
      <c r="D69" s="964" t="s">
        <v>762</v>
      </c>
      <c r="E69" s="944" t="s">
        <v>763</v>
      </c>
      <c r="F69" s="330">
        <f ca="1">F41</f>
        <v>26.49</v>
      </c>
      <c r="O69" s="1422" t="s">
        <v>411</v>
      </c>
      <c r="P69" s="1461" t="s">
        <v>872</v>
      </c>
      <c r="Q69" s="1414">
        <f ca="1">C39</f>
        <v>884</v>
      </c>
      <c r="R69" s="1414" t="s">
        <v>818</v>
      </c>
    </row>
    <row r="70" spans="1:18" s="1378" customFormat="1" ht="13.5" thickBot="1">
      <c r="A70" s="948"/>
      <c r="B70" s="949"/>
      <c r="C70" s="307"/>
      <c r="D70" s="960"/>
      <c r="E70" s="944" t="s">
        <v>766</v>
      </c>
      <c r="F70" s="1048"/>
      <c r="O70" s="1422" t="s">
        <v>412</v>
      </c>
      <c r="P70" s="1461" t="s">
        <v>873</v>
      </c>
      <c r="Q70" s="1414">
        <f ca="1">C13</f>
        <v>5144</v>
      </c>
      <c r="R70" s="1414" t="s">
        <v>818</v>
      </c>
    </row>
    <row r="71" spans="1:18" s="1378" customFormat="1" ht="13.5" thickBot="1">
      <c r="A71" s="965" t="s">
        <v>396</v>
      </c>
      <c r="B71" s="966" t="s">
        <v>776</v>
      </c>
      <c r="C71" s="333">
        <f ca="1">ROUND(C68*10000/F71,0)</f>
        <v>-162</v>
      </c>
      <c r="D71" s="967" t="s">
        <v>777</v>
      </c>
      <c r="E71" s="968" t="s">
        <v>778</v>
      </c>
      <c r="F71" s="336">
        <f ca="1">F43</f>
        <v>17747.629999999997</v>
      </c>
      <c r="O71" s="1422" t="s">
        <v>413</v>
      </c>
      <c r="P71" s="1461" t="s">
        <v>874</v>
      </c>
      <c r="Q71" s="1425">
        <f ca="1">C76</f>
        <v>7.0000000000000007E-2</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360</v>
      </c>
      <c r="D75" s="1378"/>
      <c r="E75" s="1378"/>
      <c r="F75" s="1378"/>
      <c r="K75" s="1396"/>
      <c r="L75" s="1378"/>
      <c r="O75" s="1412" t="s">
        <v>409</v>
      </c>
      <c r="P75" s="1413" t="s">
        <v>838</v>
      </c>
      <c r="Q75" s="1414">
        <f ca="1">Q65+Q66</f>
        <v>11586</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0.59299999999999997</v>
      </c>
    </row>
    <row r="80" spans="1:18">
      <c r="B80" s="337" t="s">
        <v>800</v>
      </c>
      <c r="C80" s="271">
        <f ca="1">ROUND(C75/C39,3)</f>
        <v>0.40699999999999997</v>
      </c>
    </row>
    <row r="81" spans="2:3">
      <c r="B81" s="267" t="s">
        <v>801</v>
      </c>
      <c r="C81" s="235"/>
    </row>
    <row r="82" spans="2:3">
      <c r="B82" s="270" t="s">
        <v>802</v>
      </c>
      <c r="C82" s="272">
        <f ca="1">1-C83</f>
        <v>0.55600000000000005</v>
      </c>
    </row>
    <row r="83" spans="2:3">
      <c r="B83" s="270" t="s">
        <v>803</v>
      </c>
      <c r="C83" s="271">
        <f ca="1">ROUND(C13/C40,3)</f>
        <v>0.44400000000000001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4" priority="3">
      <formula>$F$10="自定义"</formula>
    </cfRule>
  </conditionalFormatting>
  <conditionalFormatting sqref="C54">
    <cfRule type="expression" dxfId="63" priority="1">
      <formula>$F$53="自定义"</formula>
    </cfRule>
  </conditionalFormatting>
  <conditionalFormatting sqref="I55 I60">
    <cfRule type="expression" dxfId="62" priority="57">
      <formula>$J$51&gt;$L$48</formula>
    </cfRule>
  </conditionalFormatting>
  <conditionalFormatting sqref="J11">
    <cfRule type="expression" dxfId="61" priority="2">
      <formula>$M$10="自定义"</formula>
    </cfRule>
  </conditionalFormatting>
  <conditionalFormatting sqref="K55 K60">
    <cfRule type="expression" dxfId="6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92D050"/>
    <pageSetUpPr fitToPage="1"/>
  </sheetPr>
  <dimension ref="A1:AC113"/>
  <sheetViews>
    <sheetView view="pageBreakPreview" topLeftCell="A10" zoomScale="85" zoomScaleNormal="60" zoomScaleSheetLayoutView="85" workbookViewId="0">
      <selection activeCell="M42" sqref="M42"/>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1" t="s">
        <v>1826</v>
      </c>
      <c r="C1" s="1218" t="s">
        <v>1662</v>
      </c>
      <c r="D1" s="1219" t="s">
        <v>3453</v>
      </c>
      <c r="E1" s="3427" t="s">
        <v>3412</v>
      </c>
      <c r="F1" s="1873" t="s">
        <v>3413</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f>IF(E1="项目模式",IF(C2="——",ROUND(C43*D3/10000,0),ROUND(C43*D3/10000,0)-D2),IF(E1="单套模式",IF(C2="——",ROUND(C43*D3/10000,4),ROUND(C43*D3/10000,4)-D2)))</f>
        <v>0</v>
      </c>
      <c r="C2" s="1875" t="s">
        <v>43</v>
      </c>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6"/>
      <c r="Q2" s="696"/>
      <c r="R2" s="696"/>
      <c r="S2" s="696"/>
      <c r="T2" s="696"/>
      <c r="U2" s="696"/>
      <c r="V2" s="696"/>
      <c r="W2" s="696"/>
      <c r="X2" s="696"/>
      <c r="Y2" s="696"/>
      <c r="Z2" s="696"/>
      <c r="AA2" s="696"/>
      <c r="AB2" s="696"/>
      <c r="AC2" s="710"/>
    </row>
    <row r="3" spans="1:29" s="349" customFormat="1" ht="28.5" customHeight="1" thickBot="1">
      <c r="A3" s="200" t="s">
        <v>1464</v>
      </c>
      <c r="B3" s="555">
        <f>IF(C2="——",C43,ROUND(B2*10000/D3,0))</f>
        <v>2.8</v>
      </c>
      <c r="C3" s="351" t="s">
        <v>1768</v>
      </c>
      <c r="D3" s="350">
        <f>IF(D1="",'数据-汇总表'!E3,SUMIF('数据-汇总表'!$C19:$C33,D1,'数据-汇总表'!$E19:$E33))</f>
        <v>0</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2" t="s">
        <v>1769</v>
      </c>
      <c r="B4" s="353"/>
      <c r="C4" s="3728" t="s">
        <v>1770</v>
      </c>
      <c r="D4" s="3729"/>
      <c r="E4" s="3730" t="s">
        <v>1771</v>
      </c>
      <c r="F4" s="3731"/>
      <c r="G4" s="3728" t="s">
        <v>1772</v>
      </c>
      <c r="H4" s="3729"/>
      <c r="I4" s="3728" t="s">
        <v>1773</v>
      </c>
      <c r="J4" s="3729"/>
      <c r="K4" s="556" t="s">
        <v>1774</v>
      </c>
      <c r="L4" s="907"/>
      <c r="M4" s="908"/>
      <c r="N4" s="908"/>
      <c r="O4" s="908"/>
      <c r="P4" s="3732" t="s">
        <v>1775</v>
      </c>
      <c r="Q4" s="3733"/>
      <c r="R4" s="3715" t="s">
        <v>1771</v>
      </c>
      <c r="S4" s="3716"/>
      <c r="T4" s="3715" t="s">
        <v>1772</v>
      </c>
      <c r="U4" s="3716"/>
      <c r="V4" s="3740" t="s">
        <v>1773</v>
      </c>
      <c r="W4" s="3740"/>
      <c r="X4" s="1349"/>
      <c r="Y4" s="3715" t="s">
        <v>1775</v>
      </c>
      <c r="Z4" s="3716"/>
      <c r="AA4" s="3710" t="s">
        <v>1771</v>
      </c>
      <c r="AB4" s="3711" t="s">
        <v>1772</v>
      </c>
      <c r="AC4" s="3710" t="s">
        <v>1773</v>
      </c>
    </row>
    <row r="5" spans="1:29" ht="15">
      <c r="A5" s="355"/>
      <c r="B5" s="356"/>
      <c r="C5" s="3721" t="s">
        <v>1673</v>
      </c>
      <c r="D5" s="3722"/>
      <c r="E5" s="3824" t="s">
        <v>3455</v>
      </c>
      <c r="F5" s="3720"/>
      <c r="G5" s="3825" t="s">
        <v>3438</v>
      </c>
      <c r="H5" s="3722"/>
      <c r="I5" s="3825" t="s">
        <v>3439</v>
      </c>
      <c r="J5" s="3722"/>
      <c r="K5" s="556"/>
      <c r="L5" s="907"/>
      <c r="M5" s="908"/>
      <c r="N5" s="908"/>
      <c r="O5" s="908"/>
      <c r="P5" s="3734"/>
      <c r="Q5" s="3735"/>
      <c r="R5" s="3717"/>
      <c r="S5" s="3718"/>
      <c r="T5" s="3717"/>
      <c r="U5" s="3718"/>
      <c r="V5" s="3740"/>
      <c r="W5" s="3740"/>
      <c r="X5" s="1349"/>
      <c r="Y5" s="3717"/>
      <c r="Z5" s="3718"/>
      <c r="AA5" s="3711"/>
      <c r="AB5" s="3711"/>
      <c r="AC5" s="3711"/>
    </row>
    <row r="6" spans="1:29" ht="15.75" thickBot="1">
      <c r="A6" s="357"/>
      <c r="B6" s="358"/>
      <c r="C6" s="3723" t="s">
        <v>1677</v>
      </c>
      <c r="D6" s="3724"/>
      <c r="E6" s="3725" t="s">
        <v>1677</v>
      </c>
      <c r="F6" s="3726"/>
      <c r="G6" s="3723" t="s">
        <v>1677</v>
      </c>
      <c r="H6" s="3724"/>
      <c r="I6" s="3723" t="s">
        <v>1677</v>
      </c>
      <c r="J6" s="3724"/>
      <c r="K6" s="556" t="s">
        <v>1678</v>
      </c>
      <c r="L6" s="907"/>
      <c r="M6" s="908"/>
      <c r="N6" s="908"/>
      <c r="O6" s="908"/>
      <c r="P6" s="3736"/>
      <c r="Q6" s="3737"/>
      <c r="R6" s="3717"/>
      <c r="S6" s="3718"/>
      <c r="T6" s="3738"/>
      <c r="U6" s="3739"/>
      <c r="V6" s="3740"/>
      <c r="W6" s="3740"/>
      <c r="X6" s="1349"/>
      <c r="Y6" s="3738"/>
      <c r="Z6" s="3739"/>
      <c r="AA6" s="3712"/>
      <c r="AB6" s="3712"/>
      <c r="AC6" s="3712"/>
    </row>
    <row r="7" spans="1:29" s="105" customFormat="1" ht="15.75" thickBot="1">
      <c r="A7" s="359" t="s">
        <v>1679</v>
      </c>
      <c r="B7" s="360"/>
      <c r="C7" s="361">
        <f>'数据-取费表'!B2</f>
        <v>45539</v>
      </c>
      <c r="D7" s="362">
        <v>100</v>
      </c>
      <c r="E7" s="363">
        <f>C7</f>
        <v>45539</v>
      </c>
      <c r="F7" s="364">
        <f>SUMIF(52:52,YEAR(E7)&amp;"-"&amp;MONTH(E7),53:53)</f>
        <v>100</v>
      </c>
      <c r="G7" s="363">
        <f>C7</f>
        <v>45539</v>
      </c>
      <c r="H7" s="362">
        <f>SUMIF(52:52,YEAR(G7)&amp;"-"&amp;MONTH(G7),53:53)</f>
        <v>100</v>
      </c>
      <c r="I7" s="363">
        <f>C7</f>
        <v>45539</v>
      </c>
      <c r="J7" s="362">
        <f>SUMIF(52:52,YEAR(I7)&amp;"-"&amp;MONTH(I7),53:53)</f>
        <v>100</v>
      </c>
      <c r="K7" s="557"/>
      <c r="L7" s="909"/>
      <c r="M7" s="910"/>
      <c r="N7" s="910"/>
      <c r="O7" s="910"/>
      <c r="P7" s="3713" t="s">
        <v>1680</v>
      </c>
      <c r="Q7" s="3741"/>
      <c r="R7" s="698" t="s">
        <v>14</v>
      </c>
      <c r="S7" s="699">
        <f t="shared" ref="S7:S15" si="0">F7</f>
        <v>100</v>
      </c>
      <c r="T7" s="698" t="s">
        <v>14</v>
      </c>
      <c r="U7" s="699">
        <f t="shared" ref="U7:U15" si="1">H7</f>
        <v>100</v>
      </c>
      <c r="V7" s="698" t="s">
        <v>14</v>
      </c>
      <c r="W7" s="699">
        <f t="shared" ref="W7:W15" si="2">J7</f>
        <v>100</v>
      </c>
      <c r="X7" s="700"/>
      <c r="Y7" s="3713" t="s">
        <v>1680</v>
      </c>
      <c r="Z7" s="3714"/>
      <c r="AA7" s="701">
        <f>D7/F7</f>
        <v>1</v>
      </c>
      <c r="AB7" s="701">
        <f>D7/H7</f>
        <v>1</v>
      </c>
      <c r="AC7" s="701">
        <f>D7/J7</f>
        <v>1</v>
      </c>
    </row>
    <row r="8" spans="1:29" s="105" customFormat="1" ht="15.75" thickBot="1">
      <c r="A8" s="359" t="s">
        <v>1681</v>
      </c>
      <c r="B8" s="360"/>
      <c r="C8" s="365" t="s">
        <v>3440</v>
      </c>
      <c r="D8" s="362">
        <v>100</v>
      </c>
      <c r="E8" s="365" t="s">
        <v>3441</v>
      </c>
      <c r="F8" s="364">
        <f>SUMIF(55:55,E8,56:56)-SUMIF(55:55,C8,56:56)+100</f>
        <v>105</v>
      </c>
      <c r="G8" s="365" t="s">
        <v>3441</v>
      </c>
      <c r="H8" s="362">
        <f>SUMIF(55:55,G8,56:56)-SUMIF(55:55,C8,56:56)+100</f>
        <v>105</v>
      </c>
      <c r="I8" s="365" t="s">
        <v>3441</v>
      </c>
      <c r="J8" s="362">
        <f>SUMIF(55:55,I8,56:56)-SUMIF(55:55,C8,56:56)+100</f>
        <v>105</v>
      </c>
      <c r="K8" s="557"/>
      <c r="L8" s="909"/>
      <c r="M8" s="910"/>
      <c r="N8" s="910"/>
      <c r="O8" s="910"/>
      <c r="P8" s="3713" t="s">
        <v>1683</v>
      </c>
      <c r="Q8" s="3714"/>
      <c r="R8" s="698" t="s">
        <v>14</v>
      </c>
      <c r="S8" s="699">
        <f t="shared" si="0"/>
        <v>105</v>
      </c>
      <c r="T8" s="698" t="s">
        <v>14</v>
      </c>
      <c r="U8" s="699">
        <f t="shared" si="1"/>
        <v>105</v>
      </c>
      <c r="V8" s="698" t="s">
        <v>14</v>
      </c>
      <c r="W8" s="699">
        <f t="shared" si="2"/>
        <v>105</v>
      </c>
      <c r="X8" s="700"/>
      <c r="Y8" s="3713" t="s">
        <v>1683</v>
      </c>
      <c r="Z8" s="3714"/>
      <c r="AA8" s="701">
        <f t="shared" ref="AA8:AA40" si="3">D8/F8</f>
        <v>0.95238095238095233</v>
      </c>
      <c r="AB8" s="701">
        <f t="shared" ref="AB8:AB40" si="4">D8/H8</f>
        <v>0.95238095238095233</v>
      </c>
      <c r="AC8" s="701">
        <f t="shared" ref="AC8:AC40" si="5">D8/J8</f>
        <v>0.95238095238095233</v>
      </c>
    </row>
    <row r="9" spans="1:29" s="105" customFormat="1">
      <c r="A9" s="366" t="s">
        <v>1684</v>
      </c>
      <c r="B9" s="63" t="s">
        <v>1685</v>
      </c>
      <c r="C9" s="3483" t="s">
        <v>3443</v>
      </c>
      <c r="D9" s="123">
        <v>100</v>
      </c>
      <c r="E9" s="370" t="s">
        <v>3442</v>
      </c>
      <c r="F9" s="123">
        <f>SUMIF(57:57,E9,58:58)-SUMIF(57:57,C9,58:58)+100</f>
        <v>100</v>
      </c>
      <c r="G9" s="368" t="s">
        <v>3442</v>
      </c>
      <c r="H9" s="123">
        <f>SUMIF(57:57,G9,58:58)-SUMIF(57:57,C9,58:58)+100</f>
        <v>100</v>
      </c>
      <c r="I9" s="368" t="s">
        <v>3442</v>
      </c>
      <c r="J9" s="123">
        <f>SUMIF(57:57,I9,58:58)-SUMIF(57:57,C9,58:58)+100</f>
        <v>100</v>
      </c>
      <c r="K9" s="557"/>
      <c r="L9" s="909"/>
      <c r="M9" s="910"/>
      <c r="N9" s="910"/>
      <c r="O9" s="911"/>
      <c r="P9" s="3745" t="s">
        <v>1686</v>
      </c>
      <c r="Q9" s="1337" t="str">
        <f t="shared" ref="Q9:Q15" si="6">B9</f>
        <v>用途</v>
      </c>
      <c r="R9" s="698" t="s">
        <v>14</v>
      </c>
      <c r="S9" s="699">
        <f t="shared" si="0"/>
        <v>100</v>
      </c>
      <c r="T9" s="698" t="s">
        <v>14</v>
      </c>
      <c r="U9" s="699">
        <f t="shared" si="1"/>
        <v>100</v>
      </c>
      <c r="V9" s="698" t="s">
        <v>14</v>
      </c>
      <c r="W9" s="699">
        <f t="shared" si="2"/>
        <v>100</v>
      </c>
      <c r="X9" s="700"/>
      <c r="Y9" s="3659" t="s">
        <v>1687</v>
      </c>
      <c r="Z9" s="52" t="str">
        <f t="shared" ref="Z9:Z15" si="7">Q9</f>
        <v>用途</v>
      </c>
      <c r="AA9" s="701">
        <f t="shared" si="3"/>
        <v>1</v>
      </c>
      <c r="AB9" s="701">
        <f t="shared" si="4"/>
        <v>1</v>
      </c>
      <c r="AC9" s="701">
        <f t="shared" si="5"/>
        <v>1</v>
      </c>
    </row>
    <row r="10" spans="1:29" s="375" customFormat="1" ht="27">
      <c r="A10" s="371"/>
      <c r="B10" s="372" t="s">
        <v>1688</v>
      </c>
      <c r="C10" s="3428"/>
      <c r="D10" s="124">
        <v>100</v>
      </c>
      <c r="E10" s="3428"/>
      <c r="F10" s="124">
        <f>SUMIF(59:59,E10,60:60)-SUMIF(59:59,C10,60:60)+100</f>
        <v>100</v>
      </c>
      <c r="G10" s="3429"/>
      <c r="H10" s="124">
        <f>SUMIF(59:59,G10,60:60)-SUMIF(59:59,C10,60:60)+100</f>
        <v>100</v>
      </c>
      <c r="I10" s="3428"/>
      <c r="J10" s="124">
        <f>SUMIF(59:59,I10,60:60)-SUMIF(59:59,C10,60:60)+100</f>
        <v>100</v>
      </c>
      <c r="K10" s="557"/>
      <c r="L10" s="912"/>
      <c r="M10" s="913"/>
      <c r="N10" s="913"/>
      <c r="O10" s="914"/>
      <c r="P10" s="3745"/>
      <c r="Q10" s="1337" t="str">
        <f t="shared" si="6"/>
        <v>土地使用年限（年）</v>
      </c>
      <c r="R10" s="698" t="s">
        <v>14</v>
      </c>
      <c r="S10" s="699">
        <f t="shared" si="0"/>
        <v>100</v>
      </c>
      <c r="T10" s="698" t="s">
        <v>14</v>
      </c>
      <c r="U10" s="699">
        <f t="shared" si="1"/>
        <v>100</v>
      </c>
      <c r="V10" s="698" t="s">
        <v>14</v>
      </c>
      <c r="W10" s="699">
        <f t="shared" si="2"/>
        <v>100</v>
      </c>
      <c r="X10" s="700"/>
      <c r="Y10" s="3659"/>
      <c r="Z10" s="52" t="str">
        <f t="shared" si="7"/>
        <v>土地使用年限（年）</v>
      </c>
      <c r="AA10" s="701">
        <f t="shared" si="3"/>
        <v>1</v>
      </c>
      <c r="AB10" s="701">
        <f t="shared" si="4"/>
        <v>1</v>
      </c>
      <c r="AC10" s="701">
        <f t="shared" si="5"/>
        <v>1</v>
      </c>
    </row>
    <row r="11" spans="1:29" ht="15.75" thickBot="1">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v>2</v>
      </c>
      <c r="L11" s="915"/>
      <c r="M11" s="908"/>
      <c r="N11" s="908"/>
      <c r="O11" s="916"/>
      <c r="P11" s="3745"/>
      <c r="Q11" s="1337" t="str">
        <f t="shared" si="6"/>
        <v>容积率</v>
      </c>
      <c r="R11" s="698" t="s">
        <v>14</v>
      </c>
      <c r="S11" s="699">
        <f t="shared" si="0"/>
        <v>100</v>
      </c>
      <c r="T11" s="698" t="s">
        <v>14</v>
      </c>
      <c r="U11" s="699">
        <f t="shared" si="1"/>
        <v>100</v>
      </c>
      <c r="V11" s="698" t="s">
        <v>14</v>
      </c>
      <c r="W11" s="699">
        <f t="shared" si="2"/>
        <v>100</v>
      </c>
      <c r="X11" s="700"/>
      <c r="Y11" s="3659"/>
      <c r="Z11" s="52" t="str">
        <f t="shared" si="7"/>
        <v>容积率</v>
      </c>
      <c r="AA11" s="701">
        <f t="shared" si="3"/>
        <v>1</v>
      </c>
      <c r="AB11" s="701">
        <f t="shared" si="4"/>
        <v>1</v>
      </c>
      <c r="AC11" s="701">
        <f t="shared" si="5"/>
        <v>1</v>
      </c>
    </row>
    <row r="12" spans="1:29" s="105" customFormat="1" ht="15" hidden="1">
      <c r="A12" s="379"/>
      <c r="B12" s="1887">
        <v>111</v>
      </c>
      <c r="C12" s="380"/>
      <c r="D12" s="381">
        <v>100</v>
      </c>
      <c r="E12" s="382"/>
      <c r="F12" s="124">
        <f>SUMIF(64:64,E12,65:65)-SUMIF(64:64,C12,65:65)+100</f>
        <v>100</v>
      </c>
      <c r="G12" s="1964"/>
      <c r="H12" s="124">
        <f>SUMIF(64:64,G12,65:65)-SUMIF(64:64,C12,65:65)+100</f>
        <v>100</v>
      </c>
      <c r="I12" s="417"/>
      <c r="J12" s="124">
        <f>SUMIF(64:64,I12,65:65)-SUMIF(64:64,C12,65:65)+100</f>
        <v>100</v>
      </c>
      <c r="K12" s="559"/>
      <c r="L12" s="909"/>
      <c r="M12" s="910"/>
      <c r="N12" s="910"/>
      <c r="O12" s="911"/>
      <c r="P12" s="3745"/>
      <c r="Q12" s="1337">
        <f t="shared" si="6"/>
        <v>111</v>
      </c>
      <c r="R12" s="698" t="s">
        <v>14</v>
      </c>
      <c r="S12" s="699">
        <f t="shared" si="0"/>
        <v>100</v>
      </c>
      <c r="T12" s="698" t="s">
        <v>14</v>
      </c>
      <c r="U12" s="699">
        <f t="shared" si="1"/>
        <v>100</v>
      </c>
      <c r="V12" s="698" t="s">
        <v>14</v>
      </c>
      <c r="W12" s="699">
        <f t="shared" si="2"/>
        <v>100</v>
      </c>
      <c r="X12" s="700"/>
      <c r="Y12" s="3659"/>
      <c r="Z12" s="52">
        <f t="shared" si="7"/>
        <v>111</v>
      </c>
      <c r="AA12" s="701">
        <f>D12/F12</f>
        <v>1</v>
      </c>
      <c r="AB12" s="701">
        <f>D12/H12</f>
        <v>1</v>
      </c>
      <c r="AC12" s="701">
        <f>D12/J12</f>
        <v>1</v>
      </c>
    </row>
    <row r="13" spans="1:29" ht="15" hidden="1">
      <c r="A13" s="376"/>
      <c r="B13" s="1887">
        <v>111</v>
      </c>
      <c r="C13" s="382"/>
      <c r="D13" s="383">
        <v>100</v>
      </c>
      <c r="E13" s="382"/>
      <c r="F13" s="124">
        <f>SUMIF(66:66,E13,67:67)-SUMIF(66:66,C13,67:67)+100</f>
        <v>100</v>
      </c>
      <c r="G13" s="1964"/>
      <c r="H13" s="383">
        <f>SUMIF(66:66,G13,67:67)-SUMIF(66:66,C13,67:67)+100</f>
        <v>100</v>
      </c>
      <c r="I13" s="417"/>
      <c r="J13" s="383">
        <f>SUMIF(66:66,I13,67:67)-SUMIF(66:66,C13,67:67)+100</f>
        <v>100</v>
      </c>
      <c r="K13" s="559"/>
      <c r="L13" s="917"/>
      <c r="M13" s="908"/>
      <c r="N13" s="908"/>
      <c r="O13" s="916"/>
      <c r="P13" s="3745"/>
      <c r="Q13" s="1337">
        <f t="shared" si="6"/>
        <v>111</v>
      </c>
      <c r="R13" s="698" t="s">
        <v>14</v>
      </c>
      <c r="S13" s="699">
        <f t="shared" si="0"/>
        <v>100</v>
      </c>
      <c r="T13" s="698" t="s">
        <v>14</v>
      </c>
      <c r="U13" s="699">
        <f t="shared" si="1"/>
        <v>100</v>
      </c>
      <c r="V13" s="698" t="s">
        <v>14</v>
      </c>
      <c r="W13" s="699">
        <f t="shared" si="2"/>
        <v>100</v>
      </c>
      <c r="X13" s="700"/>
      <c r="Y13" s="3659"/>
      <c r="Z13" s="52">
        <f t="shared" si="7"/>
        <v>111</v>
      </c>
      <c r="AA13" s="701">
        <f t="shared" si="3"/>
        <v>1</v>
      </c>
      <c r="AB13" s="701">
        <f t="shared" si="4"/>
        <v>1</v>
      </c>
      <c r="AC13" s="701">
        <f t="shared" si="5"/>
        <v>1</v>
      </c>
    </row>
    <row r="14" spans="1:29" ht="15.75" hidden="1" thickBot="1">
      <c r="A14" s="384"/>
      <c r="B14" s="1889">
        <v>111</v>
      </c>
      <c r="C14" s="385"/>
      <c r="D14" s="386">
        <v>100</v>
      </c>
      <c r="E14" s="385"/>
      <c r="F14" s="386">
        <f>SUMIF(68:68,E14,69:69)-SUMIF(68:68,C14,69:69)+100</f>
        <v>100</v>
      </c>
      <c r="G14" s="1964"/>
      <c r="H14" s="386">
        <f>SUMIF(68:68,G14,69:69)-SUMIF(68:68,C14,69:69)+100</f>
        <v>100</v>
      </c>
      <c r="I14" s="417"/>
      <c r="J14" s="386">
        <f>SUMIF(68:68,I14,69:69)-SUMIF(68:68,C14,69:69)+100</f>
        <v>100</v>
      </c>
      <c r="K14" s="559"/>
      <c r="L14" s="917"/>
      <c r="M14" s="908"/>
      <c r="N14" s="908"/>
      <c r="O14" s="916"/>
      <c r="P14" s="3745"/>
      <c r="Q14" s="1337">
        <f t="shared" si="6"/>
        <v>111</v>
      </c>
      <c r="R14" s="698" t="s">
        <v>14</v>
      </c>
      <c r="S14" s="699">
        <f t="shared" si="0"/>
        <v>100</v>
      </c>
      <c r="T14" s="698" t="s">
        <v>14</v>
      </c>
      <c r="U14" s="699">
        <f t="shared" si="1"/>
        <v>100</v>
      </c>
      <c r="V14" s="698" t="s">
        <v>14</v>
      </c>
      <c r="W14" s="699">
        <f t="shared" si="2"/>
        <v>100</v>
      </c>
      <c r="X14" s="700"/>
      <c r="Y14" s="3659"/>
      <c r="Z14" s="52">
        <f t="shared" si="7"/>
        <v>111</v>
      </c>
      <c r="AA14" s="701">
        <f t="shared" si="3"/>
        <v>1</v>
      </c>
      <c r="AB14" s="701">
        <f t="shared" si="4"/>
        <v>1</v>
      </c>
      <c r="AC14" s="701">
        <f t="shared" si="5"/>
        <v>1</v>
      </c>
    </row>
    <row r="15" spans="1:29" ht="15">
      <c r="A15" s="388" t="s">
        <v>1690</v>
      </c>
      <c r="B15" s="61" t="s">
        <v>1827</v>
      </c>
      <c r="C15" s="1965">
        <f>估价对象房地状况!G3</f>
        <v>0</v>
      </c>
      <c r="D15" s="389">
        <v>100</v>
      </c>
      <c r="E15" s="390"/>
      <c r="F15" s="391">
        <f>SUMIF(70:70,E16,71:71)-SUMIF(70:70,C16,71:71)+100</f>
        <v>100</v>
      </c>
      <c r="G15" s="392"/>
      <c r="H15" s="389">
        <f>SUMIF(70:70,G16,71:71)-SUMIF(70:70,C16,71:71)+100</f>
        <v>100</v>
      </c>
      <c r="I15" s="390"/>
      <c r="J15" s="389">
        <f>SUMIF(70:70,I16,71:71)-SUMIF(70:70,C16,71:71)+100</f>
        <v>100</v>
      </c>
      <c r="K15" s="560">
        <v>2</v>
      </c>
      <c r="L15" s="917"/>
      <c r="M15" s="908"/>
      <c r="N15" s="908"/>
      <c r="O15" s="916"/>
      <c r="P15" s="3747" t="s">
        <v>1691</v>
      </c>
      <c r="Q15" s="1346" t="str">
        <f t="shared" si="6"/>
        <v>产业集聚程度</v>
      </c>
      <c r="R15" s="702" t="s">
        <v>14</v>
      </c>
      <c r="S15" s="703">
        <f t="shared" si="0"/>
        <v>100</v>
      </c>
      <c r="T15" s="702" t="s">
        <v>14</v>
      </c>
      <c r="U15" s="703">
        <f t="shared" si="1"/>
        <v>100</v>
      </c>
      <c r="V15" s="702" t="s">
        <v>14</v>
      </c>
      <c r="W15" s="703">
        <f t="shared" si="2"/>
        <v>100</v>
      </c>
      <c r="X15" s="1349"/>
      <c r="Y15" s="3747" t="s">
        <v>1691</v>
      </c>
      <c r="Z15" s="1350" t="str">
        <f t="shared" si="7"/>
        <v>产业集聚程度</v>
      </c>
      <c r="AA15" s="1347">
        <f t="shared" si="3"/>
        <v>1</v>
      </c>
      <c r="AB15" s="1347">
        <f t="shared" si="4"/>
        <v>1</v>
      </c>
      <c r="AC15" s="1347">
        <f t="shared" si="5"/>
        <v>1</v>
      </c>
    </row>
    <row r="16" spans="1:29" ht="15">
      <c r="A16" s="376"/>
      <c r="B16" s="394"/>
      <c r="C16" s="395" t="s">
        <v>3400</v>
      </c>
      <c r="D16" s="396"/>
      <c r="E16" s="395" t="s">
        <v>3400</v>
      </c>
      <c r="F16" s="397"/>
      <c r="G16" s="395" t="s">
        <v>3400</v>
      </c>
      <c r="H16" s="398"/>
      <c r="I16" s="395" t="s">
        <v>3400</v>
      </c>
      <c r="J16" s="396"/>
      <c r="K16" s="561"/>
      <c r="L16" s="917"/>
      <c r="M16" s="908"/>
      <c r="N16" s="908"/>
      <c r="O16" s="916"/>
      <c r="P16" s="3748"/>
      <c r="Q16" s="1346"/>
      <c r="R16" s="702"/>
      <c r="S16" s="703"/>
      <c r="T16" s="702"/>
      <c r="U16" s="703"/>
      <c r="V16" s="702"/>
      <c r="W16" s="703"/>
      <c r="X16" s="1349"/>
      <c r="Y16" s="3748"/>
      <c r="Z16" s="1350"/>
      <c r="AA16" s="1347">
        <v>1</v>
      </c>
      <c r="AB16" s="1347">
        <v>1</v>
      </c>
      <c r="AC16" s="1347">
        <v>1</v>
      </c>
    </row>
    <row r="17" spans="1:29" ht="15">
      <c r="A17" s="376"/>
      <c r="B17" s="399" t="s">
        <v>1259</v>
      </c>
      <c r="C17" s="1894">
        <f>估价对象房地状况!G4</f>
        <v>0</v>
      </c>
      <c r="D17" s="398">
        <v>100</v>
      </c>
      <c r="E17" s="400"/>
      <c r="F17" s="401">
        <f>SUMIF(72:72,E18,73:73)-SUMIF(72:72,C18,73:73)+100</f>
        <v>100</v>
      </c>
      <c r="G17" s="402"/>
      <c r="H17" s="403">
        <f>SUMIF(72:72,G18,73:73)-SUMIF(72:72,C18,73:73)+100</f>
        <v>100</v>
      </c>
      <c r="I17" s="400"/>
      <c r="J17" s="403">
        <f>SUMIF(72:72,I18,73:73)-SUMIF(72:72,C18,73:73)+100</f>
        <v>100</v>
      </c>
      <c r="K17" s="560">
        <v>2</v>
      </c>
      <c r="L17" s="917"/>
      <c r="M17" s="908"/>
      <c r="N17" s="908"/>
      <c r="O17" s="916"/>
      <c r="P17" s="3748"/>
      <c r="Q17" s="1346" t="str">
        <f>B17</f>
        <v>交通便捷度</v>
      </c>
      <c r="R17" s="702" t="s">
        <v>14</v>
      </c>
      <c r="S17" s="703">
        <f>F17</f>
        <v>100</v>
      </c>
      <c r="T17" s="702" t="s">
        <v>14</v>
      </c>
      <c r="U17" s="703">
        <f>H17</f>
        <v>100</v>
      </c>
      <c r="V17" s="702" t="s">
        <v>14</v>
      </c>
      <c r="W17" s="703">
        <f>J17</f>
        <v>100</v>
      </c>
      <c r="X17" s="1349"/>
      <c r="Y17" s="3748"/>
      <c r="Z17" s="1350" t="str">
        <f>Q17</f>
        <v>交通便捷度</v>
      </c>
      <c r="AA17" s="1347">
        <f t="shared" si="3"/>
        <v>1</v>
      </c>
      <c r="AB17" s="1347">
        <f t="shared" si="4"/>
        <v>1</v>
      </c>
      <c r="AC17" s="1347">
        <f t="shared" si="5"/>
        <v>1</v>
      </c>
    </row>
    <row r="18" spans="1:29" ht="15">
      <c r="A18" s="376"/>
      <c r="B18" s="404"/>
      <c r="C18" s="395" t="s">
        <v>3400</v>
      </c>
      <c r="D18" s="398"/>
      <c r="E18" s="395" t="s">
        <v>3400</v>
      </c>
      <c r="F18" s="401"/>
      <c r="G18" s="395" t="s">
        <v>3400</v>
      </c>
      <c r="H18" s="396"/>
      <c r="I18" s="395" t="s">
        <v>3400</v>
      </c>
      <c r="J18" s="396"/>
      <c r="K18" s="561"/>
      <c r="L18" s="917"/>
      <c r="M18" s="908"/>
      <c r="N18" s="908"/>
      <c r="O18" s="916"/>
      <c r="P18" s="3748"/>
      <c r="Q18" s="1346"/>
      <c r="R18" s="702"/>
      <c r="S18" s="703"/>
      <c r="T18" s="702"/>
      <c r="U18" s="703"/>
      <c r="V18" s="702"/>
      <c r="W18" s="703"/>
      <c r="X18" s="1349"/>
      <c r="Y18" s="3748"/>
      <c r="Z18" s="1350"/>
      <c r="AA18" s="1347">
        <v>1</v>
      </c>
      <c r="AB18" s="1347">
        <v>1</v>
      </c>
      <c r="AC18" s="1347">
        <v>1</v>
      </c>
    </row>
    <row r="19" spans="1:29" ht="15">
      <c r="A19" s="376"/>
      <c r="B19" s="399" t="s">
        <v>1812</v>
      </c>
      <c r="C19" s="1894">
        <f>估价对象房地状况!G5</f>
        <v>0</v>
      </c>
      <c r="D19" s="403">
        <v>100</v>
      </c>
      <c r="E19" s="405"/>
      <c r="F19" s="406">
        <f>SUMIF(74:74,E20,75:75)-SUMIF(74:74,C20,75:75)+100</f>
        <v>100</v>
      </c>
      <c r="G19" s="407"/>
      <c r="H19" s="398">
        <f>SUMIF(74:74,G20,75:75)-SUMIF(74:74,C20,75:75)+100</f>
        <v>100</v>
      </c>
      <c r="I19" s="405"/>
      <c r="J19" s="398">
        <f>SUMIF(74:74,I20,75:75)-SUMIF(74:74,C20,75:75)+100</f>
        <v>100</v>
      </c>
      <c r="K19" s="560">
        <v>2</v>
      </c>
      <c r="L19" s="917"/>
      <c r="M19" s="908"/>
      <c r="N19" s="908"/>
      <c r="O19" s="916"/>
      <c r="P19" s="3748"/>
      <c r="Q19" s="1346" t="str">
        <f>B19</f>
        <v>公共配套设施</v>
      </c>
      <c r="R19" s="702" t="s">
        <v>14</v>
      </c>
      <c r="S19" s="703">
        <f>F19</f>
        <v>100</v>
      </c>
      <c r="T19" s="702" t="s">
        <v>14</v>
      </c>
      <c r="U19" s="703">
        <f>H19</f>
        <v>100</v>
      </c>
      <c r="V19" s="702" t="s">
        <v>14</v>
      </c>
      <c r="W19" s="703">
        <f>J19</f>
        <v>100</v>
      </c>
      <c r="X19" s="1349"/>
      <c r="Y19" s="3748"/>
      <c r="Z19" s="1350" t="str">
        <f>Q19</f>
        <v>公共配套设施</v>
      </c>
      <c r="AA19" s="1347">
        <f t="shared" si="3"/>
        <v>1</v>
      </c>
      <c r="AB19" s="1347">
        <f t="shared" si="4"/>
        <v>1</v>
      </c>
      <c r="AC19" s="1347">
        <f t="shared" si="5"/>
        <v>1</v>
      </c>
    </row>
    <row r="20" spans="1:29" ht="15">
      <c r="A20" s="376"/>
      <c r="B20" s="404"/>
      <c r="C20" s="395" t="s">
        <v>3400</v>
      </c>
      <c r="D20" s="396"/>
      <c r="E20" s="395" t="s">
        <v>3400</v>
      </c>
      <c r="F20" s="397"/>
      <c r="G20" s="395" t="s">
        <v>3400</v>
      </c>
      <c r="H20" s="396"/>
      <c r="I20" s="395" t="s">
        <v>3400</v>
      </c>
      <c r="J20" s="396"/>
      <c r="K20" s="561"/>
      <c r="L20" s="917"/>
      <c r="M20" s="908"/>
      <c r="N20" s="908"/>
      <c r="O20" s="916"/>
      <c r="P20" s="3748"/>
      <c r="Q20" s="1346"/>
      <c r="R20" s="702"/>
      <c r="S20" s="703"/>
      <c r="T20" s="702"/>
      <c r="U20" s="703"/>
      <c r="V20" s="702"/>
      <c r="W20" s="703"/>
      <c r="X20" s="1349"/>
      <c r="Y20" s="3748"/>
      <c r="Z20" s="1350"/>
      <c r="AA20" s="1347">
        <v>1</v>
      </c>
      <c r="AB20" s="1347">
        <v>1</v>
      </c>
      <c r="AC20" s="1347">
        <v>1</v>
      </c>
    </row>
    <row r="21" spans="1:29" ht="15">
      <c r="A21" s="376"/>
      <c r="B21" s="1125" t="s">
        <v>1813</v>
      </c>
      <c r="C21" s="1894">
        <f>估价对象房地状况!G6</f>
        <v>0</v>
      </c>
      <c r="D21" s="398">
        <v>100</v>
      </c>
      <c r="E21" s="405"/>
      <c r="F21" s="406">
        <f>SUMIF(76:76,E22,77:77)-SUMIF(76:76,C22,77:77)+100</f>
        <v>100</v>
      </c>
      <c r="G21" s="407"/>
      <c r="H21" s="398">
        <f>SUMIF(76:76,G22,77:77)-SUMIF(76:76,C22,77:77)+100</f>
        <v>100</v>
      </c>
      <c r="I21" s="405"/>
      <c r="J21" s="398">
        <f>SUMIF(76:76,I22,77:77)-SUMIF(76:76,C22,77:77)+100</f>
        <v>100</v>
      </c>
      <c r="K21" s="560">
        <v>2</v>
      </c>
      <c r="L21" s="917"/>
      <c r="M21" s="908"/>
      <c r="N21" s="908"/>
      <c r="O21" s="916"/>
      <c r="P21" s="3748"/>
      <c r="Q21" s="1346" t="str">
        <f>B21</f>
        <v>基础设施水平</v>
      </c>
      <c r="R21" s="702" t="s">
        <v>14</v>
      </c>
      <c r="S21" s="703">
        <f>F21</f>
        <v>100</v>
      </c>
      <c r="T21" s="702" t="s">
        <v>14</v>
      </c>
      <c r="U21" s="703">
        <f>H21</f>
        <v>100</v>
      </c>
      <c r="V21" s="702" t="s">
        <v>14</v>
      </c>
      <c r="W21" s="703">
        <f>J21</f>
        <v>100</v>
      </c>
      <c r="X21" s="1349"/>
      <c r="Y21" s="3748"/>
      <c r="Z21" s="1350" t="str">
        <f>Q21</f>
        <v>基础设施水平</v>
      </c>
      <c r="AA21" s="1347">
        <f t="shared" ref="AA21" si="8">D21/F21</f>
        <v>1</v>
      </c>
      <c r="AB21" s="1347">
        <f t="shared" ref="AB21" si="9">D21/H21</f>
        <v>1</v>
      </c>
      <c r="AC21" s="1347">
        <f t="shared" ref="AC21" si="10">D21/J21</f>
        <v>1</v>
      </c>
    </row>
    <row r="22" spans="1:29" ht="15">
      <c r="A22" s="376"/>
      <c r="B22" s="1125"/>
      <c r="C22" s="1895" t="s">
        <v>3444</v>
      </c>
      <c r="D22" s="396"/>
      <c r="E22" s="1895" t="s">
        <v>3444</v>
      </c>
      <c r="F22" s="397"/>
      <c r="G22" s="1895" t="s">
        <v>3444</v>
      </c>
      <c r="H22" s="396"/>
      <c r="I22" s="1895" t="s">
        <v>3444</v>
      </c>
      <c r="J22" s="396"/>
      <c r="K22" s="1124"/>
      <c r="L22" s="917"/>
      <c r="M22" s="908"/>
      <c r="N22" s="908"/>
      <c r="O22" s="916"/>
      <c r="P22" s="3748"/>
      <c r="Q22" s="1346"/>
      <c r="R22" s="702"/>
      <c r="S22" s="703"/>
      <c r="T22" s="702"/>
      <c r="U22" s="703"/>
      <c r="V22" s="702"/>
      <c r="W22" s="703"/>
      <c r="X22" s="1349"/>
      <c r="Y22" s="3748"/>
      <c r="Z22" s="1350"/>
      <c r="AA22" s="1347">
        <v>1</v>
      </c>
      <c r="AB22" s="1347">
        <v>1</v>
      </c>
      <c r="AC22" s="1347">
        <v>1</v>
      </c>
    </row>
    <row r="23" spans="1:29" ht="15">
      <c r="A23" s="376"/>
      <c r="B23" s="399" t="s">
        <v>1814</v>
      </c>
      <c r="C23" s="1894">
        <f>估价对象房地状况!G7</f>
        <v>0</v>
      </c>
      <c r="D23" s="398">
        <v>100</v>
      </c>
      <c r="E23" s="400"/>
      <c r="F23" s="401">
        <f>SUMIF(78:78,E24,79:79)-SUMIF(78:78,C24,79:79)+100</f>
        <v>100</v>
      </c>
      <c r="G23" s="402"/>
      <c r="H23" s="398">
        <f>SUMIF(78:78,G24,79:79)-SUMIF(78:78,C24,79:79)+100</f>
        <v>100</v>
      </c>
      <c r="I23" s="400"/>
      <c r="J23" s="398">
        <f>SUMIF(78:78,I24,79:79)-SUMIF(78:78,C24,79:79)+100</f>
        <v>100</v>
      </c>
      <c r="K23" s="560">
        <v>2</v>
      </c>
      <c r="L23" s="917"/>
      <c r="M23" s="908"/>
      <c r="N23" s="908"/>
      <c r="O23" s="916"/>
      <c r="P23" s="3748"/>
      <c r="Q23" s="1346" t="str">
        <f>B23</f>
        <v>环境质量</v>
      </c>
      <c r="R23" s="702" t="s">
        <v>14</v>
      </c>
      <c r="S23" s="703">
        <f>F23</f>
        <v>100</v>
      </c>
      <c r="T23" s="702" t="s">
        <v>14</v>
      </c>
      <c r="U23" s="703">
        <f>H23</f>
        <v>100</v>
      </c>
      <c r="V23" s="702" t="s">
        <v>14</v>
      </c>
      <c r="W23" s="703">
        <f>J23</f>
        <v>100</v>
      </c>
      <c r="X23" s="1349"/>
      <c r="Y23" s="3748"/>
      <c r="Z23" s="1350" t="str">
        <f>Q23</f>
        <v>环境质量</v>
      </c>
      <c r="AA23" s="1347">
        <f t="shared" si="3"/>
        <v>1</v>
      </c>
      <c r="AB23" s="1347">
        <f t="shared" si="4"/>
        <v>1</v>
      </c>
      <c r="AC23" s="1347">
        <f t="shared" si="5"/>
        <v>1</v>
      </c>
    </row>
    <row r="24" spans="1:29" ht="15.75" thickBot="1">
      <c r="A24" s="376"/>
      <c r="B24" s="1125"/>
      <c r="C24" s="395" t="s">
        <v>3400</v>
      </c>
      <c r="D24" s="396"/>
      <c r="E24" s="395" t="s">
        <v>3400</v>
      </c>
      <c r="F24" s="397"/>
      <c r="G24" s="395" t="s">
        <v>3400</v>
      </c>
      <c r="H24" s="396"/>
      <c r="I24" s="395" t="s">
        <v>3400</v>
      </c>
      <c r="J24" s="396"/>
      <c r="K24" s="561"/>
      <c r="L24" s="917"/>
      <c r="M24" s="908"/>
      <c r="N24" s="908"/>
      <c r="O24" s="916"/>
      <c r="P24" s="3748"/>
      <c r="Q24" s="1346"/>
      <c r="R24" s="702"/>
      <c r="S24" s="703"/>
      <c r="T24" s="702"/>
      <c r="U24" s="703"/>
      <c r="V24" s="702"/>
      <c r="W24" s="703"/>
      <c r="X24" s="1349"/>
      <c r="Y24" s="3748"/>
      <c r="Z24" s="1350"/>
      <c r="AA24" s="1347">
        <v>1</v>
      </c>
      <c r="AB24" s="1347">
        <v>1</v>
      </c>
      <c r="AC24" s="1347">
        <v>1</v>
      </c>
    </row>
    <row r="25" spans="1:29" ht="15" hidden="1">
      <c r="A25" s="355"/>
      <c r="B25" s="1127">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7"/>
      <c r="M25" s="908"/>
      <c r="N25" s="908"/>
      <c r="O25" s="916"/>
      <c r="P25" s="3748"/>
      <c r="Q25" s="1346">
        <f>B25</f>
        <v>111</v>
      </c>
      <c r="R25" s="702" t="s">
        <v>14</v>
      </c>
      <c r="S25" s="703">
        <f>F25</f>
        <v>100</v>
      </c>
      <c r="T25" s="702" t="s">
        <v>14</v>
      </c>
      <c r="U25" s="703">
        <f>H25</f>
        <v>100</v>
      </c>
      <c r="V25" s="702" t="s">
        <v>14</v>
      </c>
      <c r="W25" s="703">
        <f>J25</f>
        <v>100</v>
      </c>
      <c r="X25" s="1349"/>
      <c r="Y25" s="3748"/>
      <c r="Z25" s="1350">
        <f>Q25</f>
        <v>111</v>
      </c>
      <c r="AA25" s="1347">
        <f t="shared" si="3"/>
        <v>1</v>
      </c>
      <c r="AB25" s="1347">
        <f t="shared" si="4"/>
        <v>1</v>
      </c>
      <c r="AC25" s="1347">
        <f t="shared" si="5"/>
        <v>1</v>
      </c>
    </row>
    <row r="26" spans="1:29" ht="15" hidden="1">
      <c r="A26" s="376"/>
      <c r="B26" s="1127">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7"/>
      <c r="M26" s="908"/>
      <c r="N26" s="908"/>
      <c r="O26" s="916"/>
      <c r="P26" s="3748"/>
      <c r="Q26" s="1346">
        <f t="shared" ref="Q26:Q40" si="11">B26</f>
        <v>111</v>
      </c>
      <c r="R26" s="702" t="s">
        <v>14</v>
      </c>
      <c r="S26" s="703">
        <f>F26</f>
        <v>100</v>
      </c>
      <c r="T26" s="702" t="s">
        <v>14</v>
      </c>
      <c r="U26" s="703">
        <f>H26</f>
        <v>100</v>
      </c>
      <c r="V26" s="702" t="s">
        <v>14</v>
      </c>
      <c r="W26" s="703">
        <f>J26</f>
        <v>100</v>
      </c>
      <c r="X26" s="1349"/>
      <c r="Y26" s="3748"/>
      <c r="Z26" s="1350">
        <f>Q26</f>
        <v>111</v>
      </c>
      <c r="AA26" s="1347">
        <f t="shared" si="3"/>
        <v>1</v>
      </c>
      <c r="AB26" s="1347">
        <f t="shared" si="4"/>
        <v>1</v>
      </c>
      <c r="AC26" s="1347">
        <f t="shared" si="5"/>
        <v>1</v>
      </c>
    </row>
    <row r="27" spans="1:29" s="105" customFormat="1" ht="15" hidden="1">
      <c r="A27" s="379"/>
      <c r="B27" s="1127">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9"/>
      <c r="M27" s="910"/>
      <c r="N27" s="910"/>
      <c r="O27" s="911"/>
      <c r="P27" s="3748"/>
      <c r="Q27" s="1337">
        <f t="shared" si="11"/>
        <v>111</v>
      </c>
      <c r="R27" s="698" t="s">
        <v>14</v>
      </c>
      <c r="S27" s="699">
        <f>F27</f>
        <v>100</v>
      </c>
      <c r="T27" s="698" t="s">
        <v>14</v>
      </c>
      <c r="U27" s="699">
        <f>H27</f>
        <v>100</v>
      </c>
      <c r="V27" s="698" t="s">
        <v>14</v>
      </c>
      <c r="W27" s="699">
        <f>J27</f>
        <v>100</v>
      </c>
      <c r="X27" s="700"/>
      <c r="Y27" s="3748"/>
      <c r="Z27" s="52">
        <f>Q27</f>
        <v>111</v>
      </c>
      <c r="AA27" s="1347">
        <f>D27/F27</f>
        <v>1</v>
      </c>
      <c r="AB27" s="1347">
        <f>D27/H27</f>
        <v>1</v>
      </c>
      <c r="AC27" s="1347">
        <f>D27/J27</f>
        <v>1</v>
      </c>
    </row>
    <row r="28" spans="1:29" ht="15.75" hidden="1" thickBot="1">
      <c r="A28" s="384"/>
      <c r="B28" s="1127">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7"/>
      <c r="M28" s="908"/>
      <c r="N28" s="908"/>
      <c r="O28" s="916"/>
      <c r="P28" s="3748"/>
      <c r="Q28" s="1346">
        <f t="shared" si="11"/>
        <v>111</v>
      </c>
      <c r="R28" s="702" t="s">
        <v>14</v>
      </c>
      <c r="S28" s="703">
        <f t="shared" ref="S28:S40" si="12">F28</f>
        <v>100</v>
      </c>
      <c r="T28" s="702" t="s">
        <v>14</v>
      </c>
      <c r="U28" s="703">
        <f t="shared" ref="U28:U40" si="13">H28</f>
        <v>100</v>
      </c>
      <c r="V28" s="702" t="s">
        <v>14</v>
      </c>
      <c r="W28" s="703">
        <f t="shared" ref="W28:W40" si="14">J28</f>
        <v>100</v>
      </c>
      <c r="X28" s="1349"/>
      <c r="Y28" s="3748"/>
      <c r="Z28" s="1350">
        <f t="shared" ref="Z28:Z40" si="15">Q28</f>
        <v>111</v>
      </c>
      <c r="AA28" s="1347">
        <f t="shared" si="3"/>
        <v>1</v>
      </c>
      <c r="AB28" s="1347">
        <f t="shared" si="4"/>
        <v>1</v>
      </c>
      <c r="AC28" s="1347">
        <f t="shared" si="5"/>
        <v>1</v>
      </c>
    </row>
    <row r="29" spans="1:29" ht="28.5">
      <c r="A29" s="414" t="s">
        <v>1694</v>
      </c>
      <c r="B29" s="63" t="s">
        <v>1817</v>
      </c>
      <c r="C29" s="1961" t="s">
        <v>3445</v>
      </c>
      <c r="D29" s="415">
        <v>100</v>
      </c>
      <c r="E29" s="1961" t="s">
        <v>3445</v>
      </c>
      <c r="F29" s="409">
        <f>SUMIF(88:88,E29,89:89)-SUMIF(88:88,C29,89:89)+100</f>
        <v>100</v>
      </c>
      <c r="G29" s="1961" t="s">
        <v>3445</v>
      </c>
      <c r="H29" s="383">
        <f>SUMIF(88:88,G29,89:89)-SUMIF(88:88,C29,89:89)+100</f>
        <v>100</v>
      </c>
      <c r="I29" s="1961" t="s">
        <v>3445</v>
      </c>
      <c r="J29" s="415">
        <f>SUMIF(88:88,I29,89:89)-SUMIF(88:88,C29,89:89)+100</f>
        <v>100</v>
      </c>
      <c r="K29" s="558">
        <v>10</v>
      </c>
      <c r="L29" s="917"/>
      <c r="M29" s="908"/>
      <c r="N29" s="908"/>
      <c r="O29" s="916"/>
      <c r="P29" s="3756" t="s">
        <v>1696</v>
      </c>
      <c r="Q29" s="1346" t="str">
        <f t="shared" si="11"/>
        <v>建筑类型</v>
      </c>
      <c r="R29" s="702" t="s">
        <v>14</v>
      </c>
      <c r="S29" s="703">
        <f t="shared" si="12"/>
        <v>100</v>
      </c>
      <c r="T29" s="702" t="s">
        <v>14</v>
      </c>
      <c r="U29" s="703">
        <f t="shared" si="13"/>
        <v>100</v>
      </c>
      <c r="V29" s="702" t="s">
        <v>14</v>
      </c>
      <c r="W29" s="703">
        <f t="shared" si="14"/>
        <v>100</v>
      </c>
      <c r="X29" s="1349"/>
      <c r="Y29" s="3752" t="s">
        <v>1696</v>
      </c>
      <c r="Z29" s="1350" t="str">
        <f t="shared" si="15"/>
        <v>建筑类型</v>
      </c>
      <c r="AA29" s="1347">
        <f t="shared" si="3"/>
        <v>1</v>
      </c>
      <c r="AB29" s="1347">
        <f t="shared" si="4"/>
        <v>1</v>
      </c>
      <c r="AC29" s="1347">
        <f t="shared" si="5"/>
        <v>1</v>
      </c>
    </row>
    <row r="30" spans="1:29" s="419" customFormat="1" ht="15">
      <c r="A30" s="416"/>
      <c r="B30" s="372" t="s">
        <v>1697</v>
      </c>
      <c r="C30" s="417">
        <f>'数据-汇总表'!E3</f>
        <v>17747.629999999997</v>
      </c>
      <c r="D30" s="124">
        <v>100</v>
      </c>
      <c r="E30" s="378">
        <v>152.5</v>
      </c>
      <c r="F30" s="373">
        <f>LOOKUP(E30,91:91,92:92)-LOOKUP(C30,91:91,92:92)+100</f>
        <v>100</v>
      </c>
      <c r="G30" s="377">
        <v>119.42</v>
      </c>
      <c r="H30" s="124">
        <f>LOOKUP(G30,91:91,92:92)-LOOKUP(C30,91:91,92:92)+100</f>
        <v>100</v>
      </c>
      <c r="I30" s="377">
        <v>238</v>
      </c>
      <c r="J30" s="124">
        <f>LOOKUP(I30,91:91,92:92)-LOOKUP(C30,91:91,92:92)+100</f>
        <v>100</v>
      </c>
      <c r="K30" s="559"/>
      <c r="L30" s="915"/>
      <c r="M30" s="918"/>
      <c r="N30" s="918"/>
      <c r="O30" s="919"/>
      <c r="P30" s="3752"/>
      <c r="Q30" s="704" t="str">
        <f t="shared" si="11"/>
        <v>项目建筑规模</v>
      </c>
      <c r="R30" s="705" t="s">
        <v>14</v>
      </c>
      <c r="S30" s="706">
        <f t="shared" si="12"/>
        <v>100</v>
      </c>
      <c r="T30" s="705" t="s">
        <v>14</v>
      </c>
      <c r="U30" s="706">
        <f t="shared" si="13"/>
        <v>100</v>
      </c>
      <c r="V30" s="705" t="s">
        <v>14</v>
      </c>
      <c r="W30" s="706">
        <f t="shared" si="14"/>
        <v>100</v>
      </c>
      <c r="X30" s="707"/>
      <c r="Y30" s="3752"/>
      <c r="Z30" s="708" t="str">
        <f t="shared" si="15"/>
        <v>项目建筑规模</v>
      </c>
      <c r="AA30" s="1347">
        <f t="shared" si="3"/>
        <v>1</v>
      </c>
      <c r="AB30" s="1347">
        <f t="shared" si="4"/>
        <v>1</v>
      </c>
      <c r="AC30" s="1347">
        <f t="shared" si="5"/>
        <v>1</v>
      </c>
    </row>
    <row r="31" spans="1:29" ht="15">
      <c r="A31" s="420"/>
      <c r="B31" s="372" t="s">
        <v>1698</v>
      </c>
      <c r="C31" s="408" t="s">
        <v>3406</v>
      </c>
      <c r="D31" s="383">
        <v>100</v>
      </c>
      <c r="E31" s="408" t="s">
        <v>3406</v>
      </c>
      <c r="F31" s="409">
        <f>SUMIF(93:93,E31,94:94)-SUMIF(93:93,C31,94:94)+100</f>
        <v>100</v>
      </c>
      <c r="G31" s="408" t="s">
        <v>3406</v>
      </c>
      <c r="H31" s="383">
        <f>SUMIF(93:93,G31,94:94)-SUMIF(93:93,C31,94:94)+100</f>
        <v>100</v>
      </c>
      <c r="I31" s="408" t="s">
        <v>3406</v>
      </c>
      <c r="J31" s="383">
        <f>SUMIF(93:93,I31,94:94)-SUMIF(93:93,C31,94:94)+100</f>
        <v>100</v>
      </c>
      <c r="K31" s="558">
        <v>1</v>
      </c>
      <c r="L31" s="917"/>
      <c r="M31" s="908"/>
      <c r="N31" s="908"/>
      <c r="O31" s="916"/>
      <c r="P31" s="3752"/>
      <c r="Q31" s="1346" t="str">
        <f t="shared" si="11"/>
        <v>建筑结构</v>
      </c>
      <c r="R31" s="702" t="s">
        <v>14</v>
      </c>
      <c r="S31" s="703">
        <f t="shared" si="12"/>
        <v>100</v>
      </c>
      <c r="T31" s="702" t="s">
        <v>14</v>
      </c>
      <c r="U31" s="703">
        <f t="shared" si="13"/>
        <v>100</v>
      </c>
      <c r="V31" s="702" t="s">
        <v>14</v>
      </c>
      <c r="W31" s="703">
        <f t="shared" si="14"/>
        <v>100</v>
      </c>
      <c r="X31" s="1349"/>
      <c r="Y31" s="3752"/>
      <c r="Z31" s="1350" t="str">
        <f t="shared" si="15"/>
        <v>建筑结构</v>
      </c>
      <c r="AA31" s="1347">
        <f t="shared" si="3"/>
        <v>1</v>
      </c>
      <c r="AB31" s="1347">
        <f t="shared" si="4"/>
        <v>1</v>
      </c>
      <c r="AC31" s="1347">
        <f t="shared" si="5"/>
        <v>1</v>
      </c>
    </row>
    <row r="32" spans="1:29" ht="15">
      <c r="A32" s="420"/>
      <c r="B32" s="372" t="s">
        <v>1785</v>
      </c>
      <c r="C32" s="408" t="s">
        <v>3434</v>
      </c>
      <c r="D32" s="383">
        <v>100</v>
      </c>
      <c r="E32" s="408" t="s">
        <v>3434</v>
      </c>
      <c r="F32" s="409">
        <f>SUMIF(95:95,E32,96:96)-SUMIF(95:95,C32,96:96)+100</f>
        <v>100</v>
      </c>
      <c r="G32" s="408" t="s">
        <v>3434</v>
      </c>
      <c r="H32" s="383">
        <f>SUMIF(95:95,G32,96:96)-SUMIF(95:95,C32,96:96)+100</f>
        <v>100</v>
      </c>
      <c r="I32" s="408" t="s">
        <v>3434</v>
      </c>
      <c r="J32" s="383">
        <f>SUMIF(95:95,I32,96:96)-SUMIF(95:95,C32,96:96)+100</f>
        <v>100</v>
      </c>
      <c r="K32" s="558">
        <v>2</v>
      </c>
      <c r="L32" s="917"/>
      <c r="M32" s="908"/>
      <c r="N32" s="908"/>
      <c r="O32" s="916"/>
      <c r="P32" s="3752"/>
      <c r="Q32" s="1346" t="str">
        <f t="shared" si="11"/>
        <v>公共部分装修</v>
      </c>
      <c r="R32" s="702" t="s">
        <v>14</v>
      </c>
      <c r="S32" s="703">
        <f t="shared" si="12"/>
        <v>100</v>
      </c>
      <c r="T32" s="702" t="s">
        <v>14</v>
      </c>
      <c r="U32" s="703">
        <f t="shared" si="13"/>
        <v>100</v>
      </c>
      <c r="V32" s="702" t="s">
        <v>14</v>
      </c>
      <c r="W32" s="703">
        <f t="shared" si="14"/>
        <v>100</v>
      </c>
      <c r="X32" s="1349"/>
      <c r="Y32" s="3752"/>
      <c r="Z32" s="1350" t="str">
        <f t="shared" si="15"/>
        <v>公共部分装修</v>
      </c>
      <c r="AA32" s="1347">
        <f t="shared" si="3"/>
        <v>1</v>
      </c>
      <c r="AB32" s="1347">
        <f t="shared" si="4"/>
        <v>1</v>
      </c>
      <c r="AC32" s="1347">
        <f t="shared" si="5"/>
        <v>1</v>
      </c>
    </row>
    <row r="33" spans="1:29" ht="15" hidden="1">
      <c r="A33" s="420"/>
      <c r="B33" s="372" t="s">
        <v>1786</v>
      </c>
      <c r="C33" s="422">
        <v>1</v>
      </c>
      <c r="D33" s="383">
        <v>100</v>
      </c>
      <c r="E33" s="422">
        <v>1</v>
      </c>
      <c r="F33" s="409">
        <f>LOOKUP(E33,98:98,99:99)-LOOKUP(C33,98:98,99:99)+100</f>
        <v>100</v>
      </c>
      <c r="G33" s="422">
        <v>1</v>
      </c>
      <c r="H33" s="409">
        <f>LOOKUP(G33,98:98,99:99)-LOOKUP(C33,98:98,99:99)+100</f>
        <v>100</v>
      </c>
      <c r="I33" s="422">
        <v>1</v>
      </c>
      <c r="J33" s="383">
        <f>LOOKUP(I33,98:98,99:99)-LOOKUP(C33,98:98,99:99)+100</f>
        <v>100</v>
      </c>
      <c r="K33" s="558">
        <v>1</v>
      </c>
      <c r="L33" s="917"/>
      <c r="M33" s="908"/>
      <c r="N33" s="908"/>
      <c r="O33" s="916"/>
      <c r="P33" s="3752"/>
      <c r="Q33" s="1346" t="str">
        <f t="shared" si="11"/>
        <v>成新度</v>
      </c>
      <c r="R33" s="702" t="s">
        <v>14</v>
      </c>
      <c r="S33" s="703">
        <f t="shared" si="12"/>
        <v>100</v>
      </c>
      <c r="T33" s="702" t="s">
        <v>14</v>
      </c>
      <c r="U33" s="703">
        <f t="shared" si="13"/>
        <v>100</v>
      </c>
      <c r="V33" s="702" t="s">
        <v>14</v>
      </c>
      <c r="W33" s="703">
        <f t="shared" si="14"/>
        <v>100</v>
      </c>
      <c r="X33" s="1349"/>
      <c r="Y33" s="3752"/>
      <c r="Z33" s="1350" t="str">
        <f t="shared" si="15"/>
        <v>成新度</v>
      </c>
      <c r="AA33" s="1347">
        <f t="shared" si="3"/>
        <v>1</v>
      </c>
      <c r="AB33" s="1347">
        <f t="shared" si="4"/>
        <v>1</v>
      </c>
      <c r="AC33" s="1347">
        <f t="shared" si="5"/>
        <v>1</v>
      </c>
    </row>
    <row r="34" spans="1:29" s="105" customFormat="1" ht="15">
      <c r="A34" s="421"/>
      <c r="B34" s="372" t="s">
        <v>1819</v>
      </c>
      <c r="C34" s="408" t="s">
        <v>3446</v>
      </c>
      <c r="D34" s="124">
        <v>100</v>
      </c>
      <c r="E34" s="408" t="s">
        <v>3446</v>
      </c>
      <c r="F34" s="409">
        <f>SUMIF(100:100,E34,101:101)-SUMIF(100:100,C34,101:101)+100</f>
        <v>100</v>
      </c>
      <c r="G34" s="408" t="s">
        <v>3446</v>
      </c>
      <c r="H34" s="383">
        <f>SUMIF(100:100,G34,101:101)-SUMIF(100:100,C34,101:101)+100</f>
        <v>100</v>
      </c>
      <c r="I34" s="408" t="s">
        <v>3446</v>
      </c>
      <c r="J34" s="383">
        <f>SUMIF(100:100,I34,101:101)-SUMIF(100:100,C34,101:101)+100</f>
        <v>100</v>
      </c>
      <c r="K34" s="558">
        <v>1</v>
      </c>
      <c r="L34" s="909"/>
      <c r="M34" s="910"/>
      <c r="N34" s="910"/>
      <c r="O34" s="911"/>
      <c r="P34" s="3752"/>
      <c r="Q34" s="1337" t="str">
        <f t="shared" si="11"/>
        <v>物业管理</v>
      </c>
      <c r="R34" s="698" t="s">
        <v>14</v>
      </c>
      <c r="S34" s="699">
        <f t="shared" si="12"/>
        <v>100</v>
      </c>
      <c r="T34" s="698" t="s">
        <v>14</v>
      </c>
      <c r="U34" s="699">
        <f t="shared" si="13"/>
        <v>100</v>
      </c>
      <c r="V34" s="698" t="s">
        <v>14</v>
      </c>
      <c r="W34" s="699">
        <f t="shared" si="14"/>
        <v>100</v>
      </c>
      <c r="X34" s="700"/>
      <c r="Y34" s="3752"/>
      <c r="Z34" s="52" t="str">
        <f t="shared" si="15"/>
        <v>物业管理</v>
      </c>
      <c r="AA34" s="701">
        <f t="shared" si="3"/>
        <v>1</v>
      </c>
      <c r="AB34" s="701">
        <f t="shared" si="4"/>
        <v>1</v>
      </c>
      <c r="AC34" s="701">
        <f t="shared" si="5"/>
        <v>1</v>
      </c>
    </row>
    <row r="35" spans="1:29" ht="15">
      <c r="A35" s="420"/>
      <c r="B35" s="372" t="s">
        <v>1787</v>
      </c>
      <c r="C35" s="408" t="s">
        <v>3447</v>
      </c>
      <c r="D35" s="383">
        <v>100</v>
      </c>
      <c r="E35" s="408" t="s">
        <v>3447</v>
      </c>
      <c r="F35" s="409">
        <f>SUMIF(102:102,E35,103:103)-SUMIF(102:102,C35,103:103)+100</f>
        <v>100</v>
      </c>
      <c r="G35" s="408" t="s">
        <v>3447</v>
      </c>
      <c r="H35" s="383">
        <f>SUMIF(102:102,G35,103:103)-SUMIF(102:102,C35,103:103)+100</f>
        <v>100</v>
      </c>
      <c r="I35" s="408" t="s">
        <v>3447</v>
      </c>
      <c r="J35" s="383">
        <f>SUMIF(102:102,I35,103:103)-SUMIF(102:102,C35,103:103)+100</f>
        <v>100</v>
      </c>
      <c r="K35" s="558">
        <v>1</v>
      </c>
      <c r="L35" s="917"/>
      <c r="M35" s="908"/>
      <c r="N35" s="908"/>
      <c r="O35" s="916"/>
      <c r="P35" s="3752" t="s">
        <v>1696</v>
      </c>
      <c r="Q35" s="1346" t="str">
        <f t="shared" si="11"/>
        <v>市政基础设施</v>
      </c>
      <c r="R35" s="702" t="s">
        <v>14</v>
      </c>
      <c r="S35" s="703">
        <f t="shared" si="12"/>
        <v>100</v>
      </c>
      <c r="T35" s="702" t="s">
        <v>14</v>
      </c>
      <c r="U35" s="703">
        <f t="shared" si="13"/>
        <v>100</v>
      </c>
      <c r="V35" s="702" t="s">
        <v>14</v>
      </c>
      <c r="W35" s="703">
        <f t="shared" si="14"/>
        <v>100</v>
      </c>
      <c r="X35" s="1349"/>
      <c r="Y35" s="3752" t="s">
        <v>1696</v>
      </c>
      <c r="Z35" s="1350" t="str">
        <f t="shared" si="15"/>
        <v>市政基础设施</v>
      </c>
      <c r="AA35" s="1347">
        <f t="shared" si="3"/>
        <v>1</v>
      </c>
      <c r="AB35" s="1347">
        <f t="shared" si="4"/>
        <v>1</v>
      </c>
      <c r="AC35" s="1347">
        <f t="shared" si="5"/>
        <v>1</v>
      </c>
    </row>
    <row r="36" spans="1:29" ht="15">
      <c r="A36" s="420"/>
      <c r="B36" s="372" t="s">
        <v>1792</v>
      </c>
      <c r="C36" s="408" t="s">
        <v>3434</v>
      </c>
      <c r="D36" s="383">
        <v>100</v>
      </c>
      <c r="E36" s="408" t="s">
        <v>3434</v>
      </c>
      <c r="F36" s="409">
        <f>SUMIF(104:104,E36,105:105)-SUMIF(104:104,C36,105:105)+100</f>
        <v>100</v>
      </c>
      <c r="G36" s="408" t="s">
        <v>3434</v>
      </c>
      <c r="H36" s="383">
        <f>SUMIF(104:104,G36,105:105)-SUMIF(104:104,C36,105:105)+100</f>
        <v>100</v>
      </c>
      <c r="I36" s="408" t="s">
        <v>3434</v>
      </c>
      <c r="J36" s="383">
        <f>SUMIF(104:104,I36,105:105)-SUMIF(104:104,C36,105:105)+100</f>
        <v>100</v>
      </c>
      <c r="K36" s="558">
        <v>2</v>
      </c>
      <c r="L36" s="917"/>
      <c r="M36" s="908"/>
      <c r="N36" s="908"/>
      <c r="O36" s="916"/>
      <c r="P36" s="3752"/>
      <c r="Q36" s="1346" t="str">
        <f t="shared" si="11"/>
        <v>内部装修</v>
      </c>
      <c r="R36" s="702" t="s">
        <v>14</v>
      </c>
      <c r="S36" s="703">
        <f t="shared" si="12"/>
        <v>100</v>
      </c>
      <c r="T36" s="702" t="s">
        <v>14</v>
      </c>
      <c r="U36" s="703">
        <f t="shared" si="13"/>
        <v>100</v>
      </c>
      <c r="V36" s="702" t="s">
        <v>14</v>
      </c>
      <c r="W36" s="703">
        <f t="shared" si="14"/>
        <v>100</v>
      </c>
      <c r="X36" s="1349"/>
      <c r="Y36" s="3752"/>
      <c r="Z36" s="1350" t="str">
        <f t="shared" si="15"/>
        <v>内部装修</v>
      </c>
      <c r="AA36" s="1347">
        <f t="shared" si="3"/>
        <v>1</v>
      </c>
      <c r="AB36" s="1347">
        <f t="shared" si="4"/>
        <v>1</v>
      </c>
      <c r="AC36" s="1347">
        <f t="shared" si="5"/>
        <v>1</v>
      </c>
    </row>
    <row r="37" spans="1:29" ht="15">
      <c r="A37" s="420"/>
      <c r="B37" s="372" t="s">
        <v>1828</v>
      </c>
      <c r="C37" s="562" t="s">
        <v>3400</v>
      </c>
      <c r="D37" s="383">
        <v>100</v>
      </c>
      <c r="E37" s="562" t="s">
        <v>3400</v>
      </c>
      <c r="F37" s="409">
        <f>SUMIF(106:106,E37,107:107)-SUMIF(106:106,C37,107:107)+100</f>
        <v>100</v>
      </c>
      <c r="G37" s="562" t="s">
        <v>3400</v>
      </c>
      <c r="H37" s="383">
        <f>SUMIF(106:106,G37,107:107)-SUMIF(106:106,C37,107:107)+100</f>
        <v>100</v>
      </c>
      <c r="I37" s="562" t="s">
        <v>3400</v>
      </c>
      <c r="J37" s="383">
        <f>SUMIF(106:106,I37,107:107)-SUMIF(106:106,C37,107:107)+100</f>
        <v>100</v>
      </c>
      <c r="K37" s="558">
        <v>1</v>
      </c>
      <c r="L37" s="917"/>
      <c r="M37" s="908"/>
      <c r="N37" s="908"/>
      <c r="O37" s="916"/>
      <c r="P37" s="3752"/>
      <c r="Q37" s="1346" t="str">
        <f t="shared" si="11"/>
        <v>内部装修状况</v>
      </c>
      <c r="R37" s="702" t="s">
        <v>14</v>
      </c>
      <c r="S37" s="703">
        <f t="shared" si="12"/>
        <v>100</v>
      </c>
      <c r="T37" s="702" t="s">
        <v>14</v>
      </c>
      <c r="U37" s="703">
        <f t="shared" si="13"/>
        <v>100</v>
      </c>
      <c r="V37" s="702" t="s">
        <v>14</v>
      </c>
      <c r="W37" s="703">
        <f t="shared" si="14"/>
        <v>100</v>
      </c>
      <c r="X37" s="1349"/>
      <c r="Y37" s="3752"/>
      <c r="Z37" s="1350" t="str">
        <f t="shared" si="15"/>
        <v>内部装修状况</v>
      </c>
      <c r="AA37" s="1347">
        <f t="shared" si="3"/>
        <v>1</v>
      </c>
      <c r="AB37" s="1347">
        <f t="shared" si="4"/>
        <v>1</v>
      </c>
      <c r="AC37" s="1347">
        <f t="shared" si="5"/>
        <v>1</v>
      </c>
    </row>
    <row r="38" spans="1:29" s="419" customFormat="1" ht="15.75" thickBot="1">
      <c r="A38" s="416"/>
      <c r="B38" s="3482" t="s">
        <v>3457</v>
      </c>
      <c r="C38" s="3486" t="s">
        <v>3462</v>
      </c>
      <c r="D38" s="383">
        <v>100</v>
      </c>
      <c r="E38" s="3487" t="s">
        <v>3464</v>
      </c>
      <c r="F38" s="409">
        <f>SUMIF(108:108,E38,109:109)-SUMIF(108:108,C38,109:109)+100</f>
        <v>100</v>
      </c>
      <c r="G38" s="3486" t="s">
        <v>3463</v>
      </c>
      <c r="H38" s="383">
        <f>SUMIF(108:108,G38,109:109)-SUMIF(108:108,C38,109:109)+100</f>
        <v>102</v>
      </c>
      <c r="I38" s="3486" t="s">
        <v>3464</v>
      </c>
      <c r="J38" s="383">
        <f>SUMIF(108:108,I38,109:1038)-SUMIF(108:108,C38,109:109)+100</f>
        <v>100</v>
      </c>
      <c r="K38" s="559"/>
      <c r="L38" s="915"/>
      <c r="M38" s="918"/>
      <c r="N38" s="918"/>
      <c r="O38" s="919"/>
      <c r="P38" s="3752"/>
      <c r="Q38" s="704" t="str">
        <f t="shared" si="11"/>
        <v>建筑档次</v>
      </c>
      <c r="R38" s="705" t="s">
        <v>14</v>
      </c>
      <c r="S38" s="706">
        <f t="shared" si="12"/>
        <v>100</v>
      </c>
      <c r="T38" s="705" t="s">
        <v>14</v>
      </c>
      <c r="U38" s="706">
        <f t="shared" si="13"/>
        <v>102</v>
      </c>
      <c r="V38" s="705" t="s">
        <v>14</v>
      </c>
      <c r="W38" s="706">
        <f t="shared" si="14"/>
        <v>100</v>
      </c>
      <c r="X38" s="707"/>
      <c r="Y38" s="3752"/>
      <c r="Z38" s="708" t="str">
        <f t="shared" si="15"/>
        <v>建筑档次</v>
      </c>
      <c r="AA38" s="1347">
        <f t="shared" si="3"/>
        <v>1</v>
      </c>
      <c r="AB38" s="1347">
        <f t="shared" si="4"/>
        <v>0.98039215686274506</v>
      </c>
      <c r="AC38" s="1347">
        <f t="shared" si="5"/>
        <v>1</v>
      </c>
    </row>
    <row r="39" spans="1:29" ht="15" hidden="1">
      <c r="A39" s="420"/>
      <c r="B39" s="1127">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7"/>
      <c r="M39" s="908"/>
      <c r="N39" s="908"/>
      <c r="O39" s="916"/>
      <c r="P39" s="3752"/>
      <c r="Q39" s="1346">
        <f t="shared" si="11"/>
        <v>111</v>
      </c>
      <c r="R39" s="702" t="s">
        <v>14</v>
      </c>
      <c r="S39" s="703">
        <f t="shared" si="12"/>
        <v>100</v>
      </c>
      <c r="T39" s="702" t="s">
        <v>14</v>
      </c>
      <c r="U39" s="703">
        <f t="shared" si="13"/>
        <v>100</v>
      </c>
      <c r="V39" s="702" t="s">
        <v>14</v>
      </c>
      <c r="W39" s="703">
        <f t="shared" si="14"/>
        <v>100</v>
      </c>
      <c r="X39" s="1349"/>
      <c r="Y39" s="3752"/>
      <c r="Z39" s="1350">
        <f t="shared" si="15"/>
        <v>111</v>
      </c>
      <c r="AA39" s="1347">
        <f t="shared" si="3"/>
        <v>1</v>
      </c>
      <c r="AB39" s="1347">
        <f t="shared" si="4"/>
        <v>1</v>
      </c>
      <c r="AC39" s="1347">
        <f t="shared" si="5"/>
        <v>1</v>
      </c>
    </row>
    <row r="40" spans="1:29" ht="15.75" hidden="1" thickBot="1">
      <c r="A40" s="426"/>
      <c r="B40" s="1889">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7"/>
      <c r="M40" s="908"/>
      <c r="N40" s="908"/>
      <c r="O40" s="916"/>
      <c r="P40" s="3753"/>
      <c r="Q40" s="1346">
        <f t="shared" si="11"/>
        <v>111</v>
      </c>
      <c r="R40" s="702" t="s">
        <v>14</v>
      </c>
      <c r="S40" s="703">
        <f t="shared" si="12"/>
        <v>100</v>
      </c>
      <c r="T40" s="702" t="s">
        <v>14</v>
      </c>
      <c r="U40" s="703">
        <f t="shared" si="13"/>
        <v>100</v>
      </c>
      <c r="V40" s="702" t="s">
        <v>14</v>
      </c>
      <c r="W40" s="703">
        <f t="shared" si="14"/>
        <v>100</v>
      </c>
      <c r="X40" s="1349"/>
      <c r="Y40" s="3753"/>
      <c r="Z40" s="1350">
        <f t="shared" si="15"/>
        <v>111</v>
      </c>
      <c r="AA40" s="1347">
        <f t="shared" si="3"/>
        <v>1</v>
      </c>
      <c r="AB40" s="1347">
        <f t="shared" si="4"/>
        <v>1</v>
      </c>
      <c r="AC40" s="1347">
        <f t="shared" si="5"/>
        <v>1</v>
      </c>
    </row>
    <row r="41" spans="1:29" ht="15">
      <c r="A41" s="427" t="s">
        <v>1708</v>
      </c>
      <c r="B41" s="428"/>
      <c r="C41" s="1148" t="s">
        <v>0</v>
      </c>
      <c r="D41" s="1149"/>
      <c r="E41" s="1150">
        <v>3</v>
      </c>
      <c r="F41" s="1151"/>
      <c r="G41" s="1152">
        <v>2.7</v>
      </c>
      <c r="H41" s="1153"/>
      <c r="I41" s="1150">
        <v>3</v>
      </c>
      <c r="J41" s="1153"/>
      <c r="K41" s="711"/>
      <c r="L41" s="920"/>
      <c r="M41" s="921"/>
      <c r="N41" s="908"/>
      <c r="O41" s="921"/>
      <c r="P41" s="3745" t="str">
        <f>A41</f>
        <v>成交单价（元/平方米）</v>
      </c>
      <c r="Q41" s="3745"/>
      <c r="R41" s="3746">
        <f>E41</f>
        <v>3</v>
      </c>
      <c r="S41" s="3746"/>
      <c r="T41" s="3746">
        <f>G41</f>
        <v>2.7</v>
      </c>
      <c r="U41" s="3746"/>
      <c r="V41" s="3746">
        <f>I41</f>
        <v>3</v>
      </c>
      <c r="W41" s="3746"/>
      <c r="X41" s="687"/>
      <c r="Y41" s="709"/>
      <c r="Z41" s="687"/>
      <c r="AA41" s="687"/>
      <c r="AB41" s="687"/>
      <c r="AC41" s="687"/>
    </row>
    <row r="42" spans="1:29" ht="15.75" thickBot="1">
      <c r="A42" s="434" t="s">
        <v>1793</v>
      </c>
      <c r="B42" s="435"/>
      <c r="C42" s="1154">
        <f>R43</f>
        <v>2.8</v>
      </c>
      <c r="D42" s="2311" t="s">
        <v>2138</v>
      </c>
      <c r="E42" s="1155">
        <f>R42</f>
        <v>2.9</v>
      </c>
      <c r="F42" s="2312"/>
      <c r="G42" s="1154">
        <f>T42</f>
        <v>2.5</v>
      </c>
      <c r="H42" s="2312"/>
      <c r="I42" s="1155">
        <f>V42</f>
        <v>2.9</v>
      </c>
      <c r="J42" s="2312"/>
      <c r="K42" s="2314">
        <f>F42+H42+J42</f>
        <v>0</v>
      </c>
      <c r="L42" s="920"/>
      <c r="M42" s="921"/>
      <c r="N42" s="908"/>
      <c r="O42" s="921"/>
      <c r="P42" s="3745" t="str">
        <f>A42</f>
        <v>比较价值（元/平方米）</v>
      </c>
      <c r="Q42" s="3745"/>
      <c r="R42" s="3746">
        <f>IF(F1="售价",ROUND(PRODUCT(R41,AA7:AA40),0),ROUND(PRODUCT(R41,AA7:AA40),1))</f>
        <v>2.9</v>
      </c>
      <c r="S42" s="3746"/>
      <c r="T42" s="3746">
        <f>IF(F1="售价",ROUND(PRODUCT(T41,AB7:AB40),0),ROUND(PRODUCT(T41,AB7:AB40),1))</f>
        <v>2.5</v>
      </c>
      <c r="U42" s="3746"/>
      <c r="V42" s="3746">
        <f>IF(F1="售价",ROUND(PRODUCT(V41,AC7:AC40),0),ROUND(PRODUCT(V41,AC7:AC40),1))</f>
        <v>2.9</v>
      </c>
      <c r="W42" s="3746"/>
      <c r="X42" s="687"/>
      <c r="Y42" s="687"/>
      <c r="Z42" s="687"/>
      <c r="AA42" s="687"/>
      <c r="AB42" s="687"/>
      <c r="AC42" s="687"/>
    </row>
    <row r="43" spans="1:29" ht="15.75" thickBot="1">
      <c r="A43" s="438" t="s">
        <v>1794</v>
      </c>
      <c r="B43" s="439"/>
      <c r="C43" s="1157">
        <f>R43</f>
        <v>2.8</v>
      </c>
      <c r="D43" s="1157"/>
      <c r="E43" s="1157"/>
      <c r="F43" s="1157"/>
      <c r="G43" s="1157"/>
      <c r="H43" s="1157"/>
      <c r="I43" s="1157"/>
      <c r="J43" s="1157"/>
      <c r="K43" s="712"/>
      <c r="L43" s="920"/>
      <c r="M43" s="921"/>
      <c r="N43" s="921"/>
      <c r="O43" s="921"/>
      <c r="P43" s="3742" t="str">
        <f>A43</f>
        <v>估价对象XX用房的比较价值（楼面单价，元/平方米）</v>
      </c>
      <c r="Q43" s="3743"/>
      <c r="R43" s="3744">
        <f>IF(F1="售价",ROUND(IF(D42="简单平均",AVERAGE(R42:V42),R42*F42+T42*H42+V42*J42),0),ROUND(IF(D42="简单平均",AVERAGE(R42:V42),R42*F42+T42*H42+V42*J42),1))</f>
        <v>2.8</v>
      </c>
      <c r="S43" s="3744"/>
      <c r="T43" s="3744"/>
      <c r="U43" s="3744"/>
      <c r="V43" s="3744"/>
      <c r="W43" s="3744"/>
      <c r="X43" s="687"/>
      <c r="Y43" s="687"/>
      <c r="Z43" s="687"/>
      <c r="AA43" s="687"/>
      <c r="AB43" s="687"/>
      <c r="AC43" s="687"/>
    </row>
    <row r="44" spans="1:29">
      <c r="A44" s="3489" t="s">
        <v>3466</v>
      </c>
      <c r="B44" s="3489" t="s">
        <v>3467</v>
      </c>
      <c r="C44" s="2719"/>
      <c r="D44" s="2719"/>
      <c r="E44" s="2719"/>
      <c r="F44" s="2719"/>
      <c r="G44" s="2723"/>
      <c r="H44" s="2719"/>
      <c r="I44" s="2719"/>
      <c r="J44" s="2719"/>
      <c r="K44" s="2724"/>
      <c r="L44" s="883"/>
      <c r="M44" s="921"/>
      <c r="N44" s="921"/>
      <c r="O44" s="921"/>
    </row>
    <row r="45" spans="1:29">
      <c r="A45" s="2719">
        <f>'数据-基础表'!I16</f>
        <v>6912.69</v>
      </c>
      <c r="B45" s="2719">
        <f>C43</f>
        <v>2.8</v>
      </c>
      <c r="C45" s="2719"/>
      <c r="D45" s="2719"/>
      <c r="E45" s="2719"/>
      <c r="F45" s="2719"/>
      <c r="G45" s="2719"/>
      <c r="H45" s="2719"/>
      <c r="I45" s="2719"/>
      <c r="J45" s="2719"/>
      <c r="K45" s="2724"/>
      <c r="L45" s="883"/>
      <c r="M45" s="921"/>
      <c r="N45" s="921"/>
      <c r="O45" s="921"/>
    </row>
    <row r="46" spans="1:29" ht="13.5" customHeight="1">
      <c r="A46" s="2719">
        <f>'数据-基础表'!K16</f>
        <v>309.64</v>
      </c>
      <c r="B46" s="2719">
        <v>0.5</v>
      </c>
      <c r="C46" s="443" t="s">
        <v>1795</v>
      </c>
      <c r="D46" s="444"/>
      <c r="E46" s="445">
        <f>IF(E41&lt;E42,E42/E41-1,E41/E42-1)</f>
        <v>3.4482758620689724E-2</v>
      </c>
      <c r="F46" s="446" t="str">
        <f>IF(OR(E46&gt;=0.3,E46&lt;=-0.3),"超过30%","")</f>
        <v/>
      </c>
      <c r="G46" s="445">
        <f>IF(G41&lt;G42,G42/G41-1,G41/G42-1)</f>
        <v>8.0000000000000071E-2</v>
      </c>
      <c r="H46" s="446" t="str">
        <f>IF(OR(G46&gt;=0.3,G46&lt;=-0.3),"超过30%","")</f>
        <v/>
      </c>
      <c r="I46" s="445">
        <f>IF(I41&lt;I42,I42/I41-1,I41/I42-1)</f>
        <v>3.4482758620689724E-2</v>
      </c>
      <c r="J46" s="446" t="str">
        <f>IF(OR(I46&gt;=0.3,I46&lt;=-0.3),"超过30%","")</f>
        <v/>
      </c>
      <c r="K46" s="2724"/>
      <c r="L46" s="883"/>
      <c r="M46" s="921"/>
      <c r="N46" s="921"/>
      <c r="O46" s="921"/>
    </row>
    <row r="47" spans="1:29" ht="13.5" customHeight="1">
      <c r="A47" s="2719"/>
      <c r="B47" s="2719">
        <f>ROUND((A45*B45+A46*B46)/(A45+A46),1)</f>
        <v>2.7</v>
      </c>
      <c r="C47" s="443" t="s">
        <v>1796</v>
      </c>
      <c r="D47" s="447"/>
      <c r="E47" s="445">
        <f>IF(E42&lt;G42,G42/E42-1,E42/G42-1)</f>
        <v>0.15999999999999992</v>
      </c>
      <c r="F47" s="446" t="str">
        <f>IF(OR(E47&gt;=0.2,E47&lt;=-0.2),"超过20%","")</f>
        <v/>
      </c>
      <c r="G47" s="445">
        <f>IF(G42&lt;I42,I42/G42-1,G42/I42-1)</f>
        <v>0.15999999999999992</v>
      </c>
      <c r="H47" s="446" t="str">
        <f>IF(OR(G47&gt;=0.2,G47&lt;=-0.2),"超过20%","")</f>
        <v/>
      </c>
      <c r="I47" s="445">
        <f>IF(I42&lt;E42,E42/I42-1,I42/E42-1)</f>
        <v>0</v>
      </c>
      <c r="J47" s="446" t="str">
        <f>IF(OR(I47&gt;=0.2,I47&lt;=-0.2),"超过20%","")</f>
        <v/>
      </c>
      <c r="K47" s="2724"/>
      <c r="L47" s="883"/>
      <c r="M47" s="921"/>
      <c r="N47" s="921"/>
      <c r="O47" s="921"/>
    </row>
    <row r="48" spans="1:29" s="448" customFormat="1" ht="13.5" customHeight="1">
      <c r="A48" s="2722"/>
      <c r="B48" s="2722"/>
      <c r="C48" s="443" t="s">
        <v>1797</v>
      </c>
      <c r="D48" s="447"/>
      <c r="E48" s="445">
        <f>IF(E41&lt;G41,G41/E41-1,E41/G41-1)</f>
        <v>0.11111111111111094</v>
      </c>
      <c r="F48" s="446" t="str">
        <f>IF(OR(E48&gt;=0.3,E48&lt;=-0.3),"超过30%","")</f>
        <v/>
      </c>
      <c r="G48" s="445">
        <f>IF(G41&lt;I41,I41/G41-1,G41/I41-1)</f>
        <v>0.11111111111111094</v>
      </c>
      <c r="H48" s="446" t="str">
        <f>IF(OR(G48&gt;=0.3,G48&lt;=-0.3),"超过30%","")</f>
        <v/>
      </c>
      <c r="I48" s="445">
        <f>IF(I41&lt;E41,E41/I41-1,I41/E41-1)</f>
        <v>0</v>
      </c>
      <c r="J48" s="446" t="str">
        <f>IF(OR(I48&gt;=0.3,I48&lt;=-0.3),"超过30%","")</f>
        <v/>
      </c>
      <c r="K48" s="2727"/>
      <c r="L48" s="924"/>
      <c r="M48" s="922"/>
      <c r="N48" s="922"/>
      <c r="O48" s="922"/>
    </row>
    <row r="49" spans="1:17" s="448"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91" t="s">
        <v>1798</v>
      </c>
      <c r="B51" s="687"/>
      <c r="C51" s="692"/>
      <c r="D51" s="692"/>
      <c r="E51" s="692"/>
      <c r="F51" s="693"/>
      <c r="G51" s="693"/>
      <c r="H51" s="692"/>
      <c r="I51" s="692"/>
      <c r="J51" s="692"/>
      <c r="K51" s="935"/>
      <c r="L51" s="936"/>
      <c r="M51" s="934"/>
      <c r="N51" s="934"/>
      <c r="O51" s="934"/>
      <c r="P51" s="449"/>
      <c r="Q51" s="450"/>
    </row>
    <row r="52" spans="1:17" s="454" customFormat="1" ht="15">
      <c r="A52" s="451" t="s">
        <v>1679</v>
      </c>
      <c r="B52" s="452"/>
      <c r="C52" s="1178" t="str">
        <f>YEAR(C7)&amp;"-"&amp;MONTH(C7)</f>
        <v>2024-9</v>
      </c>
      <c r="D52" s="1179">
        <f>EDATE(C52,-1)</f>
        <v>45505</v>
      </c>
      <c r="E52" s="1179">
        <f t="shared" ref="E52:O52" si="16">EDATE(D52,-1)</f>
        <v>45474</v>
      </c>
      <c r="F52" s="1179">
        <f t="shared" si="16"/>
        <v>45444</v>
      </c>
      <c r="G52" s="1179">
        <f t="shared" si="16"/>
        <v>45413</v>
      </c>
      <c r="H52" s="1179">
        <f t="shared" si="16"/>
        <v>45383</v>
      </c>
      <c r="I52" s="1179">
        <f t="shared" si="16"/>
        <v>45352</v>
      </c>
      <c r="J52" s="1179">
        <f t="shared" si="16"/>
        <v>45323</v>
      </c>
      <c r="K52" s="1179">
        <f t="shared" si="16"/>
        <v>45292</v>
      </c>
      <c r="L52" s="1179">
        <f t="shared" si="16"/>
        <v>45261</v>
      </c>
      <c r="M52" s="1179">
        <f t="shared" si="16"/>
        <v>45231</v>
      </c>
      <c r="N52" s="1179">
        <f t="shared" si="16"/>
        <v>45200</v>
      </c>
      <c r="O52" s="1179">
        <f t="shared" si="16"/>
        <v>45170</v>
      </c>
      <c r="P52" s="453"/>
    </row>
    <row r="53" spans="1:17" s="105" customFormat="1" ht="15">
      <c r="A53" s="455"/>
      <c r="B53" s="456"/>
      <c r="C53" s="1177">
        <v>100</v>
      </c>
      <c r="D53" s="458"/>
      <c r="E53" s="458"/>
      <c r="F53" s="458"/>
      <c r="G53" s="458"/>
      <c r="H53" s="458"/>
      <c r="I53" s="458"/>
      <c r="J53" s="458"/>
      <c r="K53" s="458"/>
      <c r="L53" s="458"/>
      <c r="M53" s="459"/>
      <c r="N53" s="458"/>
      <c r="O53" s="460"/>
      <c r="P53" s="450"/>
    </row>
    <row r="54" spans="1:17" s="105" customFormat="1" ht="15.75" thickBot="1">
      <c r="A54" s="461" t="s">
        <v>1716</v>
      </c>
      <c r="B54" s="462"/>
      <c r="C54" s="463"/>
      <c r="D54" s="464"/>
      <c r="E54" s="464"/>
      <c r="F54" s="464"/>
      <c r="G54" s="464"/>
      <c r="H54" s="464"/>
      <c r="I54" s="464"/>
      <c r="J54" s="464"/>
      <c r="K54" s="464"/>
      <c r="L54" s="464"/>
      <c r="M54" s="465"/>
      <c r="N54" s="2764"/>
      <c r="O54" s="2765"/>
      <c r="P54" s="450"/>
      <c r="Q54" s="450"/>
    </row>
    <row r="55" spans="1:17" s="105" customFormat="1" ht="15">
      <c r="A55" s="467" t="s">
        <v>1681</v>
      </c>
      <c r="B55" s="456"/>
      <c r="C55" s="468" t="s">
        <v>1776</v>
      </c>
      <c r="D55" s="3477" t="s">
        <v>3425</v>
      </c>
      <c r="E55" s="469"/>
      <c r="F55" s="469"/>
      <c r="G55" s="469"/>
      <c r="H55" s="469"/>
      <c r="I55" s="469"/>
      <c r="J55" s="469"/>
      <c r="K55" s="469"/>
      <c r="L55" s="470"/>
      <c r="M55" s="471"/>
      <c r="N55" s="926"/>
      <c r="O55" s="926"/>
      <c r="P55" s="472"/>
      <c r="Q55" s="450"/>
    </row>
    <row r="56" spans="1:17" s="105" customFormat="1" ht="15.75" thickBot="1">
      <c r="A56" s="467"/>
      <c r="B56" s="456"/>
      <c r="C56" s="584">
        <v>100</v>
      </c>
      <c r="D56" s="458">
        <v>105</v>
      </c>
      <c r="E56" s="458"/>
      <c r="F56" s="458"/>
      <c r="G56" s="458"/>
      <c r="H56" s="458"/>
      <c r="I56" s="458"/>
      <c r="J56" s="458"/>
      <c r="K56" s="458"/>
      <c r="L56" s="458"/>
      <c r="M56" s="460"/>
      <c r="N56" s="926"/>
      <c r="O56" s="926"/>
      <c r="P56" s="450"/>
      <c r="Q56" s="450"/>
    </row>
    <row r="57" spans="1:17">
      <c r="A57" s="473" t="s">
        <v>1719</v>
      </c>
      <c r="B57" s="474" t="s">
        <v>1685</v>
      </c>
      <c r="C57" s="475" t="str">
        <f>C9</f>
        <v>工业研发</v>
      </c>
      <c r="D57" s="476"/>
      <c r="E57" s="476"/>
      <c r="F57" s="476"/>
      <c r="G57" s="476"/>
      <c r="H57" s="476"/>
      <c r="I57" s="476"/>
      <c r="J57" s="476"/>
      <c r="K57" s="477"/>
      <c r="L57" s="478"/>
      <c r="M57" s="479"/>
      <c r="N57" s="927"/>
      <c r="O57" s="927"/>
      <c r="P57" s="42"/>
      <c r="Q57" s="450"/>
    </row>
    <row r="58" spans="1:17" ht="15.75" thickBot="1">
      <c r="A58" s="480"/>
      <c r="B58" s="481"/>
      <c r="C58" s="482">
        <v>100</v>
      </c>
      <c r="D58" s="482"/>
      <c r="E58" s="482"/>
      <c r="F58" s="482"/>
      <c r="G58" s="482"/>
      <c r="H58" s="482"/>
      <c r="I58" s="482"/>
      <c r="J58" s="482"/>
      <c r="K58" s="482"/>
      <c r="L58" s="482"/>
      <c r="M58" s="483"/>
      <c r="N58" s="928"/>
      <c r="O58" s="928"/>
      <c r="P58" s="42"/>
      <c r="Q58" s="450"/>
    </row>
    <row r="59" spans="1:17" ht="27.75" thickTop="1">
      <c r="A59" s="480"/>
      <c r="B59" s="484" t="s">
        <v>1688</v>
      </c>
      <c r="C59" s="529"/>
      <c r="D59" s="529"/>
      <c r="E59" s="529"/>
      <c r="F59" s="529"/>
      <c r="G59" s="529"/>
      <c r="H59" s="529"/>
      <c r="I59" s="529"/>
      <c r="J59" s="529"/>
      <c r="K59" s="530"/>
      <c r="L59" s="531"/>
      <c r="M59" s="532"/>
      <c r="N59" s="927"/>
      <c r="O59" s="927"/>
      <c r="P59" s="42"/>
      <c r="Q59" s="450"/>
    </row>
    <row r="60" spans="1:17" ht="15.75" thickBot="1">
      <c r="A60" s="480"/>
      <c r="B60" s="489"/>
      <c r="C60" s="482"/>
      <c r="D60" s="482"/>
      <c r="E60" s="482"/>
      <c r="F60" s="482"/>
      <c r="G60" s="482"/>
      <c r="H60" s="482"/>
      <c r="I60" s="482"/>
      <c r="J60" s="482"/>
      <c r="K60" s="482"/>
      <c r="L60" s="482"/>
      <c r="M60" s="483"/>
      <c r="N60" s="928"/>
      <c r="O60" s="928"/>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8"/>
      <c r="O61" s="928"/>
      <c r="P61" s="42"/>
      <c r="Q61" s="450"/>
    </row>
    <row r="62" spans="1:17" ht="15">
      <c r="A62" s="480"/>
      <c r="B62" s="494"/>
      <c r="C62" s="495">
        <v>0</v>
      </c>
      <c r="D62" s="495">
        <v>2</v>
      </c>
      <c r="E62" s="495"/>
      <c r="F62" s="495"/>
      <c r="G62" s="495"/>
      <c r="H62" s="495"/>
      <c r="I62" s="495"/>
      <c r="J62" s="495"/>
      <c r="K62" s="496"/>
      <c r="L62" s="497"/>
      <c r="M62" s="498"/>
      <c r="N62" s="927"/>
      <c r="O62" s="927"/>
      <c r="P62" s="42"/>
      <c r="Q62" s="450"/>
    </row>
    <row r="63" spans="1:17" ht="15.75" thickBot="1">
      <c r="A63" s="480"/>
      <c r="B63" s="481"/>
      <c r="C63" s="490">
        <v>100</v>
      </c>
      <c r="D63" s="490">
        <f t="shared" ref="D63:M63" si="18">C63-$K11</f>
        <v>98</v>
      </c>
      <c r="E63" s="490">
        <f t="shared" si="18"/>
        <v>96</v>
      </c>
      <c r="F63" s="490">
        <f t="shared" si="18"/>
        <v>94</v>
      </c>
      <c r="G63" s="490">
        <f t="shared" si="18"/>
        <v>92</v>
      </c>
      <c r="H63" s="490">
        <f t="shared" si="18"/>
        <v>90</v>
      </c>
      <c r="I63" s="490">
        <f t="shared" si="18"/>
        <v>88</v>
      </c>
      <c r="J63" s="490">
        <f t="shared" si="18"/>
        <v>86</v>
      </c>
      <c r="K63" s="490">
        <f t="shared" si="18"/>
        <v>84</v>
      </c>
      <c r="L63" s="490">
        <f t="shared" si="18"/>
        <v>82</v>
      </c>
      <c r="M63" s="491">
        <f t="shared" si="18"/>
        <v>80</v>
      </c>
      <c r="N63" s="928"/>
      <c r="O63" s="928"/>
      <c r="P63" s="42"/>
      <c r="Q63" s="450"/>
    </row>
    <row r="64" spans="1:17" s="419" customFormat="1" ht="15.75" thickTop="1">
      <c r="A64" s="499"/>
      <c r="B64" s="484">
        <f>B12</f>
        <v>111</v>
      </c>
      <c r="C64" s="500"/>
      <c r="D64" s="500"/>
      <c r="E64" s="500"/>
      <c r="F64" s="500"/>
      <c r="G64" s="500"/>
      <c r="H64" s="501"/>
      <c r="I64" s="501"/>
      <c r="J64" s="501"/>
      <c r="K64" s="501"/>
      <c r="L64" s="502"/>
      <c r="M64" s="503"/>
      <c r="N64" s="929"/>
      <c r="O64" s="929"/>
      <c r="P64" s="504"/>
      <c r="Q64" s="505"/>
    </row>
    <row r="65" spans="1:17" s="419" customFormat="1" ht="15.75" thickBot="1">
      <c r="A65" s="499"/>
      <c r="B65" s="489"/>
      <c r="C65" s="506"/>
      <c r="D65" s="482"/>
      <c r="E65" s="482"/>
      <c r="F65" s="482"/>
      <c r="G65" s="482"/>
      <c r="H65" s="482"/>
      <c r="I65" s="482"/>
      <c r="J65" s="482"/>
      <c r="K65" s="482"/>
      <c r="L65" s="482"/>
      <c r="M65" s="483"/>
      <c r="N65" s="928"/>
      <c r="O65" s="928"/>
      <c r="P65" s="504"/>
      <c r="Q65" s="505"/>
    </row>
    <row r="66" spans="1:17" s="419" customFormat="1" ht="15.75" thickTop="1">
      <c r="A66" s="499"/>
      <c r="B66" s="484">
        <f>B13</f>
        <v>111</v>
      </c>
      <c r="C66" s="500"/>
      <c r="D66" s="500"/>
      <c r="E66" s="500"/>
      <c r="F66" s="500"/>
      <c r="G66" s="500"/>
      <c r="H66" s="501"/>
      <c r="I66" s="501"/>
      <c r="J66" s="501"/>
      <c r="K66" s="501"/>
      <c r="L66" s="502"/>
      <c r="M66" s="503"/>
      <c r="N66" s="929"/>
      <c r="O66" s="929"/>
      <c r="P66" s="418"/>
      <c r="Q66" s="507"/>
    </row>
    <row r="67" spans="1:17" s="419" customFormat="1" ht="15.75" thickBot="1">
      <c r="A67" s="499"/>
      <c r="B67" s="489"/>
      <c r="C67" s="506"/>
      <c r="D67" s="482"/>
      <c r="E67" s="482"/>
      <c r="F67" s="482"/>
      <c r="G67" s="506"/>
      <c r="H67" s="508"/>
      <c r="I67" s="508"/>
      <c r="J67" s="508"/>
      <c r="K67" s="508"/>
      <c r="L67" s="508"/>
      <c r="M67" s="509"/>
      <c r="N67" s="929"/>
      <c r="O67" s="929"/>
      <c r="P67" s="504"/>
      <c r="Q67" s="505"/>
    </row>
    <row r="68" spans="1:17" s="419" customFormat="1" ht="15.75" thickTop="1">
      <c r="A68" s="499"/>
      <c r="B68" s="492">
        <f>B14</f>
        <v>111</v>
      </c>
      <c r="C68" s="469"/>
      <c r="D68" s="469"/>
      <c r="E68" s="469"/>
      <c r="F68" s="469"/>
      <c r="G68" s="469"/>
      <c r="H68" s="510"/>
      <c r="I68" s="510"/>
      <c r="J68" s="510"/>
      <c r="K68" s="510"/>
      <c r="L68" s="511"/>
      <c r="M68" s="512"/>
      <c r="N68" s="929"/>
      <c r="O68" s="929"/>
      <c r="P68" s="513"/>
      <c r="Q68" s="505"/>
    </row>
    <row r="69" spans="1:17" s="419" customFormat="1" ht="15.75" thickBot="1">
      <c r="A69" s="514"/>
      <c r="B69" s="515"/>
      <c r="C69" s="516"/>
      <c r="D69" s="516"/>
      <c r="E69" s="516"/>
      <c r="F69" s="516"/>
      <c r="G69" s="516"/>
      <c r="H69" s="517"/>
      <c r="I69" s="517"/>
      <c r="J69" s="517"/>
      <c r="K69" s="517"/>
      <c r="L69" s="517"/>
      <c r="M69" s="518"/>
      <c r="N69" s="929"/>
      <c r="O69" s="929"/>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7"/>
      <c r="O70" s="927"/>
      <c r="P70" s="523"/>
      <c r="Q70" s="450"/>
    </row>
    <row r="71" spans="1:17" ht="15.75" thickBot="1">
      <c r="A71" s="480"/>
      <c r="B71" s="489"/>
      <c r="C71" s="490">
        <v>100</v>
      </c>
      <c r="D71" s="490">
        <f>C71-$K15</f>
        <v>98</v>
      </c>
      <c r="E71" s="490">
        <f>D71-$K15</f>
        <v>96</v>
      </c>
      <c r="F71" s="490">
        <f>E71-$K15</f>
        <v>94</v>
      </c>
      <c r="G71" s="490">
        <f>F71-$K15</f>
        <v>92</v>
      </c>
      <c r="H71" s="490"/>
      <c r="I71" s="490"/>
      <c r="J71" s="490"/>
      <c r="K71" s="490"/>
      <c r="L71" s="490"/>
      <c r="M71" s="491"/>
      <c r="N71" s="928"/>
      <c r="O71" s="928"/>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7"/>
      <c r="O72" s="927"/>
      <c r="P72" s="42"/>
      <c r="Q72" s="450"/>
    </row>
    <row r="73" spans="1:17" ht="15.75" thickBot="1">
      <c r="A73" s="480"/>
      <c r="B73" s="489"/>
      <c r="C73" s="490">
        <v>100</v>
      </c>
      <c r="D73" s="490">
        <f>C73-$K17</f>
        <v>98</v>
      </c>
      <c r="E73" s="490">
        <f>D73-$K17</f>
        <v>96</v>
      </c>
      <c r="F73" s="490">
        <f>E73-$K17</f>
        <v>94</v>
      </c>
      <c r="G73" s="490">
        <f>F73-$K17</f>
        <v>92</v>
      </c>
      <c r="H73" s="490"/>
      <c r="I73" s="490"/>
      <c r="J73" s="490"/>
      <c r="K73" s="490"/>
      <c r="L73" s="490"/>
      <c r="M73" s="491"/>
      <c r="N73" s="928"/>
      <c r="O73" s="928"/>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7"/>
      <c r="O74" s="927"/>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8"/>
      <c r="O75" s="928"/>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3"/>
      <c r="N76" s="928"/>
      <c r="O76" s="928"/>
      <c r="P76" s="42"/>
      <c r="Q76" s="450"/>
    </row>
    <row r="77" spans="1:17" ht="15.75" thickBot="1">
      <c r="A77" s="480"/>
      <c r="B77" s="492"/>
      <c r="C77" s="490">
        <v>100</v>
      </c>
      <c r="D77" s="490">
        <f>C77-$K21</f>
        <v>98</v>
      </c>
      <c r="E77" s="490">
        <f>D77-$K21</f>
        <v>96</v>
      </c>
      <c r="F77" s="490">
        <f>E77-$K21</f>
        <v>94</v>
      </c>
      <c r="G77" s="490">
        <f>F77-$K21</f>
        <v>92</v>
      </c>
      <c r="H77" s="605"/>
      <c r="I77" s="605"/>
      <c r="J77" s="605"/>
      <c r="K77" s="605"/>
      <c r="L77" s="605"/>
      <c r="M77" s="398"/>
      <c r="N77" s="928"/>
      <c r="O77" s="928"/>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7"/>
      <c r="O78" s="927"/>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8"/>
      <c r="O79" s="928"/>
      <c r="P79" s="42"/>
      <c r="Q79" s="450"/>
    </row>
    <row r="80" spans="1:17" s="105" customFormat="1" ht="15.75" thickTop="1">
      <c r="A80" s="525"/>
      <c r="B80" s="484">
        <f>B25</f>
        <v>111</v>
      </c>
      <c r="C80" s="500"/>
      <c r="D80" s="500"/>
      <c r="E80" s="500"/>
      <c r="F80" s="500"/>
      <c r="G80" s="500"/>
      <c r="H80" s="500"/>
      <c r="I80" s="500"/>
      <c r="J80" s="500"/>
      <c r="K80" s="500"/>
      <c r="L80" s="526"/>
      <c r="M80" s="527"/>
      <c r="N80" s="926"/>
      <c r="O80" s="926"/>
      <c r="P80" s="42"/>
      <c r="Q80" s="450"/>
    </row>
    <row r="81" spans="1:17" s="105" customFormat="1" ht="15.75" thickBot="1">
      <c r="A81" s="525"/>
      <c r="B81" s="489"/>
      <c r="C81" s="506"/>
      <c r="D81" s="482"/>
      <c r="E81" s="482"/>
      <c r="F81" s="482"/>
      <c r="G81" s="482"/>
      <c r="H81" s="482"/>
      <c r="I81" s="482"/>
      <c r="J81" s="482"/>
      <c r="K81" s="482"/>
      <c r="L81" s="482"/>
      <c r="M81" s="483"/>
      <c r="N81" s="928"/>
      <c r="O81" s="928"/>
      <c r="P81" s="42"/>
      <c r="Q81" s="450"/>
    </row>
    <row r="82" spans="1:17" s="105" customFormat="1" ht="15.75" thickTop="1">
      <c r="A82" s="525"/>
      <c r="B82" s="484">
        <f>B26</f>
        <v>111</v>
      </c>
      <c r="C82" s="500"/>
      <c r="D82" s="500"/>
      <c r="E82" s="500"/>
      <c r="F82" s="500"/>
      <c r="G82" s="500"/>
      <c r="H82" s="500"/>
      <c r="I82" s="500"/>
      <c r="J82" s="500"/>
      <c r="K82" s="500"/>
      <c r="L82" s="526"/>
      <c r="M82" s="527"/>
      <c r="N82" s="926"/>
      <c r="O82" s="926"/>
      <c r="P82" s="42"/>
      <c r="Q82" s="450"/>
    </row>
    <row r="83" spans="1:17" s="105" customFormat="1" ht="15.75" thickBot="1">
      <c r="A83" s="525"/>
      <c r="B83" s="489"/>
      <c r="C83" s="506"/>
      <c r="D83" s="482"/>
      <c r="E83" s="482"/>
      <c r="F83" s="482"/>
      <c r="G83" s="482"/>
      <c r="H83" s="482"/>
      <c r="I83" s="482"/>
      <c r="J83" s="482"/>
      <c r="K83" s="482"/>
      <c r="L83" s="482"/>
      <c r="M83" s="483"/>
      <c r="N83" s="928"/>
      <c r="O83" s="928"/>
      <c r="P83" s="42"/>
      <c r="Q83" s="450"/>
    </row>
    <row r="84" spans="1:17" s="419" customFormat="1" ht="15.75" thickTop="1">
      <c r="A84" s="499"/>
      <c r="B84" s="484">
        <f>B27</f>
        <v>111</v>
      </c>
      <c r="C84" s="500"/>
      <c r="D84" s="500"/>
      <c r="E84" s="500"/>
      <c r="F84" s="500"/>
      <c r="G84" s="500"/>
      <c r="H84" s="500"/>
      <c r="I84" s="500"/>
      <c r="J84" s="500"/>
      <c r="K84" s="500"/>
      <c r="L84" s="526"/>
      <c r="M84" s="527"/>
      <c r="N84" s="929"/>
      <c r="O84" s="929"/>
      <c r="P84" s="504"/>
      <c r="Q84" s="505"/>
    </row>
    <row r="85" spans="1:17" s="419" customFormat="1" ht="15.75" thickBot="1">
      <c r="A85" s="499"/>
      <c r="B85" s="489"/>
      <c r="C85" s="506"/>
      <c r="D85" s="482"/>
      <c r="E85" s="482"/>
      <c r="F85" s="482"/>
      <c r="G85" s="482"/>
      <c r="H85" s="482"/>
      <c r="I85" s="482"/>
      <c r="J85" s="482"/>
      <c r="K85" s="482"/>
      <c r="L85" s="482"/>
      <c r="M85" s="483"/>
      <c r="N85" s="929"/>
      <c r="O85" s="929"/>
      <c r="P85" s="504"/>
      <c r="Q85" s="505"/>
    </row>
    <row r="86" spans="1:17" ht="15.75" thickTop="1">
      <c r="A86" s="480"/>
      <c r="B86" s="492">
        <f>B28</f>
        <v>111</v>
      </c>
      <c r="C86" s="469"/>
      <c r="D86" s="469"/>
      <c r="E86" s="469"/>
      <c r="F86" s="469"/>
      <c r="G86" s="533"/>
      <c r="H86" s="533"/>
      <c r="I86" s="533"/>
      <c r="J86" s="533"/>
      <c r="K86" s="534"/>
      <c r="L86" s="535"/>
      <c r="M86" s="536"/>
      <c r="N86" s="927"/>
      <c r="O86" s="927"/>
      <c r="P86" s="42"/>
      <c r="Q86" s="450"/>
    </row>
    <row r="87" spans="1:17" ht="15.75" thickBot="1">
      <c r="A87" s="1922"/>
      <c r="B87" s="515"/>
      <c r="C87" s="516"/>
      <c r="D87" s="516"/>
      <c r="E87" s="516"/>
      <c r="F87" s="516"/>
      <c r="G87" s="537"/>
      <c r="H87" s="537"/>
      <c r="I87" s="537"/>
      <c r="J87" s="537"/>
      <c r="K87" s="537"/>
      <c r="L87" s="537"/>
      <c r="M87" s="538"/>
      <c r="N87" s="928"/>
      <c r="O87" s="928"/>
      <c r="P87" s="42"/>
      <c r="Q87" s="450"/>
    </row>
    <row r="88" spans="1:17">
      <c r="A88" s="473" t="s">
        <v>1694</v>
      </c>
      <c r="B88" s="474" t="s">
        <v>1736</v>
      </c>
      <c r="C88" s="3478" t="s">
        <v>3426</v>
      </c>
      <c r="D88" s="476"/>
      <c r="E88" s="476"/>
      <c r="F88" s="476"/>
      <c r="G88" s="476"/>
      <c r="H88" s="476"/>
      <c r="I88" s="476"/>
      <c r="J88" s="476"/>
      <c r="K88" s="477"/>
      <c r="L88" s="478"/>
      <c r="M88" s="479"/>
      <c r="N88" s="927"/>
      <c r="O88" s="927"/>
      <c r="P88" s="42"/>
      <c r="Q88" s="450"/>
    </row>
    <row r="89" spans="1:17" ht="15.75" thickBot="1">
      <c r="A89" s="480"/>
      <c r="B89" s="489"/>
      <c r="C89" s="490">
        <v>100</v>
      </c>
      <c r="D89" s="490">
        <f t="shared" ref="D89:M89" si="19">C89-$K29</f>
        <v>90</v>
      </c>
      <c r="E89" s="490">
        <f t="shared" si="19"/>
        <v>80</v>
      </c>
      <c r="F89" s="490">
        <f t="shared" si="19"/>
        <v>70</v>
      </c>
      <c r="G89" s="490">
        <f t="shared" si="19"/>
        <v>60</v>
      </c>
      <c r="H89" s="490">
        <f t="shared" si="19"/>
        <v>50</v>
      </c>
      <c r="I89" s="490">
        <f t="shared" si="19"/>
        <v>40</v>
      </c>
      <c r="J89" s="490">
        <f t="shared" si="19"/>
        <v>30</v>
      </c>
      <c r="K89" s="490">
        <f t="shared" si="19"/>
        <v>20</v>
      </c>
      <c r="L89" s="490">
        <f t="shared" si="19"/>
        <v>10</v>
      </c>
      <c r="M89" s="491">
        <f t="shared" si="19"/>
        <v>0</v>
      </c>
      <c r="N89" s="928"/>
      <c r="O89" s="928"/>
      <c r="P89" s="42"/>
      <c r="Q89" s="450"/>
    </row>
    <row r="90" spans="1:17" ht="29.25" thickTop="1">
      <c r="A90" s="480"/>
      <c r="B90" s="484" t="s">
        <v>1737</v>
      </c>
      <c r="C90" s="524" t="str">
        <f>C91&amp;"(含)"&amp;"-"&amp;D91</f>
        <v>0(含)-2000</v>
      </c>
      <c r="D90" s="524" t="str">
        <f t="shared" ref="D90:L90" si="20">D91&amp;"(含)"&amp;"-"&amp;E91</f>
        <v>2000(含)-4000</v>
      </c>
      <c r="E90" s="524" t="str">
        <f t="shared" si="20"/>
        <v>4000(含)-6000</v>
      </c>
      <c r="F90" s="524" t="str">
        <f t="shared" si="20"/>
        <v>6000(含)-8000</v>
      </c>
      <c r="G90" s="524" t="str">
        <f t="shared" si="20"/>
        <v>8000(含)-10000</v>
      </c>
      <c r="H90" s="524" t="str">
        <f t="shared" si="20"/>
        <v>10000(含)-12000</v>
      </c>
      <c r="I90" s="524" t="str">
        <f t="shared" si="20"/>
        <v>12000(含)-</v>
      </c>
      <c r="J90" s="524" t="str">
        <f t="shared" si="20"/>
        <v>(含)-</v>
      </c>
      <c r="K90" s="524" t="str">
        <f t="shared" si="20"/>
        <v>(含)-</v>
      </c>
      <c r="L90" s="524" t="str">
        <f t="shared" si="20"/>
        <v>(含)-</v>
      </c>
      <c r="M90" s="567" t="str">
        <f>M91&amp;"(含)"&amp;"-"&amp;P91</f>
        <v>(含)-</v>
      </c>
      <c r="N90" s="926"/>
      <c r="O90" s="926"/>
      <c r="P90" s="42"/>
      <c r="Q90" s="450"/>
    </row>
    <row r="91" spans="1:17" s="419" customFormat="1">
      <c r="A91" s="539"/>
      <c r="B91" s="540"/>
      <c r="C91" s="541">
        <v>0</v>
      </c>
      <c r="D91" s="541">
        <v>2000</v>
      </c>
      <c r="E91" s="541">
        <v>4000</v>
      </c>
      <c r="F91" s="541">
        <v>6000</v>
      </c>
      <c r="G91" s="541">
        <v>8000</v>
      </c>
      <c r="H91" s="541">
        <v>10000</v>
      </c>
      <c r="I91" s="541">
        <v>12000</v>
      </c>
      <c r="J91" s="542"/>
      <c r="K91" s="542"/>
      <c r="L91" s="543"/>
      <c r="M91" s="544"/>
      <c r="N91" s="929"/>
      <c r="O91" s="929"/>
      <c r="P91" s="504"/>
      <c r="Q91" s="505"/>
    </row>
    <row r="92" spans="1:17" s="419" customFormat="1" ht="15.75" thickBot="1">
      <c r="A92" s="499"/>
      <c r="B92" s="489"/>
      <c r="C92" s="506">
        <v>100</v>
      </c>
      <c r="D92" s="506">
        <v>100</v>
      </c>
      <c r="E92" s="506">
        <v>100</v>
      </c>
      <c r="F92" s="506">
        <v>100</v>
      </c>
      <c r="G92" s="506">
        <v>100</v>
      </c>
      <c r="H92" s="506">
        <v>100</v>
      </c>
      <c r="I92" s="506">
        <v>100</v>
      </c>
      <c r="J92" s="482"/>
      <c r="K92" s="482"/>
      <c r="L92" s="482"/>
      <c r="M92" s="483"/>
      <c r="N92" s="928"/>
      <c r="O92" s="928"/>
      <c r="P92" s="504"/>
      <c r="Q92" s="505"/>
    </row>
    <row r="93" spans="1:17" ht="15" thickTop="1">
      <c r="A93" s="545"/>
      <c r="B93" s="484" t="s">
        <v>1738</v>
      </c>
      <c r="C93" s="3479" t="s">
        <v>3427</v>
      </c>
      <c r="D93" s="500"/>
      <c r="E93" s="529"/>
      <c r="F93" s="529"/>
      <c r="G93" s="529"/>
      <c r="H93" s="529"/>
      <c r="I93" s="529"/>
      <c r="J93" s="529"/>
      <c r="K93" s="530"/>
      <c r="L93" s="531"/>
      <c r="M93" s="532"/>
      <c r="N93" s="927"/>
      <c r="O93" s="927"/>
      <c r="P93" s="42"/>
      <c r="Q93" s="450"/>
    </row>
    <row r="94" spans="1:17" ht="15.75" thickBot="1">
      <c r="A94" s="480"/>
      <c r="B94" s="489"/>
      <c r="C94" s="490">
        <v>100</v>
      </c>
      <c r="D94" s="490">
        <f t="shared" ref="D94:M94" si="21">C94-$K31</f>
        <v>99</v>
      </c>
      <c r="E94" s="490">
        <f t="shared" si="21"/>
        <v>98</v>
      </c>
      <c r="F94" s="490">
        <f t="shared" si="21"/>
        <v>97</v>
      </c>
      <c r="G94" s="490">
        <f t="shared" si="21"/>
        <v>96</v>
      </c>
      <c r="H94" s="490">
        <f t="shared" si="21"/>
        <v>95</v>
      </c>
      <c r="I94" s="490">
        <f t="shared" si="21"/>
        <v>94</v>
      </c>
      <c r="J94" s="490">
        <f t="shared" si="21"/>
        <v>93</v>
      </c>
      <c r="K94" s="490">
        <f t="shared" si="21"/>
        <v>92</v>
      </c>
      <c r="L94" s="490">
        <f t="shared" si="21"/>
        <v>91</v>
      </c>
      <c r="M94" s="491">
        <f t="shared" si="21"/>
        <v>90</v>
      </c>
      <c r="N94" s="928"/>
      <c r="O94" s="928"/>
      <c r="P94" s="42"/>
      <c r="Q94" s="450"/>
    </row>
    <row r="95" spans="1:17" ht="15" thickTop="1">
      <c r="A95" s="545"/>
      <c r="B95" s="484" t="s">
        <v>1740</v>
      </c>
      <c r="C95" s="3479" t="s">
        <v>3428</v>
      </c>
      <c r="D95" s="3479" t="s">
        <v>3429</v>
      </c>
      <c r="E95" s="3479" t="s">
        <v>3456</v>
      </c>
      <c r="F95" s="529"/>
      <c r="G95" s="529"/>
      <c r="H95" s="529"/>
      <c r="I95" s="529"/>
      <c r="J95" s="529"/>
      <c r="K95" s="530"/>
      <c r="L95" s="531"/>
      <c r="M95" s="532"/>
      <c r="N95" s="927"/>
      <c r="O95" s="927"/>
      <c r="P95" s="42"/>
      <c r="Q95" s="450"/>
    </row>
    <row r="96" spans="1:17" ht="15.75" thickBot="1">
      <c r="A96" s="480"/>
      <c r="B96" s="489"/>
      <c r="C96" s="490">
        <v>100</v>
      </c>
      <c r="D96" s="490">
        <f t="shared" ref="D96:M96" si="22">C96-$K32</f>
        <v>98</v>
      </c>
      <c r="E96" s="490">
        <f t="shared" si="22"/>
        <v>96</v>
      </c>
      <c r="F96" s="490">
        <f t="shared" si="22"/>
        <v>94</v>
      </c>
      <c r="G96" s="490">
        <f t="shared" si="22"/>
        <v>92</v>
      </c>
      <c r="H96" s="490">
        <f t="shared" si="22"/>
        <v>90</v>
      </c>
      <c r="I96" s="490">
        <f t="shared" si="22"/>
        <v>88</v>
      </c>
      <c r="J96" s="490">
        <f t="shared" si="22"/>
        <v>86</v>
      </c>
      <c r="K96" s="490">
        <f t="shared" si="22"/>
        <v>84</v>
      </c>
      <c r="L96" s="490">
        <f t="shared" si="22"/>
        <v>82</v>
      </c>
      <c r="M96" s="491">
        <f t="shared" si="22"/>
        <v>80</v>
      </c>
      <c r="N96" s="928"/>
      <c r="O96" s="928"/>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7"/>
      <c r="O97" s="927"/>
      <c r="P97" s="42"/>
      <c r="Q97" s="450"/>
    </row>
    <row r="98" spans="1:17">
      <c r="A98" s="545"/>
      <c r="B98" s="492"/>
      <c r="C98" s="549">
        <v>0.5</v>
      </c>
      <c r="D98" s="549">
        <v>0.6</v>
      </c>
      <c r="E98" s="549">
        <v>0.7</v>
      </c>
      <c r="F98" s="549">
        <v>0.8</v>
      </c>
      <c r="G98" s="549">
        <v>0.9</v>
      </c>
      <c r="H98" s="549">
        <v>1.0001</v>
      </c>
      <c r="I98" s="568"/>
      <c r="J98" s="568"/>
      <c r="K98" s="569"/>
      <c r="L98" s="570"/>
      <c r="M98" s="571"/>
      <c r="N98" s="927"/>
      <c r="O98" s="927"/>
      <c r="P98" s="42"/>
      <c r="Q98" s="450"/>
    </row>
    <row r="99" spans="1:17" ht="15.75" thickBot="1">
      <c r="A99" s="480"/>
      <c r="B99" s="489"/>
      <c r="C99" s="528">
        <v>100</v>
      </c>
      <c r="D99" s="490">
        <f>C99+$K33</f>
        <v>101</v>
      </c>
      <c r="E99" s="490">
        <f t="shared" ref="E99:M99" si="23">D99+$K33</f>
        <v>102</v>
      </c>
      <c r="F99" s="490">
        <f t="shared" si="23"/>
        <v>103</v>
      </c>
      <c r="G99" s="490">
        <f t="shared" si="23"/>
        <v>104</v>
      </c>
      <c r="H99" s="490">
        <f t="shared" si="23"/>
        <v>105</v>
      </c>
      <c r="I99" s="490">
        <f t="shared" si="23"/>
        <v>106</v>
      </c>
      <c r="J99" s="490">
        <f t="shared" si="23"/>
        <v>107</v>
      </c>
      <c r="K99" s="490">
        <f t="shared" si="23"/>
        <v>108</v>
      </c>
      <c r="L99" s="490">
        <f t="shared" si="23"/>
        <v>109</v>
      </c>
      <c r="M99" s="490">
        <f t="shared" si="23"/>
        <v>110</v>
      </c>
      <c r="N99" s="928"/>
      <c r="O99" s="928"/>
      <c r="P99" s="42"/>
      <c r="Q99" s="450"/>
    </row>
    <row r="100" spans="1:17" s="419" customFormat="1" ht="15" thickTop="1">
      <c r="A100" s="539"/>
      <c r="B100" s="484" t="s">
        <v>1741</v>
      </c>
      <c r="C100" s="3479" t="s">
        <v>3430</v>
      </c>
      <c r="D100" s="3479" t="s">
        <v>3431</v>
      </c>
      <c r="E100" s="500"/>
      <c r="F100" s="500"/>
      <c r="G100" s="500"/>
      <c r="H100" s="529"/>
      <c r="I100" s="529"/>
      <c r="J100" s="529"/>
      <c r="K100" s="530"/>
      <c r="L100" s="531"/>
      <c r="M100" s="532"/>
      <c r="N100" s="929"/>
      <c r="O100" s="929"/>
      <c r="P100" s="504"/>
      <c r="Q100" s="505"/>
    </row>
    <row r="101" spans="1:17" s="419" customFormat="1" ht="15.75" thickBot="1">
      <c r="A101" s="499"/>
      <c r="B101" s="489"/>
      <c r="C101" s="490">
        <v>100</v>
      </c>
      <c r="D101" s="490">
        <f>C101-$K34</f>
        <v>99</v>
      </c>
      <c r="E101" s="490">
        <f t="shared" ref="E101:M101" si="24">D101-$K34</f>
        <v>98</v>
      </c>
      <c r="F101" s="490">
        <f t="shared" si="24"/>
        <v>97</v>
      </c>
      <c r="G101" s="490">
        <f t="shared" si="24"/>
        <v>96</v>
      </c>
      <c r="H101" s="490">
        <f t="shared" si="24"/>
        <v>95</v>
      </c>
      <c r="I101" s="490">
        <f t="shared" si="24"/>
        <v>94</v>
      </c>
      <c r="J101" s="490">
        <f t="shared" si="24"/>
        <v>93</v>
      </c>
      <c r="K101" s="490">
        <f t="shared" si="24"/>
        <v>92</v>
      </c>
      <c r="L101" s="490">
        <f t="shared" si="24"/>
        <v>91</v>
      </c>
      <c r="M101" s="490">
        <f t="shared" si="24"/>
        <v>90</v>
      </c>
      <c r="N101" s="929"/>
      <c r="O101" s="929"/>
      <c r="P101" s="504"/>
      <c r="Q101" s="505"/>
    </row>
    <row r="102" spans="1:17" ht="15" thickTop="1">
      <c r="A102" s="545"/>
      <c r="B102" s="484" t="s">
        <v>1742</v>
      </c>
      <c r="C102" s="3479" t="s">
        <v>3432</v>
      </c>
      <c r="D102" s="500"/>
      <c r="E102" s="500"/>
      <c r="F102" s="500"/>
      <c r="G102" s="500"/>
      <c r="H102" s="529"/>
      <c r="I102" s="529"/>
      <c r="J102" s="529"/>
      <c r="K102" s="530"/>
      <c r="L102" s="531"/>
      <c r="M102" s="532"/>
      <c r="N102" s="927"/>
      <c r="O102" s="927"/>
      <c r="P102" s="42"/>
      <c r="Q102" s="450"/>
    </row>
    <row r="103" spans="1:17" ht="15.75" thickBot="1">
      <c r="A103" s="480"/>
      <c r="B103" s="489"/>
      <c r="C103" s="490">
        <v>100</v>
      </c>
      <c r="D103" s="490">
        <f t="shared" ref="D103:M103" si="25">C103-$K35</f>
        <v>99</v>
      </c>
      <c r="E103" s="490">
        <f t="shared" si="25"/>
        <v>98</v>
      </c>
      <c r="F103" s="490">
        <f t="shared" si="25"/>
        <v>97</v>
      </c>
      <c r="G103" s="490">
        <f t="shared" si="25"/>
        <v>96</v>
      </c>
      <c r="H103" s="490">
        <f t="shared" si="25"/>
        <v>95</v>
      </c>
      <c r="I103" s="490">
        <f t="shared" si="25"/>
        <v>94</v>
      </c>
      <c r="J103" s="490">
        <f t="shared" si="25"/>
        <v>93</v>
      </c>
      <c r="K103" s="490">
        <f t="shared" si="25"/>
        <v>92</v>
      </c>
      <c r="L103" s="490">
        <f t="shared" si="25"/>
        <v>91</v>
      </c>
      <c r="M103" s="491">
        <f t="shared" si="25"/>
        <v>90</v>
      </c>
      <c r="N103" s="928"/>
      <c r="O103" s="928"/>
      <c r="P103" s="42"/>
      <c r="Q103" s="450"/>
    </row>
    <row r="104" spans="1:17" ht="15" thickTop="1">
      <c r="A104" s="545"/>
      <c r="B104" s="484" t="s">
        <v>1744</v>
      </c>
      <c r="C104" s="3480" t="s">
        <v>3433</v>
      </c>
      <c r="D104" s="3480" t="s">
        <v>3434</v>
      </c>
      <c r="E104" s="3480" t="s">
        <v>3435</v>
      </c>
      <c r="F104" s="3481" t="s">
        <v>3436</v>
      </c>
      <c r="G104" s="500" t="s">
        <v>3437</v>
      </c>
      <c r="H104" s="529"/>
      <c r="I104" s="529"/>
      <c r="J104" s="529"/>
      <c r="K104" s="530"/>
      <c r="L104" s="531"/>
      <c r="M104" s="532"/>
      <c r="N104" s="927"/>
      <c r="O104" s="927"/>
      <c r="P104" s="42"/>
      <c r="Q104" s="450"/>
    </row>
    <row r="105" spans="1:17" ht="15.75" thickBot="1">
      <c r="A105" s="480"/>
      <c r="B105" s="489"/>
      <c r="C105" s="490">
        <v>100</v>
      </c>
      <c r="D105" s="490">
        <f>C105-$K36</f>
        <v>98</v>
      </c>
      <c r="E105" s="490">
        <f>D105-$K36</f>
        <v>96</v>
      </c>
      <c r="F105" s="490">
        <f>E105-$K36</f>
        <v>94</v>
      </c>
      <c r="G105" s="490">
        <f>F105-$K36</f>
        <v>92</v>
      </c>
      <c r="H105" s="490"/>
      <c r="I105" s="490"/>
      <c r="J105" s="490"/>
      <c r="K105" s="490"/>
      <c r="L105" s="490"/>
      <c r="M105" s="491"/>
      <c r="N105" s="928"/>
      <c r="O105" s="928"/>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28"/>
      <c r="O106" s="928"/>
      <c r="P106" s="582"/>
      <c r="Q106" s="583"/>
    </row>
    <row r="107" spans="1:17" ht="15.75" thickBot="1">
      <c r="A107" s="480"/>
      <c r="B107" s="489"/>
      <c r="C107" s="528">
        <v>100</v>
      </c>
      <c r="D107" s="490">
        <f t="shared" ref="D107:M107" si="26">C107-$K37</f>
        <v>99</v>
      </c>
      <c r="E107" s="490">
        <f t="shared" si="26"/>
        <v>98</v>
      </c>
      <c r="F107" s="490">
        <f t="shared" si="26"/>
        <v>97</v>
      </c>
      <c r="G107" s="490">
        <f t="shared" si="26"/>
        <v>96</v>
      </c>
      <c r="H107" s="490">
        <f t="shared" si="26"/>
        <v>95</v>
      </c>
      <c r="I107" s="490">
        <f t="shared" si="26"/>
        <v>94</v>
      </c>
      <c r="J107" s="490">
        <f t="shared" si="26"/>
        <v>93</v>
      </c>
      <c r="K107" s="490">
        <f t="shared" si="26"/>
        <v>92</v>
      </c>
      <c r="L107" s="490">
        <f t="shared" si="26"/>
        <v>91</v>
      </c>
      <c r="M107" s="490">
        <f t="shared" si="26"/>
        <v>90</v>
      </c>
      <c r="N107" s="928"/>
      <c r="O107" s="928"/>
      <c r="P107" s="42"/>
      <c r="Q107" s="450"/>
    </row>
    <row r="108" spans="1:17" s="419" customFormat="1" ht="15" thickTop="1">
      <c r="A108" s="539"/>
      <c r="B108" s="484" t="str">
        <f>B38</f>
        <v>建筑档次</v>
      </c>
      <c r="C108" s="3479" t="s">
        <v>3458</v>
      </c>
      <c r="D108" s="3479" t="s">
        <v>3459</v>
      </c>
      <c r="E108" s="3479" t="s">
        <v>3462</v>
      </c>
      <c r="F108" s="3479" t="s">
        <v>3461</v>
      </c>
      <c r="G108" s="500"/>
      <c r="H108" s="501"/>
      <c r="I108" s="501"/>
      <c r="J108" s="501"/>
      <c r="K108" s="501"/>
      <c r="L108" s="502"/>
      <c r="M108" s="503"/>
      <c r="N108" s="929"/>
      <c r="O108" s="929"/>
      <c r="P108" s="504"/>
      <c r="Q108" s="505"/>
    </row>
    <row r="109" spans="1:17" s="419" customFormat="1" ht="15.75" thickBot="1">
      <c r="A109" s="499"/>
      <c r="B109" s="481"/>
      <c r="C109" s="506">
        <v>100</v>
      </c>
      <c r="D109" s="482">
        <v>98</v>
      </c>
      <c r="E109" s="506">
        <v>96</v>
      </c>
      <c r="F109" s="482">
        <v>94</v>
      </c>
      <c r="G109" s="506"/>
      <c r="H109" s="508"/>
      <c r="I109" s="508"/>
      <c r="J109" s="508"/>
      <c r="K109" s="508"/>
      <c r="L109" s="508"/>
      <c r="M109" s="509"/>
      <c r="N109" s="929"/>
      <c r="O109" s="929"/>
      <c r="P109" s="504"/>
      <c r="Q109" s="505"/>
    </row>
    <row r="110" spans="1:17" ht="15" thickTop="1">
      <c r="A110" s="545"/>
      <c r="B110" s="484">
        <f>B39</f>
        <v>111</v>
      </c>
      <c r="C110" s="500"/>
      <c r="D110" s="500"/>
      <c r="E110" s="500"/>
      <c r="F110" s="500"/>
      <c r="G110" s="500"/>
      <c r="H110" s="501"/>
      <c r="I110" s="501"/>
      <c r="J110" s="501"/>
      <c r="K110" s="501"/>
      <c r="L110" s="502"/>
      <c r="M110" s="503"/>
      <c r="N110" s="927"/>
      <c r="O110" s="927"/>
      <c r="P110" s="42"/>
      <c r="Q110" s="450"/>
    </row>
    <row r="111" spans="1:17" ht="15.75" thickBot="1">
      <c r="A111" s="480"/>
      <c r="B111" s="489"/>
      <c r="C111" s="506"/>
      <c r="D111" s="482"/>
      <c r="E111" s="482"/>
      <c r="F111" s="482"/>
      <c r="G111" s="506"/>
      <c r="H111" s="508"/>
      <c r="I111" s="508"/>
      <c r="J111" s="508"/>
      <c r="K111" s="508"/>
      <c r="L111" s="508"/>
      <c r="M111" s="509"/>
      <c r="N111" s="928"/>
      <c r="O111" s="928"/>
      <c r="P111" s="42"/>
      <c r="Q111" s="450"/>
    </row>
    <row r="112" spans="1:17" ht="15" thickTop="1">
      <c r="A112" s="545"/>
      <c r="B112" s="492">
        <f>B40</f>
        <v>111</v>
      </c>
      <c r="C112" s="469"/>
      <c r="D112" s="469"/>
      <c r="E112" s="469"/>
      <c r="F112" s="469"/>
      <c r="G112" s="533"/>
      <c r="H112" s="533"/>
      <c r="I112" s="533"/>
      <c r="J112" s="533"/>
      <c r="K112" s="469"/>
      <c r="L112" s="470"/>
      <c r="M112" s="536"/>
      <c r="N112" s="927"/>
      <c r="O112" s="927"/>
      <c r="P112" s="42"/>
      <c r="Q112" s="450"/>
    </row>
    <row r="113" spans="1:17" ht="15.75" thickBot="1">
      <c r="A113" s="1922"/>
      <c r="B113" s="515"/>
      <c r="C113" s="516"/>
      <c r="D113" s="516"/>
      <c r="E113" s="516"/>
      <c r="F113" s="516"/>
      <c r="G113" s="537"/>
      <c r="H113" s="537"/>
      <c r="I113" s="537"/>
      <c r="J113" s="537"/>
      <c r="K113" s="537"/>
      <c r="L113" s="537"/>
      <c r="M113" s="538"/>
      <c r="N113" s="928"/>
      <c r="O113" s="928"/>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F7:F40 H7:H40 J7:J40">
    <cfRule type="cellIs" dxfId="56" priority="1" operator="notEqual">
      <formula>100</formula>
    </cfRule>
  </conditionalFormatting>
  <conditionalFormatting sqref="F42">
    <cfRule type="expression" dxfId="55" priority="4">
      <formula>$D$42="简单平均"</formula>
    </cfRule>
  </conditionalFormatting>
  <conditionalFormatting sqref="F46:F48 H46:H48">
    <cfRule type="containsText" dxfId="54" priority="17" stopIfTrue="1" operator="containsText" text="超过">
      <formula>NOT(ISERROR(SEARCH("超过",F46)))</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G48">
    <cfRule type="expression" dxfId="51" priority="13" stopIfTrue="1">
      <formula>$H$48="超过30%"</formula>
    </cfRule>
  </conditionalFormatting>
  <conditionalFormatting sqref="H42">
    <cfRule type="expression" dxfId="50" priority="3">
      <formula>$D$42="简单平均"</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2">
    <cfRule type="expression" dxfId="46" priority="2">
      <formula>$D$42="简单平均"</formula>
    </cfRule>
  </conditionalFormatting>
  <conditionalFormatting sqref="J46:J48">
    <cfRule type="containsText" dxfId="45" priority="8" stopIfTrue="1" operator="containsText" text="超过">
      <formula>NOT(ISERROR(SEARCH("超过",J46)))</formula>
    </cfRule>
  </conditionalFormatting>
  <dataValidations disablePrompts="1" count="20">
    <dataValidation type="list" allowBlank="1" showInputMessage="1" showErrorMessage="1" sqref="D1" xr:uid="{00000000-0002-0000-2D00-000000000000}">
      <formula1>项目类型</formula1>
    </dataValidation>
    <dataValidation type="list" allowBlank="1" showInputMessage="1" showErrorMessage="1" sqref="C20 G20 E20 I20" xr:uid="{00000000-0002-0000-2D00-000001000000}">
      <formula1>公共配套设施</formula1>
    </dataValidation>
    <dataValidation type="list" allowBlank="1" showInputMessage="1" showErrorMessage="1" sqref="E18 G18 I18 C18" xr:uid="{00000000-0002-0000-2D00-000002000000}">
      <formula1>交通便捷度</formula1>
    </dataValidation>
    <dataValidation type="list" allowBlank="1" showInputMessage="1" showErrorMessage="1" sqref="E24 G24 I24 C24" xr:uid="{00000000-0002-0000-2D00-000003000000}">
      <formula1>环境</formula1>
    </dataValidation>
    <dataValidation type="list" allowBlank="1" showInputMessage="1" showErrorMessage="1" sqref="C8 E8 G8 I8" xr:uid="{00000000-0002-0000-2D00-000004000000}">
      <formula1>工业交易情况</formula1>
    </dataValidation>
    <dataValidation type="list" allowBlank="1" showInputMessage="1" showErrorMessage="1" sqref="E9 G9 I9" xr:uid="{00000000-0002-0000-2D00-000005000000}">
      <formula1>工业用途</formula1>
    </dataValidation>
    <dataValidation type="list" allowBlank="1" showInputMessage="1" showErrorMessage="1" sqref="C29 E29 G29 I29" xr:uid="{00000000-0002-0000-2D00-000006000000}">
      <formula1>工业建筑类型</formula1>
    </dataValidation>
    <dataValidation type="list" allowBlank="1" showInputMessage="1" showErrorMessage="1" sqref="C31 E31 G31 I31" xr:uid="{00000000-0002-0000-2D00-000007000000}">
      <formula1>工业建筑结构</formula1>
    </dataValidation>
    <dataValidation type="list" allowBlank="1" showInputMessage="1" showErrorMessage="1" sqref="C32 E32 G32 I32" xr:uid="{00000000-0002-0000-2D00-000008000000}">
      <formula1>工业公共部分装修</formula1>
    </dataValidation>
    <dataValidation type="list" allowBlank="1" showInputMessage="1" showErrorMessage="1" sqref="C34 E34 G34 I34" xr:uid="{00000000-0002-0000-2D00-000009000000}">
      <formula1>工业物业管理</formula1>
    </dataValidation>
    <dataValidation type="list" allowBlank="1" showInputMessage="1" showErrorMessage="1" sqref="C35 E35 G35 I35" xr:uid="{00000000-0002-0000-2D00-00000A000000}">
      <formula1>工业基础设施水平</formula1>
    </dataValidation>
    <dataValidation type="list" allowBlank="1" showInputMessage="1" showErrorMessage="1" sqref="C36 E36 G36 I36" xr:uid="{00000000-0002-0000-2D00-00000B000000}">
      <formula1>工业内部装修</formula1>
    </dataValidation>
    <dataValidation type="list" allowBlank="1" showInputMessage="1" showErrorMessage="1" sqref="C37 E37 G37 I37" xr:uid="{00000000-0002-0000-2D00-00000C000000}">
      <formula1>内部装修维护情况</formula1>
    </dataValidation>
    <dataValidation type="list" allowBlank="1" showInputMessage="1" showErrorMessage="1" sqref="C16 E16 G16 I16" xr:uid="{00000000-0002-0000-2D00-00000D000000}">
      <formula1>产业集聚程度</formula1>
    </dataValidation>
    <dataValidation type="list" allowBlank="1" showInputMessage="1" showErrorMessage="1" sqref="C22 E22 G22 I22" xr:uid="{00000000-0002-0000-2D00-00000E000000}">
      <formula1>基础设施水平</formula1>
    </dataValidation>
    <dataValidation type="list" allowBlank="1" showInputMessage="1" showErrorMessage="1" sqref="F1" xr:uid="{00000000-0002-0000-2D00-00000F000000}">
      <formula1>"售价,租金"</formula1>
    </dataValidation>
    <dataValidation type="list" allowBlank="1" showInputMessage="1" showErrorMessage="1" sqref="C2" xr:uid="{00000000-0002-0000-2D00-000010000000}">
      <formula1>"需扣减承租人权益,——"</formula1>
    </dataValidation>
    <dataValidation type="list" allowBlank="1" showInputMessage="1" showErrorMessage="1" sqref="F2" xr:uid="{00000000-0002-0000-2D00-000011000000}">
      <formula1>估价方法</formula1>
    </dataValidation>
    <dataValidation type="list" allowBlank="1" showInputMessage="1" showErrorMessage="1" sqref="D42" xr:uid="{00000000-0002-0000-2D00-000012000000}">
      <formula1>"简单平均,加权平均"</formula1>
    </dataValidation>
    <dataValidation type="list" allowBlank="1" showInputMessage="1" showErrorMessage="1" sqref="E1" xr:uid="{00000000-0002-0000-2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tabColor rgb="FF92D050"/>
    <pageSetUpPr fitToPage="1"/>
  </sheetPr>
  <dimension ref="A1:AC132"/>
  <sheetViews>
    <sheetView view="pageBreakPreview" zoomScale="85" zoomScaleNormal="70" zoomScaleSheetLayoutView="85" workbookViewId="0">
      <selection activeCell="M20" sqref="M20"/>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1" t="s">
        <v>1810</v>
      </c>
      <c r="C1" s="1218" t="s">
        <v>1662</v>
      </c>
      <c r="D1" s="1219" t="s">
        <v>21</v>
      </c>
      <c r="E1" s="3427" t="s">
        <v>3412</v>
      </c>
      <c r="F1" s="1873" t="s">
        <v>3413</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e">
        <f>IF(E1="项目模式",IF(C2="——",ROUND(C50*D3/10000,0),ROUND(C50*D3/10000,0)-D2),IF(E1="单套模式",IF(C2="——",ROUND(C50*D3/10000,4),ROUND(C50*D3/10000,4)-D2)))</f>
        <v>#DIV/0!</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6"/>
      <c r="Q2" s="696"/>
      <c r="R2" s="696"/>
      <c r="S2" s="696"/>
      <c r="T2" s="696"/>
      <c r="U2" s="696"/>
      <c r="V2" s="696"/>
      <c r="W2" s="696"/>
      <c r="X2" s="696"/>
      <c r="Y2" s="696"/>
      <c r="Z2" s="696"/>
      <c r="AA2" s="696"/>
      <c r="AB2" s="696"/>
      <c r="AC2" s="697"/>
    </row>
    <row r="3" spans="1:29" s="349" customFormat="1" ht="28.5" customHeight="1" thickBot="1">
      <c r="A3" s="200" t="s">
        <v>1464</v>
      </c>
      <c r="B3" s="555" t="e">
        <f>IF(C2="——",C50,ROUND(B2*10000/D3,0))</f>
        <v>#DIV/0!</v>
      </c>
      <c r="C3" s="351" t="s">
        <v>1768</v>
      </c>
      <c r="D3" s="350">
        <f>IF(D1="",'数据-汇总表'!E3,SUMIF('数据-汇总表'!$C19:$C33,D1,'数据-汇总表'!$E19:$E33))</f>
        <v>0</v>
      </c>
      <c r="E3" s="1948"/>
      <c r="F3" s="903"/>
      <c r="G3" s="902"/>
      <c r="H3" s="902"/>
      <c r="I3" s="902"/>
      <c r="J3" s="902"/>
      <c r="K3" s="904"/>
      <c r="L3" s="2728"/>
      <c r="M3" s="2729"/>
      <c r="N3" s="2729"/>
      <c r="O3" s="2729"/>
      <c r="P3" s="696"/>
      <c r="Q3" s="696"/>
      <c r="R3" s="696"/>
      <c r="S3" s="696"/>
      <c r="T3" s="696"/>
      <c r="U3" s="696"/>
      <c r="V3" s="696"/>
      <c r="W3" s="696"/>
      <c r="X3" s="696"/>
      <c r="Y3" s="696"/>
      <c r="Z3" s="696"/>
      <c r="AA3" s="696"/>
      <c r="AB3" s="696"/>
      <c r="AC3" s="697"/>
    </row>
    <row r="4" spans="1:29" ht="15">
      <c r="A4" s="352" t="s">
        <v>1769</v>
      </c>
      <c r="B4" s="353"/>
      <c r="C4" s="3728" t="s">
        <v>1770</v>
      </c>
      <c r="D4" s="3729"/>
      <c r="E4" s="3730" t="s">
        <v>1771</v>
      </c>
      <c r="F4" s="3731"/>
      <c r="G4" s="3728" t="s">
        <v>1772</v>
      </c>
      <c r="H4" s="3729"/>
      <c r="I4" s="3728" t="s">
        <v>1773</v>
      </c>
      <c r="J4" s="3729"/>
      <c r="K4" s="556" t="s">
        <v>1774</v>
      </c>
      <c r="L4" s="2709"/>
      <c r="M4" s="2710"/>
      <c r="N4" s="2710"/>
      <c r="O4" s="2710"/>
      <c r="P4" s="3832" t="s">
        <v>1775</v>
      </c>
      <c r="Q4" s="3833"/>
      <c r="R4" s="3827" t="s">
        <v>1771</v>
      </c>
      <c r="S4" s="3828"/>
      <c r="T4" s="3827" t="s">
        <v>1772</v>
      </c>
      <c r="U4" s="3828"/>
      <c r="V4" s="3836" t="s">
        <v>1773</v>
      </c>
      <c r="W4" s="3836"/>
      <c r="X4" s="1952"/>
      <c r="Y4" s="3827" t="s">
        <v>1775</v>
      </c>
      <c r="Z4" s="3828"/>
      <c r="AA4" s="3826" t="s">
        <v>1771</v>
      </c>
      <c r="AB4" s="3826" t="s">
        <v>1772</v>
      </c>
      <c r="AC4" s="3829" t="s">
        <v>1773</v>
      </c>
    </row>
    <row r="5" spans="1:29" ht="15">
      <c r="A5" s="355"/>
      <c r="B5" s="356"/>
      <c r="C5" s="3721" t="s">
        <v>1673</v>
      </c>
      <c r="D5" s="3722"/>
      <c r="E5" s="3719" t="s">
        <v>1674</v>
      </c>
      <c r="F5" s="3720"/>
      <c r="G5" s="3721" t="s">
        <v>1675</v>
      </c>
      <c r="H5" s="3722"/>
      <c r="I5" s="3721" t="s">
        <v>1676</v>
      </c>
      <c r="J5" s="3722"/>
      <c r="K5" s="556"/>
      <c r="L5" s="2709"/>
      <c r="M5" s="2710"/>
      <c r="N5" s="2710"/>
      <c r="O5" s="2710"/>
      <c r="P5" s="3834"/>
      <c r="Q5" s="3735"/>
      <c r="R5" s="3717"/>
      <c r="S5" s="3718"/>
      <c r="T5" s="3717"/>
      <c r="U5" s="3718"/>
      <c r="V5" s="3740"/>
      <c r="W5" s="3740"/>
      <c r="X5" s="1349"/>
      <c r="Y5" s="3717"/>
      <c r="Z5" s="3718"/>
      <c r="AA5" s="3711"/>
      <c r="AB5" s="3711"/>
      <c r="AC5" s="3830"/>
    </row>
    <row r="6" spans="1:29" ht="15.75" thickBot="1">
      <c r="A6" s="357"/>
      <c r="B6" s="358"/>
      <c r="C6" s="3723" t="s">
        <v>1677</v>
      </c>
      <c r="D6" s="3724"/>
      <c r="E6" s="3725" t="s">
        <v>1677</v>
      </c>
      <c r="F6" s="3726"/>
      <c r="G6" s="3723" t="s">
        <v>1677</v>
      </c>
      <c r="H6" s="3724"/>
      <c r="I6" s="3723" t="s">
        <v>1677</v>
      </c>
      <c r="J6" s="3724"/>
      <c r="K6" s="556" t="s">
        <v>1678</v>
      </c>
      <c r="L6" s="2709"/>
      <c r="M6" s="2710"/>
      <c r="N6" s="2710"/>
      <c r="O6" s="2710"/>
      <c r="P6" s="3835"/>
      <c r="Q6" s="3737"/>
      <c r="R6" s="3717"/>
      <c r="S6" s="3718"/>
      <c r="T6" s="3738"/>
      <c r="U6" s="3739"/>
      <c r="V6" s="3740"/>
      <c r="W6" s="3740"/>
      <c r="X6" s="1349"/>
      <c r="Y6" s="3738"/>
      <c r="Z6" s="3739"/>
      <c r="AA6" s="3712"/>
      <c r="AB6" s="3712"/>
      <c r="AC6" s="3831"/>
    </row>
    <row r="7" spans="1:29" s="105" customFormat="1" ht="15.75" thickBot="1">
      <c r="A7" s="359" t="s">
        <v>1679</v>
      </c>
      <c r="B7" s="360"/>
      <c r="C7" s="361">
        <f>'数据-取费表'!B2</f>
        <v>45539</v>
      </c>
      <c r="D7" s="362">
        <v>100</v>
      </c>
      <c r="E7" s="363"/>
      <c r="F7" s="364">
        <f>SUMIF(59:59,YEAR(E7)&amp;"-"&amp;MONTH(E7),60:60)</f>
        <v>0</v>
      </c>
      <c r="G7" s="363"/>
      <c r="H7" s="362">
        <f>SUMIF(59:59,YEAR(G7)&amp;"-"&amp;MONTH(G7),60:60)</f>
        <v>0</v>
      </c>
      <c r="I7" s="363"/>
      <c r="J7" s="362">
        <f>SUMIF(59:59,YEAR(I7)&amp;"-"&amp;MONTH(I7),60:60)</f>
        <v>0</v>
      </c>
      <c r="K7" s="557"/>
      <c r="L7" s="2711"/>
      <c r="M7" s="2712"/>
      <c r="N7" s="2712"/>
      <c r="O7" s="2712"/>
      <c r="P7" s="3837" t="s">
        <v>1680</v>
      </c>
      <c r="Q7" s="3741"/>
      <c r="R7" s="698" t="s">
        <v>14</v>
      </c>
      <c r="S7" s="699">
        <f t="shared" ref="S7:S15" si="0">F7</f>
        <v>0</v>
      </c>
      <c r="T7" s="698" t="s">
        <v>14</v>
      </c>
      <c r="U7" s="699">
        <f t="shared" ref="U7:U15" si="1">H7</f>
        <v>0</v>
      </c>
      <c r="V7" s="698" t="s">
        <v>14</v>
      </c>
      <c r="W7" s="699">
        <f t="shared" ref="W7:W15" si="2">J7</f>
        <v>0</v>
      </c>
      <c r="X7" s="700"/>
      <c r="Y7" s="3713" t="s">
        <v>1680</v>
      </c>
      <c r="Z7" s="3714"/>
      <c r="AA7" s="701" t="e">
        <f>D7/F7</f>
        <v>#DIV/0!</v>
      </c>
      <c r="AB7" s="701" t="e">
        <f>D7/H7</f>
        <v>#DIV/0!</v>
      </c>
      <c r="AC7" s="1953" t="e">
        <f>D7/J7</f>
        <v>#DIV/0!</v>
      </c>
    </row>
    <row r="8" spans="1:29" s="105"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11"/>
      <c r="M8" s="2712"/>
      <c r="N8" s="2712"/>
      <c r="O8" s="2712"/>
      <c r="P8" s="3837" t="s">
        <v>1683</v>
      </c>
      <c r="Q8" s="3714"/>
      <c r="R8" s="698" t="s">
        <v>14</v>
      </c>
      <c r="S8" s="699">
        <f t="shared" si="0"/>
        <v>100</v>
      </c>
      <c r="T8" s="698" t="s">
        <v>14</v>
      </c>
      <c r="U8" s="699">
        <f t="shared" si="1"/>
        <v>100</v>
      </c>
      <c r="V8" s="698" t="s">
        <v>14</v>
      </c>
      <c r="W8" s="699">
        <f t="shared" si="2"/>
        <v>100</v>
      </c>
      <c r="X8" s="700"/>
      <c r="Y8" s="3713" t="s">
        <v>1683</v>
      </c>
      <c r="Z8" s="3714"/>
      <c r="AA8" s="701">
        <f t="shared" ref="AA8:AA47" si="3">D8/F8</f>
        <v>1</v>
      </c>
      <c r="AB8" s="701">
        <f t="shared" ref="AB8:AB47" si="4">D8/H8</f>
        <v>1</v>
      </c>
      <c r="AC8" s="1953">
        <f t="shared" ref="AC8:AC47" si="5">D8/J8</f>
        <v>1</v>
      </c>
    </row>
    <row r="9" spans="1:29" s="105" customFormat="1">
      <c r="A9" s="366" t="s">
        <v>1684</v>
      </c>
      <c r="B9" s="63" t="s">
        <v>1685</v>
      </c>
      <c r="C9" s="367"/>
      <c r="D9" s="123">
        <v>100</v>
      </c>
      <c r="E9" s="370"/>
      <c r="F9" s="123">
        <f>SUMIF(64:64,E9,65:65)-SUMIF(64:64,C9,65:65)+100</f>
        <v>100</v>
      </c>
      <c r="G9" s="368"/>
      <c r="H9" s="123">
        <f>SUMIF(64:64,G9,65:65)-SUMIF(64:64,C9,65:65)+100</f>
        <v>100</v>
      </c>
      <c r="I9" s="368"/>
      <c r="J9" s="123">
        <f>SUMIF(64:64,I9,65:65)-SUMIF(64:64,C9,65:65)+100</f>
        <v>100</v>
      </c>
      <c r="K9" s="557"/>
      <c r="L9" s="2711"/>
      <c r="M9" s="2712"/>
      <c r="N9" s="2712"/>
      <c r="O9" s="2712"/>
      <c r="P9" s="3727" t="s">
        <v>1686</v>
      </c>
      <c r="Q9" s="1337" t="str">
        <f t="shared" ref="Q9:Q15" si="6">B9</f>
        <v>用途</v>
      </c>
      <c r="R9" s="698" t="s">
        <v>14</v>
      </c>
      <c r="S9" s="699">
        <f t="shared" si="0"/>
        <v>100</v>
      </c>
      <c r="T9" s="698" t="s">
        <v>14</v>
      </c>
      <c r="U9" s="699">
        <f t="shared" si="1"/>
        <v>100</v>
      </c>
      <c r="V9" s="698" t="s">
        <v>14</v>
      </c>
      <c r="W9" s="699">
        <f t="shared" si="2"/>
        <v>100</v>
      </c>
      <c r="X9" s="700"/>
      <c r="Y9" s="3659" t="s">
        <v>1687</v>
      </c>
      <c r="Z9" s="52" t="str">
        <f t="shared" ref="Z9:Z15" si="7">Q9</f>
        <v>用途</v>
      </c>
      <c r="AA9" s="701">
        <f t="shared" si="3"/>
        <v>1</v>
      </c>
      <c r="AB9" s="701">
        <f t="shared" si="4"/>
        <v>1</v>
      </c>
      <c r="AC9" s="1953">
        <f t="shared" si="5"/>
        <v>1</v>
      </c>
    </row>
    <row r="10" spans="1:29" s="375" customFormat="1" ht="27">
      <c r="A10" s="371"/>
      <c r="B10" s="372" t="s">
        <v>1688</v>
      </c>
      <c r="C10" s="3428"/>
      <c r="D10" s="124">
        <v>100</v>
      </c>
      <c r="E10" s="3428"/>
      <c r="F10" s="124">
        <f>SUMIF(66:66,E10,67:67)-SUMIF(66:66,C10,67:67)+100</f>
        <v>100</v>
      </c>
      <c r="G10" s="3429"/>
      <c r="H10" s="124">
        <f>SUMIF(66:66,G10,67:67)-SUMIF(66:66,C10,67:67)+100</f>
        <v>100</v>
      </c>
      <c r="I10" s="3428"/>
      <c r="J10" s="124">
        <f>SUMIF(66:66,I10,67:67)-SUMIF(66:66,C10,67:67)+100</f>
        <v>100</v>
      </c>
      <c r="K10" s="557"/>
      <c r="L10" s="2713"/>
      <c r="M10" s="2714"/>
      <c r="N10" s="2714"/>
      <c r="O10" s="2714"/>
      <c r="P10" s="3727"/>
      <c r="Q10" s="1337" t="str">
        <f t="shared" si="6"/>
        <v>土地使用年限（年）</v>
      </c>
      <c r="R10" s="698" t="s">
        <v>14</v>
      </c>
      <c r="S10" s="699">
        <f t="shared" si="0"/>
        <v>100</v>
      </c>
      <c r="T10" s="698" t="s">
        <v>14</v>
      </c>
      <c r="U10" s="699">
        <f t="shared" si="1"/>
        <v>100</v>
      </c>
      <c r="V10" s="698" t="s">
        <v>14</v>
      </c>
      <c r="W10" s="699">
        <f t="shared" si="2"/>
        <v>100</v>
      </c>
      <c r="X10" s="700"/>
      <c r="Y10" s="3659"/>
      <c r="Z10" s="52" t="str">
        <f t="shared" si="7"/>
        <v>土地使用年限（年）</v>
      </c>
      <c r="AA10" s="701">
        <f t="shared" si="3"/>
        <v>1</v>
      </c>
      <c r="AB10" s="701">
        <f t="shared" si="4"/>
        <v>1</v>
      </c>
      <c r="AC10" s="1953">
        <f t="shared" si="5"/>
        <v>1</v>
      </c>
    </row>
    <row r="11" spans="1:29" ht="15.75" thickBot="1">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5"/>
      <c r="M11" s="2710"/>
      <c r="N11" s="2710"/>
      <c r="O11" s="2710"/>
      <c r="P11" s="3727"/>
      <c r="Q11" s="1337" t="str">
        <f t="shared" si="6"/>
        <v>容积率</v>
      </c>
      <c r="R11" s="698" t="s">
        <v>14</v>
      </c>
      <c r="S11" s="699">
        <f t="shared" si="0"/>
        <v>100</v>
      </c>
      <c r="T11" s="698" t="s">
        <v>14</v>
      </c>
      <c r="U11" s="699">
        <f t="shared" si="1"/>
        <v>100</v>
      </c>
      <c r="V11" s="698" t="s">
        <v>14</v>
      </c>
      <c r="W11" s="699">
        <f t="shared" si="2"/>
        <v>100</v>
      </c>
      <c r="X11" s="700"/>
      <c r="Y11" s="3659"/>
      <c r="Z11" s="52" t="str">
        <f t="shared" si="7"/>
        <v>容积率</v>
      </c>
      <c r="AA11" s="701">
        <f t="shared" si="3"/>
        <v>1</v>
      </c>
      <c r="AB11" s="701">
        <f t="shared" si="4"/>
        <v>1</v>
      </c>
      <c r="AC11" s="1953">
        <f t="shared" si="5"/>
        <v>1</v>
      </c>
    </row>
    <row r="12" spans="1:29" s="105" customFormat="1" ht="15" hidden="1">
      <c r="A12" s="379"/>
      <c r="B12" s="1887">
        <v>111</v>
      </c>
      <c r="C12" s="380"/>
      <c r="D12" s="381">
        <v>100</v>
      </c>
      <c r="E12" s="380"/>
      <c r="F12" s="124">
        <f>SUMIF(71:71,E12,72:72)-SUMIF(71:71,C12,72:72)+100</f>
        <v>100</v>
      </c>
      <c r="G12" s="1954"/>
      <c r="H12" s="124">
        <f>SUMIF(71:71,G12,72:72)-SUMIF(71:71,C12,72:72)+100</f>
        <v>100</v>
      </c>
      <c r="I12" s="380"/>
      <c r="J12" s="124">
        <f>SUMIF(71:71,I12,72:72)-SUMIF(71:71,C12,72:72)+100</f>
        <v>100</v>
      </c>
      <c r="K12" s="559"/>
      <c r="L12" s="2711"/>
      <c r="M12" s="2712"/>
      <c r="N12" s="2712"/>
      <c r="O12" s="2712"/>
      <c r="P12" s="3727"/>
      <c r="Q12" s="1337">
        <f t="shared" si="6"/>
        <v>111</v>
      </c>
      <c r="R12" s="698" t="s">
        <v>14</v>
      </c>
      <c r="S12" s="699">
        <f t="shared" si="0"/>
        <v>100</v>
      </c>
      <c r="T12" s="698" t="s">
        <v>14</v>
      </c>
      <c r="U12" s="699">
        <f t="shared" si="1"/>
        <v>100</v>
      </c>
      <c r="V12" s="698" t="s">
        <v>14</v>
      </c>
      <c r="W12" s="699">
        <f t="shared" si="2"/>
        <v>100</v>
      </c>
      <c r="X12" s="700"/>
      <c r="Y12" s="3659"/>
      <c r="Z12" s="52">
        <f t="shared" si="7"/>
        <v>111</v>
      </c>
      <c r="AA12" s="701">
        <f>D12/F12</f>
        <v>1</v>
      </c>
      <c r="AB12" s="701">
        <f>D12/H12</f>
        <v>1</v>
      </c>
      <c r="AC12" s="1953">
        <f>D12/J12</f>
        <v>1</v>
      </c>
    </row>
    <row r="13" spans="1:29" ht="15" hidden="1">
      <c r="A13" s="376"/>
      <c r="B13" s="1887">
        <v>111</v>
      </c>
      <c r="C13" s="382"/>
      <c r="D13" s="383">
        <v>100</v>
      </c>
      <c r="E13" s="380"/>
      <c r="F13" s="124">
        <f>SUMIF(73:73,E13,74:74)-SUMIF(73:73,C13,74:74)+100</f>
        <v>100</v>
      </c>
      <c r="G13" s="1954"/>
      <c r="H13" s="383">
        <f>SUMIF(73:73,G13,74:74)-SUMIF(73:73,C13,74:74)+100</f>
        <v>100</v>
      </c>
      <c r="I13" s="380"/>
      <c r="J13" s="383">
        <f>SUMIF(73:73,I13,74:74)-SUMIF(73:73,C13,74:74)+100</f>
        <v>100</v>
      </c>
      <c r="K13" s="559"/>
      <c r="L13" s="2716"/>
      <c r="M13" s="2710"/>
      <c r="N13" s="2710"/>
      <c r="O13" s="2710"/>
      <c r="P13" s="3727"/>
      <c r="Q13" s="1337">
        <f t="shared" si="6"/>
        <v>111</v>
      </c>
      <c r="R13" s="698" t="s">
        <v>14</v>
      </c>
      <c r="S13" s="699">
        <f t="shared" si="0"/>
        <v>100</v>
      </c>
      <c r="T13" s="698" t="s">
        <v>14</v>
      </c>
      <c r="U13" s="699">
        <f t="shared" si="1"/>
        <v>100</v>
      </c>
      <c r="V13" s="698" t="s">
        <v>14</v>
      </c>
      <c r="W13" s="699">
        <f t="shared" si="2"/>
        <v>100</v>
      </c>
      <c r="X13" s="700"/>
      <c r="Y13" s="3659"/>
      <c r="Z13" s="52">
        <f t="shared" si="7"/>
        <v>111</v>
      </c>
      <c r="AA13" s="701">
        <f t="shared" si="3"/>
        <v>1</v>
      </c>
      <c r="AB13" s="701">
        <f t="shared" si="4"/>
        <v>1</v>
      </c>
      <c r="AC13" s="1953">
        <f t="shared" si="5"/>
        <v>1</v>
      </c>
    </row>
    <row r="14" spans="1:29" ht="15.75" hidden="1" thickBot="1">
      <c r="A14" s="384"/>
      <c r="B14" s="1889">
        <v>111</v>
      </c>
      <c r="C14" s="385"/>
      <c r="D14" s="386">
        <v>100</v>
      </c>
      <c r="E14" s="573"/>
      <c r="F14" s="386">
        <f>SUMIF(75:75,E14,76:76)-SUMIF(75:75,C14,76:76)+100</f>
        <v>100</v>
      </c>
      <c r="G14" s="1954"/>
      <c r="H14" s="386">
        <f>SUMIF(75:75,G14,76:76)-SUMIF(75:75,C14,76:76)+100</f>
        <v>100</v>
      </c>
      <c r="I14" s="380"/>
      <c r="J14" s="386">
        <f>SUMIF(75:75,I14,76:76)-SUMIF(75:75,C14,76:76)+100</f>
        <v>100</v>
      </c>
      <c r="K14" s="559"/>
      <c r="L14" s="2716"/>
      <c r="M14" s="2710"/>
      <c r="N14" s="2710"/>
      <c r="O14" s="2710"/>
      <c r="P14" s="3727"/>
      <c r="Q14" s="1337">
        <f t="shared" si="6"/>
        <v>111</v>
      </c>
      <c r="R14" s="698" t="s">
        <v>14</v>
      </c>
      <c r="S14" s="699">
        <f t="shared" si="0"/>
        <v>100</v>
      </c>
      <c r="T14" s="698" t="s">
        <v>14</v>
      </c>
      <c r="U14" s="699">
        <f t="shared" si="1"/>
        <v>100</v>
      </c>
      <c r="V14" s="698" t="s">
        <v>14</v>
      </c>
      <c r="W14" s="699">
        <f t="shared" si="2"/>
        <v>100</v>
      </c>
      <c r="X14" s="700"/>
      <c r="Y14" s="3659"/>
      <c r="Z14" s="52">
        <f t="shared" si="7"/>
        <v>111</v>
      </c>
      <c r="AA14" s="701">
        <f t="shared" si="3"/>
        <v>1</v>
      </c>
      <c r="AB14" s="701">
        <f t="shared" si="4"/>
        <v>1</v>
      </c>
      <c r="AC14" s="1953">
        <f t="shared" si="5"/>
        <v>1</v>
      </c>
    </row>
    <row r="15" spans="1:29" ht="15">
      <c r="A15" s="388" t="s">
        <v>1690</v>
      </c>
      <c r="B15" s="574" t="s">
        <v>1811</v>
      </c>
      <c r="C15" s="1955">
        <f>估价对象房地状况!C5</f>
        <v>0</v>
      </c>
      <c r="D15" s="389">
        <v>100</v>
      </c>
      <c r="E15" s="392"/>
      <c r="F15" s="389">
        <f>SUMIF(77:77,E16,78:78)-SUMIF(77:77,C16,78:78)+100</f>
        <v>100</v>
      </c>
      <c r="G15" s="390"/>
      <c r="H15" s="389">
        <f>SUMIF(77:77,G16,78:78)-SUMIF(77:77,C16,78:78)+100</f>
        <v>100</v>
      </c>
      <c r="I15" s="390"/>
      <c r="J15" s="389">
        <f>SUMIF(77:77,I16,78:78)-SUMIF(77:77,C16,78:78)+100</f>
        <v>100</v>
      </c>
      <c r="K15" s="560"/>
      <c r="L15" s="2716"/>
      <c r="M15" s="2710"/>
      <c r="N15" s="2710"/>
      <c r="O15" s="2710"/>
      <c r="P15" s="3754" t="s">
        <v>1691</v>
      </c>
      <c r="Q15" s="1346" t="str">
        <f t="shared" si="6"/>
        <v>办公集聚程度</v>
      </c>
      <c r="R15" s="702" t="s">
        <v>14</v>
      </c>
      <c r="S15" s="703">
        <f t="shared" si="0"/>
        <v>100</v>
      </c>
      <c r="T15" s="702" t="s">
        <v>14</v>
      </c>
      <c r="U15" s="703">
        <f t="shared" si="1"/>
        <v>100</v>
      </c>
      <c r="V15" s="702" t="s">
        <v>14</v>
      </c>
      <c r="W15" s="703">
        <f t="shared" si="2"/>
        <v>100</v>
      </c>
      <c r="X15" s="1349"/>
      <c r="Y15" s="3747" t="s">
        <v>1691</v>
      </c>
      <c r="Z15" s="1350" t="str">
        <f t="shared" si="7"/>
        <v>办公集聚程度</v>
      </c>
      <c r="AA15" s="1347">
        <f t="shared" si="3"/>
        <v>1</v>
      </c>
      <c r="AB15" s="1347">
        <f t="shared" si="4"/>
        <v>1</v>
      </c>
      <c r="AC15" s="1956">
        <f t="shared" si="5"/>
        <v>1</v>
      </c>
    </row>
    <row r="16" spans="1:29" ht="15">
      <c r="A16" s="376"/>
      <c r="B16" s="575"/>
      <c r="C16" s="1898"/>
      <c r="D16" s="396"/>
      <c r="E16" s="395"/>
      <c r="F16" s="396"/>
      <c r="G16" s="1898"/>
      <c r="H16" s="398"/>
      <c r="I16" s="395"/>
      <c r="J16" s="396"/>
      <c r="K16" s="561"/>
      <c r="L16" s="2716"/>
      <c r="M16" s="2710"/>
      <c r="N16" s="2710"/>
      <c r="O16" s="2710"/>
      <c r="P16" s="3755"/>
      <c r="Q16" s="1346"/>
      <c r="R16" s="702"/>
      <c r="S16" s="703"/>
      <c r="T16" s="702"/>
      <c r="U16" s="703"/>
      <c r="V16" s="702"/>
      <c r="W16" s="703"/>
      <c r="X16" s="1349"/>
      <c r="Y16" s="3748"/>
      <c r="Z16" s="1350"/>
      <c r="AA16" s="1347">
        <v>1</v>
      </c>
      <c r="AB16" s="1347">
        <v>1</v>
      </c>
      <c r="AC16" s="1956">
        <v>1</v>
      </c>
    </row>
    <row r="17" spans="1:29" ht="15">
      <c r="A17" s="376"/>
      <c r="B17" s="576" t="s">
        <v>1259</v>
      </c>
      <c r="C17" s="1957">
        <f>估价对象房地状况!C6</f>
        <v>0</v>
      </c>
      <c r="D17" s="398">
        <v>100</v>
      </c>
      <c r="E17" s="402"/>
      <c r="F17" s="398">
        <f>SUMIF(79:79,E18,80:80)-SUMIF(79:79,C18,80:80)+100</f>
        <v>100</v>
      </c>
      <c r="G17" s="400"/>
      <c r="H17" s="403">
        <f>SUMIF(79:79,G18,80:80)-SUMIF(79:79,C18,80:80)+100</f>
        <v>100</v>
      </c>
      <c r="I17" s="400"/>
      <c r="J17" s="403">
        <f>SUMIF(79:79,I18,80:80)-SUMIF(79:79,C18,80:80)+100</f>
        <v>100</v>
      </c>
      <c r="K17" s="560"/>
      <c r="L17" s="2716"/>
      <c r="M17" s="2710"/>
      <c r="N17" s="2710"/>
      <c r="O17" s="2710"/>
      <c r="P17" s="3755"/>
      <c r="Q17" s="1346" t="str">
        <f>B17</f>
        <v>交通便捷度</v>
      </c>
      <c r="R17" s="702" t="s">
        <v>14</v>
      </c>
      <c r="S17" s="703">
        <f>F17</f>
        <v>100</v>
      </c>
      <c r="T17" s="702" t="s">
        <v>14</v>
      </c>
      <c r="U17" s="703">
        <f>H17</f>
        <v>100</v>
      </c>
      <c r="V17" s="702" t="s">
        <v>14</v>
      </c>
      <c r="W17" s="703">
        <f>J17</f>
        <v>100</v>
      </c>
      <c r="X17" s="1349"/>
      <c r="Y17" s="3748"/>
      <c r="Z17" s="1350" t="str">
        <f>Q17</f>
        <v>交通便捷度</v>
      </c>
      <c r="AA17" s="1347">
        <f t="shared" si="3"/>
        <v>1</v>
      </c>
      <c r="AB17" s="1347">
        <f t="shared" si="4"/>
        <v>1</v>
      </c>
      <c r="AC17" s="1956">
        <f t="shared" si="5"/>
        <v>1</v>
      </c>
    </row>
    <row r="18" spans="1:29" ht="15">
      <c r="A18" s="376"/>
      <c r="B18" s="577"/>
      <c r="C18" s="1958"/>
      <c r="D18" s="398"/>
      <c r="E18" s="1896"/>
      <c r="F18" s="398"/>
      <c r="G18" s="1897"/>
      <c r="H18" s="396"/>
      <c r="I18" s="1897"/>
      <c r="J18" s="396"/>
      <c r="K18" s="561"/>
      <c r="L18" s="2716"/>
      <c r="M18" s="2710"/>
      <c r="N18" s="2710"/>
      <c r="O18" s="2710"/>
      <c r="P18" s="3755"/>
      <c r="Q18" s="1346"/>
      <c r="R18" s="702"/>
      <c r="S18" s="703"/>
      <c r="T18" s="702"/>
      <c r="U18" s="703"/>
      <c r="V18" s="702"/>
      <c r="W18" s="703"/>
      <c r="X18" s="1349"/>
      <c r="Y18" s="3748"/>
      <c r="Z18" s="1350"/>
      <c r="AA18" s="1347">
        <v>1</v>
      </c>
      <c r="AB18" s="1347">
        <v>1</v>
      </c>
      <c r="AC18" s="1956">
        <v>1</v>
      </c>
    </row>
    <row r="19" spans="1:29" ht="15">
      <c r="A19" s="376"/>
      <c r="B19" s="576" t="s">
        <v>1812</v>
      </c>
      <c r="C19" s="1957">
        <f>估价对象房地状况!C7</f>
        <v>0</v>
      </c>
      <c r="D19" s="403">
        <v>100</v>
      </c>
      <c r="E19" s="407"/>
      <c r="F19" s="403">
        <f>SUMIF(81:81,E20,82:82)-SUMIF(81:81,C20,82:82)+100</f>
        <v>100</v>
      </c>
      <c r="G19" s="405"/>
      <c r="H19" s="398">
        <f>SUMIF(81:81,G20,82:82)-SUMIF(81:81,C20,82:82)+100</f>
        <v>100</v>
      </c>
      <c r="I19" s="405"/>
      <c r="J19" s="398">
        <f>SUMIF(81:81,I20,82:82)-SUMIF(81:81,C20,82:82)+100</f>
        <v>100</v>
      </c>
      <c r="K19" s="560"/>
      <c r="L19" s="2716"/>
      <c r="M19" s="2710"/>
      <c r="N19" s="2710"/>
      <c r="O19" s="2710"/>
      <c r="P19" s="3755"/>
      <c r="Q19" s="1346" t="str">
        <f>B19</f>
        <v>公共配套设施</v>
      </c>
      <c r="R19" s="702" t="s">
        <v>14</v>
      </c>
      <c r="S19" s="703">
        <f>F19</f>
        <v>100</v>
      </c>
      <c r="T19" s="702" t="s">
        <v>14</v>
      </c>
      <c r="U19" s="703">
        <f>H19</f>
        <v>100</v>
      </c>
      <c r="V19" s="702" t="s">
        <v>14</v>
      </c>
      <c r="W19" s="703">
        <f>J19</f>
        <v>100</v>
      </c>
      <c r="X19" s="1349"/>
      <c r="Y19" s="3748"/>
      <c r="Z19" s="1350" t="str">
        <f>Q19</f>
        <v>公共配套设施</v>
      </c>
      <c r="AA19" s="1347">
        <f t="shared" si="3"/>
        <v>1</v>
      </c>
      <c r="AB19" s="1347">
        <f t="shared" si="4"/>
        <v>1</v>
      </c>
      <c r="AC19" s="1956">
        <f t="shared" si="5"/>
        <v>1</v>
      </c>
    </row>
    <row r="20" spans="1:29" ht="15">
      <c r="A20" s="376"/>
      <c r="B20" s="577"/>
      <c r="C20" s="1898"/>
      <c r="D20" s="396"/>
      <c r="E20" s="1891"/>
      <c r="F20" s="396"/>
      <c r="G20" s="1892"/>
      <c r="H20" s="396"/>
      <c r="I20" s="1892"/>
      <c r="J20" s="396"/>
      <c r="K20" s="561"/>
      <c r="L20" s="2716"/>
      <c r="M20" s="2710"/>
      <c r="N20" s="2710"/>
      <c r="O20" s="2710"/>
      <c r="P20" s="3755"/>
      <c r="Q20" s="1346"/>
      <c r="R20" s="702"/>
      <c r="S20" s="703"/>
      <c r="T20" s="702"/>
      <c r="U20" s="703"/>
      <c r="V20" s="702"/>
      <c r="W20" s="703"/>
      <c r="X20" s="1349"/>
      <c r="Y20" s="3748"/>
      <c r="Z20" s="1350"/>
      <c r="AA20" s="1347">
        <v>1</v>
      </c>
      <c r="AB20" s="1347">
        <v>1</v>
      </c>
      <c r="AC20" s="1956">
        <v>1</v>
      </c>
    </row>
    <row r="21" spans="1:29" ht="15">
      <c r="A21" s="376"/>
      <c r="B21" s="578" t="s">
        <v>1813</v>
      </c>
      <c r="C21" s="1957">
        <f>估价对象房地状况!C8</f>
        <v>0</v>
      </c>
      <c r="D21" s="398">
        <v>100</v>
      </c>
      <c r="E21" s="407"/>
      <c r="F21" s="403">
        <f>SUMIF(83:83,E22,84:84)-SUMIF(83:83,C22,84:84)+100</f>
        <v>100</v>
      </c>
      <c r="G21" s="405"/>
      <c r="H21" s="398">
        <f>SUMIF(83:83,G22,84:84)-SUMIF(83:83,C22,84:84)+100</f>
        <v>100</v>
      </c>
      <c r="I21" s="405"/>
      <c r="J21" s="398">
        <f>SUMIF(83:83,I22,84:84)-SUMIF(83:83,C22,84:84)+100</f>
        <v>100</v>
      </c>
      <c r="K21" s="560"/>
      <c r="L21" s="2716"/>
      <c r="M21" s="2710"/>
      <c r="N21" s="2710"/>
      <c r="O21" s="2710"/>
      <c r="P21" s="3755"/>
      <c r="Q21" s="1346" t="str">
        <f>B21</f>
        <v>基础设施水平</v>
      </c>
      <c r="R21" s="702" t="s">
        <v>14</v>
      </c>
      <c r="S21" s="703">
        <f>F21</f>
        <v>100</v>
      </c>
      <c r="T21" s="702" t="s">
        <v>14</v>
      </c>
      <c r="U21" s="703">
        <f>H21</f>
        <v>100</v>
      </c>
      <c r="V21" s="702" t="s">
        <v>14</v>
      </c>
      <c r="W21" s="703">
        <f>J21</f>
        <v>100</v>
      </c>
      <c r="X21" s="1349"/>
      <c r="Y21" s="3748"/>
      <c r="Z21" s="1350" t="str">
        <f>Q21</f>
        <v>基础设施水平</v>
      </c>
      <c r="AA21" s="1347">
        <f t="shared" ref="AA21" si="8">D21/F21</f>
        <v>1</v>
      </c>
      <c r="AB21" s="1347">
        <f t="shared" ref="AB21" si="9">D21/H21</f>
        <v>1</v>
      </c>
      <c r="AC21" s="1956">
        <f t="shared" ref="AC21" si="10">D21/J21</f>
        <v>1</v>
      </c>
    </row>
    <row r="22" spans="1:29" ht="15">
      <c r="A22" s="376"/>
      <c r="B22" s="578"/>
      <c r="C22" s="1958"/>
      <c r="D22" s="396"/>
      <c r="E22" s="395"/>
      <c r="F22" s="396"/>
      <c r="G22" s="1898"/>
      <c r="H22" s="396"/>
      <c r="I22" s="1898"/>
      <c r="J22" s="396"/>
      <c r="K22" s="1124"/>
      <c r="L22" s="2716"/>
      <c r="M22" s="2710"/>
      <c r="N22" s="2710"/>
      <c r="O22" s="2710"/>
      <c r="P22" s="3755"/>
      <c r="Q22" s="1346"/>
      <c r="R22" s="702"/>
      <c r="S22" s="703"/>
      <c r="T22" s="702"/>
      <c r="U22" s="703"/>
      <c r="V22" s="702"/>
      <c r="W22" s="703"/>
      <c r="X22" s="1349"/>
      <c r="Y22" s="3748"/>
      <c r="Z22" s="1350"/>
      <c r="AA22" s="1347">
        <v>1</v>
      </c>
      <c r="AB22" s="1347">
        <v>1</v>
      </c>
      <c r="AC22" s="1956">
        <v>1</v>
      </c>
    </row>
    <row r="23" spans="1:29" ht="15">
      <c r="A23" s="376"/>
      <c r="B23" s="576" t="s">
        <v>1814</v>
      </c>
      <c r="C23" s="1957">
        <f>估价对象房地状况!C9</f>
        <v>0</v>
      </c>
      <c r="D23" s="398">
        <v>100</v>
      </c>
      <c r="E23" s="402"/>
      <c r="F23" s="398">
        <f>SUMIF(85:85,E24,86:86)-SUMIF(85:85,C24,86:86)+100</f>
        <v>100</v>
      </c>
      <c r="G23" s="400"/>
      <c r="H23" s="398">
        <f>SUMIF(85:85,G24,86:86)-SUMIF(85:85,C24,86:86)+100</f>
        <v>100</v>
      </c>
      <c r="I23" s="400"/>
      <c r="J23" s="398">
        <f>SUMIF(85:85,I24,86:86)-SUMIF(85:85,C24,86:86)+100</f>
        <v>100</v>
      </c>
      <c r="K23" s="560"/>
      <c r="L23" s="2716"/>
      <c r="M23" s="2710"/>
      <c r="N23" s="2710"/>
      <c r="O23" s="2710"/>
      <c r="P23" s="3755"/>
      <c r="Q23" s="1346" t="str">
        <f>B23</f>
        <v>环境质量</v>
      </c>
      <c r="R23" s="702" t="s">
        <v>14</v>
      </c>
      <c r="S23" s="703">
        <f>F23</f>
        <v>100</v>
      </c>
      <c r="T23" s="702" t="s">
        <v>14</v>
      </c>
      <c r="U23" s="703">
        <f>H23</f>
        <v>100</v>
      </c>
      <c r="V23" s="702" t="s">
        <v>14</v>
      </c>
      <c r="W23" s="703">
        <f>J23</f>
        <v>100</v>
      </c>
      <c r="X23" s="1349"/>
      <c r="Y23" s="3748"/>
      <c r="Z23" s="1350" t="str">
        <f>Q23</f>
        <v>环境质量</v>
      </c>
      <c r="AA23" s="1347">
        <f t="shared" si="3"/>
        <v>1</v>
      </c>
      <c r="AB23" s="1347">
        <f t="shared" si="4"/>
        <v>1</v>
      </c>
      <c r="AC23" s="1956">
        <f t="shared" si="5"/>
        <v>1</v>
      </c>
    </row>
    <row r="24" spans="1:29" ht="15">
      <c r="A24" s="376"/>
      <c r="B24" s="578"/>
      <c r="C24" s="1898"/>
      <c r="D24" s="396"/>
      <c r="E24" s="1891"/>
      <c r="F24" s="396"/>
      <c r="G24" s="1892"/>
      <c r="H24" s="396"/>
      <c r="I24" s="1892"/>
      <c r="J24" s="396"/>
      <c r="K24" s="561"/>
      <c r="L24" s="2716"/>
      <c r="M24" s="2710"/>
      <c r="N24" s="2710"/>
      <c r="O24" s="2710"/>
      <c r="P24" s="3755"/>
      <c r="Q24" s="1346"/>
      <c r="R24" s="702"/>
      <c r="S24" s="703"/>
      <c r="T24" s="702"/>
      <c r="U24" s="703"/>
      <c r="V24" s="702"/>
      <c r="W24" s="703"/>
      <c r="X24" s="1349"/>
      <c r="Y24" s="3748"/>
      <c r="Z24" s="1350"/>
      <c r="AA24" s="1347">
        <v>1</v>
      </c>
      <c r="AB24" s="1347">
        <v>1</v>
      </c>
      <c r="AC24" s="1956">
        <v>1</v>
      </c>
    </row>
    <row r="25" spans="1:29" ht="28.5">
      <c r="A25" s="355"/>
      <c r="B25" s="576" t="s">
        <v>1815</v>
      </c>
      <c r="C25" s="1902"/>
      <c r="D25" s="383">
        <v>100</v>
      </c>
      <c r="E25" s="382"/>
      <c r="F25" s="383">
        <f>SUMIF(87:87,E26,88:88)-SUMIF(87:87,C26,88:88)+100</f>
        <v>100</v>
      </c>
      <c r="G25" s="1902"/>
      <c r="H25" s="383">
        <f>SUMIF(87:87,G26,88:88)-SUMIF(87:87,C26,88:88)+100</f>
        <v>100</v>
      </c>
      <c r="I25" s="382"/>
      <c r="J25" s="383">
        <f>SUMIF(87:87,I26,88:88)-SUMIF(87:87,C26,88:88)+100</f>
        <v>100</v>
      </c>
      <c r="K25" s="560"/>
      <c r="L25" s="2716"/>
      <c r="M25" s="2710"/>
      <c r="N25" s="2710"/>
      <c r="O25" s="2710"/>
      <c r="P25" s="3755"/>
      <c r="Q25" s="1346" t="str">
        <f>B25</f>
        <v>毗邻道路的类型与等级</v>
      </c>
      <c r="R25" s="702" t="s">
        <v>14</v>
      </c>
      <c r="S25" s="703">
        <f>F25</f>
        <v>100</v>
      </c>
      <c r="T25" s="702" t="s">
        <v>14</v>
      </c>
      <c r="U25" s="703">
        <f>H25</f>
        <v>100</v>
      </c>
      <c r="V25" s="702" t="s">
        <v>14</v>
      </c>
      <c r="W25" s="703">
        <f>J25</f>
        <v>100</v>
      </c>
      <c r="X25" s="1349"/>
      <c r="Y25" s="3748"/>
      <c r="Z25" s="1350" t="str">
        <f>Q25</f>
        <v>毗邻道路的类型与等级</v>
      </c>
      <c r="AA25" s="1347">
        <f t="shared" si="3"/>
        <v>1</v>
      </c>
      <c r="AB25" s="1347">
        <f t="shared" si="4"/>
        <v>1</v>
      </c>
      <c r="AC25" s="1956">
        <f t="shared" si="5"/>
        <v>1</v>
      </c>
    </row>
    <row r="26" spans="1:29" ht="15">
      <c r="A26" s="355"/>
      <c r="B26" s="577"/>
      <c r="C26" s="579"/>
      <c r="D26" s="383"/>
      <c r="E26" s="562"/>
      <c r="F26" s="383"/>
      <c r="G26" s="579"/>
      <c r="H26" s="383"/>
      <c r="I26" s="562"/>
      <c r="J26" s="383"/>
      <c r="K26" s="561"/>
      <c r="L26" s="2716"/>
      <c r="M26" s="2710"/>
      <c r="N26" s="2710"/>
      <c r="O26" s="2710"/>
      <c r="P26" s="3755"/>
      <c r="Q26" s="1346"/>
      <c r="R26" s="702"/>
      <c r="S26" s="703"/>
      <c r="T26" s="702"/>
      <c r="U26" s="703"/>
      <c r="V26" s="702"/>
      <c r="W26" s="703"/>
      <c r="X26" s="1349"/>
      <c r="Y26" s="3748"/>
      <c r="Z26" s="1350"/>
      <c r="AA26" s="1347">
        <v>1</v>
      </c>
      <c r="AB26" s="1347">
        <v>1</v>
      </c>
      <c r="AC26" s="1956">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6"/>
      <c r="M27" s="2710"/>
      <c r="N27" s="2710"/>
      <c r="O27" s="2710"/>
      <c r="P27" s="3755"/>
      <c r="Q27" s="1346" t="str">
        <f t="shared" ref="Q27:Q47" si="11">B27</f>
        <v>楼层</v>
      </c>
      <c r="R27" s="702" t="s">
        <v>14</v>
      </c>
      <c r="S27" s="703">
        <f>F27</f>
        <v>100</v>
      </c>
      <c r="T27" s="702" t="s">
        <v>14</v>
      </c>
      <c r="U27" s="703">
        <f>H27</f>
        <v>100</v>
      </c>
      <c r="V27" s="702" t="s">
        <v>14</v>
      </c>
      <c r="W27" s="703">
        <f>J27</f>
        <v>100</v>
      </c>
      <c r="X27" s="1349"/>
      <c r="Y27" s="3748"/>
      <c r="Z27" s="1350" t="str">
        <f>Q27</f>
        <v>楼层</v>
      </c>
      <c r="AA27" s="1347">
        <f t="shared" si="3"/>
        <v>1</v>
      </c>
      <c r="AB27" s="1347">
        <f t="shared" si="4"/>
        <v>1</v>
      </c>
      <c r="AC27" s="1956">
        <f t="shared" si="5"/>
        <v>1</v>
      </c>
    </row>
    <row r="28" spans="1:29" s="105" customFormat="1" ht="15.75" thickBot="1">
      <c r="A28" s="379"/>
      <c r="B28" s="576" t="s">
        <v>1816</v>
      </c>
      <c r="C28" s="1959"/>
      <c r="D28" s="410">
        <v>100</v>
      </c>
      <c r="E28" s="1950"/>
      <c r="F28" s="410">
        <f>SUMIF(91:91,E28,92:92)-SUMIF(91:91,C28,92:92)+100</f>
        <v>100</v>
      </c>
      <c r="G28" s="1959"/>
      <c r="H28" s="410">
        <f>SUMIF(91:91,G28,92:92)-SUMIF(91:91,C28,92:92)+100</f>
        <v>100</v>
      </c>
      <c r="I28" s="1950"/>
      <c r="J28" s="410">
        <f>SUMIF(91:91,I28,92:92)-SUMIF(91:91,C28,92:92)+100</f>
        <v>100</v>
      </c>
      <c r="K28" s="558"/>
      <c r="L28" s="2711"/>
      <c r="M28" s="2712"/>
      <c r="N28" s="2712"/>
      <c r="O28" s="2712"/>
      <c r="P28" s="3755"/>
      <c r="Q28" s="1337" t="str">
        <f t="shared" si="11"/>
        <v>朝向</v>
      </c>
      <c r="R28" s="698" t="s">
        <v>14</v>
      </c>
      <c r="S28" s="699">
        <f>F28</f>
        <v>100</v>
      </c>
      <c r="T28" s="698" t="s">
        <v>14</v>
      </c>
      <c r="U28" s="699">
        <f>H28</f>
        <v>100</v>
      </c>
      <c r="V28" s="698" t="s">
        <v>14</v>
      </c>
      <c r="W28" s="699">
        <f>J28</f>
        <v>100</v>
      </c>
      <c r="X28" s="700"/>
      <c r="Y28" s="3748"/>
      <c r="Z28" s="52" t="str">
        <f>Q28</f>
        <v>朝向</v>
      </c>
      <c r="AA28" s="1347">
        <f>D28/F28</f>
        <v>1</v>
      </c>
      <c r="AB28" s="1347">
        <f>D28/H28</f>
        <v>1</v>
      </c>
      <c r="AC28" s="1956">
        <f>D28/J28</f>
        <v>1</v>
      </c>
    </row>
    <row r="29" spans="1:29" ht="15" hidden="1">
      <c r="A29" s="376"/>
      <c r="B29" s="1960">
        <v>111</v>
      </c>
      <c r="C29" s="1902"/>
      <c r="D29" s="383">
        <v>100</v>
      </c>
      <c r="E29" s="380"/>
      <c r="F29" s="383">
        <f>SUMIF(93:93,E29,94:94)-SUMIF(93:93,C29,94:94)+100</f>
        <v>100</v>
      </c>
      <c r="G29" s="1954"/>
      <c r="H29" s="383">
        <f>SUMIF(93:93,G29,94:94)-SUMIF(93:93,C29,94:94)+100</f>
        <v>100</v>
      </c>
      <c r="I29" s="380"/>
      <c r="J29" s="383">
        <f>SUMIF(93:93,I29,94:94)-SUMIF(93:93,C29,94:94)+100</f>
        <v>100</v>
      </c>
      <c r="K29" s="559"/>
      <c r="L29" s="2716"/>
      <c r="M29" s="2710"/>
      <c r="N29" s="2710"/>
      <c r="O29" s="2710"/>
      <c r="P29" s="3755"/>
      <c r="Q29" s="1346">
        <f t="shared" si="11"/>
        <v>111</v>
      </c>
      <c r="R29" s="702" t="s">
        <v>14</v>
      </c>
      <c r="S29" s="703">
        <f t="shared" ref="S29:S47" si="12">F29</f>
        <v>100</v>
      </c>
      <c r="T29" s="702" t="s">
        <v>14</v>
      </c>
      <c r="U29" s="703">
        <f t="shared" ref="U29:U47" si="13">H29</f>
        <v>100</v>
      </c>
      <c r="V29" s="702" t="s">
        <v>14</v>
      </c>
      <c r="W29" s="703">
        <f t="shared" ref="W29:W47" si="14">J29</f>
        <v>100</v>
      </c>
      <c r="X29" s="1349"/>
      <c r="Y29" s="3748"/>
      <c r="Z29" s="1350">
        <f t="shared" ref="Z29:Z47" si="15">Q29</f>
        <v>111</v>
      </c>
      <c r="AA29" s="1347">
        <f t="shared" si="3"/>
        <v>1</v>
      </c>
      <c r="AB29" s="1347">
        <f t="shared" si="4"/>
        <v>1</v>
      </c>
      <c r="AC29" s="1956">
        <f t="shared" si="5"/>
        <v>1</v>
      </c>
    </row>
    <row r="30" spans="1:29" ht="15" hidden="1">
      <c r="A30" s="376"/>
      <c r="B30" s="1960">
        <v>111</v>
      </c>
      <c r="C30" s="1902"/>
      <c r="D30" s="383">
        <v>100</v>
      </c>
      <c r="E30" s="380"/>
      <c r="F30" s="383">
        <f>SUMIF(95:95,E30,96:96)-SUMIF(95:95,C30,96:96)+100</f>
        <v>100</v>
      </c>
      <c r="G30" s="1954"/>
      <c r="H30" s="383">
        <f>SUMIF(95:95,G30,96:96)-SUMIF(95:95,C30,96:96)+100</f>
        <v>100</v>
      </c>
      <c r="I30" s="380"/>
      <c r="J30" s="383">
        <f>SUMIF(95:95,I30,96:96)-SUMIF(95:95,C30,96:96)+100</f>
        <v>100</v>
      </c>
      <c r="K30" s="559"/>
      <c r="L30" s="2716"/>
      <c r="M30" s="2710"/>
      <c r="N30" s="2710"/>
      <c r="O30" s="2710"/>
      <c r="P30" s="3755"/>
      <c r="Q30" s="1346">
        <f t="shared" si="11"/>
        <v>111</v>
      </c>
      <c r="R30" s="702" t="s">
        <v>14</v>
      </c>
      <c r="S30" s="703">
        <f t="shared" si="12"/>
        <v>100</v>
      </c>
      <c r="T30" s="702" t="s">
        <v>14</v>
      </c>
      <c r="U30" s="703">
        <f t="shared" si="13"/>
        <v>100</v>
      </c>
      <c r="V30" s="702" t="s">
        <v>14</v>
      </c>
      <c r="W30" s="703">
        <f t="shared" si="14"/>
        <v>100</v>
      </c>
      <c r="X30" s="1349"/>
      <c r="Y30" s="3748"/>
      <c r="Z30" s="1350">
        <f t="shared" si="15"/>
        <v>111</v>
      </c>
      <c r="AA30" s="1347">
        <f t="shared" si="3"/>
        <v>1</v>
      </c>
      <c r="AB30" s="1347">
        <f t="shared" si="4"/>
        <v>1</v>
      </c>
      <c r="AC30" s="1956">
        <f t="shared" si="5"/>
        <v>1</v>
      </c>
    </row>
    <row r="31" spans="1:29" ht="15" hidden="1">
      <c r="A31" s="376"/>
      <c r="B31" s="1960">
        <v>111</v>
      </c>
      <c r="C31" s="1902"/>
      <c r="D31" s="383">
        <v>100</v>
      </c>
      <c r="E31" s="380"/>
      <c r="F31" s="383">
        <f>SUMIF(97:97,E31,98:98)-SUMIF(97:97,C31,98:98)+100</f>
        <v>100</v>
      </c>
      <c r="G31" s="1954"/>
      <c r="H31" s="383">
        <f>SUMIF(97:97,G31,98:98)-SUMIF(97:97,C31,98:98)+100</f>
        <v>100</v>
      </c>
      <c r="I31" s="380"/>
      <c r="J31" s="383">
        <f>SUMIF(97:97,I31,98:98)-SUMIF(97:97,C31,98:98)+100</f>
        <v>100</v>
      </c>
      <c r="K31" s="559"/>
      <c r="L31" s="2716"/>
      <c r="M31" s="2710"/>
      <c r="N31" s="2710"/>
      <c r="O31" s="2710"/>
      <c r="P31" s="3755"/>
      <c r="Q31" s="1346">
        <f t="shared" si="11"/>
        <v>111</v>
      </c>
      <c r="R31" s="702" t="s">
        <v>14</v>
      </c>
      <c r="S31" s="703">
        <f t="shared" si="12"/>
        <v>100</v>
      </c>
      <c r="T31" s="702" t="s">
        <v>14</v>
      </c>
      <c r="U31" s="703">
        <f t="shared" si="13"/>
        <v>100</v>
      </c>
      <c r="V31" s="702" t="s">
        <v>14</v>
      </c>
      <c r="W31" s="703">
        <f t="shared" si="14"/>
        <v>100</v>
      </c>
      <c r="X31" s="1349"/>
      <c r="Y31" s="3748"/>
      <c r="Z31" s="1350">
        <f t="shared" si="15"/>
        <v>111</v>
      </c>
      <c r="AA31" s="1347">
        <f t="shared" si="3"/>
        <v>1</v>
      </c>
      <c r="AB31" s="1347">
        <f t="shared" si="4"/>
        <v>1</v>
      </c>
      <c r="AC31" s="1956">
        <f t="shared" si="5"/>
        <v>1</v>
      </c>
    </row>
    <row r="32" spans="1:29" ht="15.75" hidden="1" thickBot="1">
      <c r="A32" s="384"/>
      <c r="B32" s="580">
        <v>111</v>
      </c>
      <c r="C32" s="1903"/>
      <c r="D32" s="386">
        <v>100</v>
      </c>
      <c r="E32" s="573"/>
      <c r="F32" s="386">
        <f>SUMIF(99:99,E32,100:100)-SUMIF(99:99,C32,100:100)+100</f>
        <v>100</v>
      </c>
      <c r="G32" s="1954"/>
      <c r="H32" s="386">
        <f>SUMIF(99:99,G32,100:100)-SUMIF(99:99,C32,100:100)+100</f>
        <v>100</v>
      </c>
      <c r="I32" s="380"/>
      <c r="J32" s="386">
        <f>SUMIF(99:99,I32,100:100)-SUMIF(99:99,C32,100:100)+100</f>
        <v>100</v>
      </c>
      <c r="K32" s="559"/>
      <c r="L32" s="2716"/>
      <c r="M32" s="2710"/>
      <c r="N32" s="2710"/>
      <c r="O32" s="2710"/>
      <c r="P32" s="3755"/>
      <c r="Q32" s="1346">
        <f t="shared" si="11"/>
        <v>111</v>
      </c>
      <c r="R32" s="702" t="s">
        <v>14</v>
      </c>
      <c r="S32" s="703">
        <f t="shared" si="12"/>
        <v>100</v>
      </c>
      <c r="T32" s="702" t="s">
        <v>14</v>
      </c>
      <c r="U32" s="703">
        <f t="shared" si="13"/>
        <v>100</v>
      </c>
      <c r="V32" s="702" t="s">
        <v>14</v>
      </c>
      <c r="W32" s="703">
        <f t="shared" si="14"/>
        <v>100</v>
      </c>
      <c r="X32" s="1349"/>
      <c r="Y32" s="3748"/>
      <c r="Z32" s="1350">
        <f t="shared" si="15"/>
        <v>111</v>
      </c>
      <c r="AA32" s="1347">
        <f t="shared" si="3"/>
        <v>1</v>
      </c>
      <c r="AB32" s="1347">
        <f t="shared" si="4"/>
        <v>1</v>
      </c>
      <c r="AC32" s="1956">
        <f t="shared" si="5"/>
        <v>1</v>
      </c>
    </row>
    <row r="33" spans="1:29" ht="15">
      <c r="A33" s="388" t="s">
        <v>1694</v>
      </c>
      <c r="B33" s="63" t="s">
        <v>1817</v>
      </c>
      <c r="C33" s="1961"/>
      <c r="D33" s="415">
        <v>100</v>
      </c>
      <c r="E33" s="1961"/>
      <c r="F33" s="409">
        <f>SUMIF(101:101,E33,102:102)-SUMIF(101:101,C33,102:102)+100</f>
        <v>100</v>
      </c>
      <c r="G33" s="1961"/>
      <c r="H33" s="383">
        <f>SUMIF(101:101,G33,102:102)-SUMIF(101:101,C33,102:102)+100</f>
        <v>100</v>
      </c>
      <c r="I33" s="1961"/>
      <c r="J33" s="415">
        <f>SUMIF(101:101,I33,102:102)-SUMIF(101:101,C33,102:102)+100</f>
        <v>100</v>
      </c>
      <c r="K33" s="558"/>
      <c r="L33" s="2716"/>
      <c r="M33" s="2710"/>
      <c r="N33" s="2710"/>
      <c r="O33" s="2710"/>
      <c r="P33" s="3749" t="s">
        <v>1696</v>
      </c>
      <c r="Q33" s="1346" t="str">
        <f t="shared" si="11"/>
        <v>建筑类型</v>
      </c>
      <c r="R33" s="702" t="s">
        <v>14</v>
      </c>
      <c r="S33" s="703">
        <f t="shared" si="12"/>
        <v>100</v>
      </c>
      <c r="T33" s="702" t="s">
        <v>14</v>
      </c>
      <c r="U33" s="703">
        <f t="shared" si="13"/>
        <v>100</v>
      </c>
      <c r="V33" s="702" t="s">
        <v>14</v>
      </c>
      <c r="W33" s="703">
        <f t="shared" si="14"/>
        <v>100</v>
      </c>
      <c r="X33" s="1349"/>
      <c r="Y33" s="3752" t="s">
        <v>1696</v>
      </c>
      <c r="Z33" s="1350" t="str">
        <f t="shared" si="15"/>
        <v>建筑类型</v>
      </c>
      <c r="AA33" s="1347">
        <f t="shared" si="3"/>
        <v>1</v>
      </c>
      <c r="AB33" s="1347">
        <f t="shared" si="4"/>
        <v>1</v>
      </c>
      <c r="AC33" s="1956">
        <f t="shared" si="5"/>
        <v>1</v>
      </c>
    </row>
    <row r="34" spans="1:29" s="419" customFormat="1" ht="15">
      <c r="A34" s="416"/>
      <c r="B34" s="372" t="s">
        <v>1697</v>
      </c>
      <c r="C34" s="417"/>
      <c r="D34" s="124">
        <v>100</v>
      </c>
      <c r="E34" s="378"/>
      <c r="F34" s="373" t="e">
        <f>LOOKUP(E34,104:104,105:105)-LOOKUP(C34,104:104,105:105)+100</f>
        <v>#N/A</v>
      </c>
      <c r="G34" s="377"/>
      <c r="H34" s="124" t="e">
        <f>LOOKUP(G34,104:104,105:105)-LOOKUP(C34,104:104,105:105)+100</f>
        <v>#N/A</v>
      </c>
      <c r="I34" s="377"/>
      <c r="J34" s="124" t="e">
        <f>LOOKUP(I34,104:104,105:105)-LOOKUP(C34,104:104,105:105)+100</f>
        <v>#N/A</v>
      </c>
      <c r="K34" s="559"/>
      <c r="L34" s="2715"/>
      <c r="M34" s="2717"/>
      <c r="N34" s="2717"/>
      <c r="O34" s="2717"/>
      <c r="P34" s="3750"/>
      <c r="Q34" s="704" t="str">
        <f t="shared" si="11"/>
        <v>项目建筑规模</v>
      </c>
      <c r="R34" s="705" t="s">
        <v>14</v>
      </c>
      <c r="S34" s="706" t="e">
        <f t="shared" si="12"/>
        <v>#N/A</v>
      </c>
      <c r="T34" s="705" t="s">
        <v>14</v>
      </c>
      <c r="U34" s="706" t="e">
        <f t="shared" si="13"/>
        <v>#N/A</v>
      </c>
      <c r="V34" s="705" t="s">
        <v>14</v>
      </c>
      <c r="W34" s="706" t="e">
        <f t="shared" si="14"/>
        <v>#N/A</v>
      </c>
      <c r="X34" s="707"/>
      <c r="Y34" s="3752"/>
      <c r="Z34" s="708" t="str">
        <f t="shared" si="15"/>
        <v>项目建筑规模</v>
      </c>
      <c r="AA34" s="1347" t="e">
        <f t="shared" si="3"/>
        <v>#N/A</v>
      </c>
      <c r="AB34" s="1347" t="e">
        <f t="shared" si="4"/>
        <v>#N/A</v>
      </c>
      <c r="AC34" s="1956"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6"/>
      <c r="M35" s="2710"/>
      <c r="N35" s="2710"/>
      <c r="O35" s="2710"/>
      <c r="P35" s="3750"/>
      <c r="Q35" s="1346" t="str">
        <f t="shared" si="11"/>
        <v>建筑结构</v>
      </c>
      <c r="R35" s="702" t="s">
        <v>14</v>
      </c>
      <c r="S35" s="703">
        <f t="shared" si="12"/>
        <v>100</v>
      </c>
      <c r="T35" s="702" t="s">
        <v>14</v>
      </c>
      <c r="U35" s="703">
        <f t="shared" si="13"/>
        <v>100</v>
      </c>
      <c r="V35" s="702" t="s">
        <v>14</v>
      </c>
      <c r="W35" s="703">
        <f t="shared" si="14"/>
        <v>100</v>
      </c>
      <c r="X35" s="1349"/>
      <c r="Y35" s="3752"/>
      <c r="Z35" s="1350" t="str">
        <f t="shared" si="15"/>
        <v>建筑结构</v>
      </c>
      <c r="AA35" s="1347">
        <f t="shared" si="3"/>
        <v>1</v>
      </c>
      <c r="AB35" s="1347">
        <f t="shared" si="4"/>
        <v>1</v>
      </c>
      <c r="AC35" s="1956">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6"/>
      <c r="M36" s="2710"/>
      <c r="N36" s="2710"/>
      <c r="O36" s="2710"/>
      <c r="P36" s="3750"/>
      <c r="Q36" s="1346" t="str">
        <f t="shared" si="11"/>
        <v>公共部分装修</v>
      </c>
      <c r="R36" s="702" t="s">
        <v>14</v>
      </c>
      <c r="S36" s="703">
        <f t="shared" si="12"/>
        <v>100</v>
      </c>
      <c r="T36" s="702" t="s">
        <v>14</v>
      </c>
      <c r="U36" s="703">
        <f t="shared" si="13"/>
        <v>100</v>
      </c>
      <c r="V36" s="702" t="s">
        <v>14</v>
      </c>
      <c r="W36" s="703">
        <f t="shared" si="14"/>
        <v>100</v>
      </c>
      <c r="X36" s="1349"/>
      <c r="Y36" s="3752"/>
      <c r="Z36" s="1350" t="str">
        <f t="shared" si="15"/>
        <v>公共部分装修</v>
      </c>
      <c r="AA36" s="1347">
        <f t="shared" si="3"/>
        <v>1</v>
      </c>
      <c r="AB36" s="1347">
        <f t="shared" si="4"/>
        <v>1</v>
      </c>
      <c r="AC36" s="1956">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6"/>
      <c r="M37" s="2710"/>
      <c r="N37" s="2710"/>
      <c r="O37" s="2710"/>
      <c r="P37" s="3750"/>
      <c r="Q37" s="1346" t="str">
        <f t="shared" si="11"/>
        <v>成新度</v>
      </c>
      <c r="R37" s="702" t="s">
        <v>14</v>
      </c>
      <c r="S37" s="703" t="e">
        <f t="shared" si="12"/>
        <v>#N/A</v>
      </c>
      <c r="T37" s="702" t="s">
        <v>14</v>
      </c>
      <c r="U37" s="703" t="e">
        <f t="shared" si="13"/>
        <v>#N/A</v>
      </c>
      <c r="V37" s="702" t="s">
        <v>14</v>
      </c>
      <c r="W37" s="703" t="e">
        <f t="shared" si="14"/>
        <v>#N/A</v>
      </c>
      <c r="X37" s="1349"/>
      <c r="Y37" s="3752"/>
      <c r="Z37" s="1350" t="str">
        <f t="shared" si="15"/>
        <v>成新度</v>
      </c>
      <c r="AA37" s="1347" t="e">
        <f t="shared" si="3"/>
        <v>#N/A</v>
      </c>
      <c r="AB37" s="1347" t="e">
        <f t="shared" si="4"/>
        <v>#N/A</v>
      </c>
      <c r="AC37" s="1956" t="e">
        <f t="shared" si="5"/>
        <v>#N/A</v>
      </c>
    </row>
    <row r="38" spans="1:29" s="105" customFormat="1" ht="15">
      <c r="A38" s="421"/>
      <c r="B38" s="372" t="s">
        <v>1818</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1"/>
      <c r="M38" s="2712"/>
      <c r="N38" s="2712"/>
      <c r="O38" s="2712"/>
      <c r="P38" s="3750"/>
      <c r="Q38" s="1337" t="str">
        <f t="shared" si="11"/>
        <v>写字楼等级</v>
      </c>
      <c r="R38" s="698" t="s">
        <v>14</v>
      </c>
      <c r="S38" s="699">
        <f t="shared" si="12"/>
        <v>100</v>
      </c>
      <c r="T38" s="698" t="s">
        <v>14</v>
      </c>
      <c r="U38" s="699">
        <f t="shared" si="13"/>
        <v>100</v>
      </c>
      <c r="V38" s="698" t="s">
        <v>14</v>
      </c>
      <c r="W38" s="699">
        <f t="shared" si="14"/>
        <v>100</v>
      </c>
      <c r="X38" s="700"/>
      <c r="Y38" s="3752"/>
      <c r="Z38" s="52" t="str">
        <f t="shared" si="15"/>
        <v>写字楼等级</v>
      </c>
      <c r="AA38" s="701">
        <f t="shared" si="3"/>
        <v>1</v>
      </c>
      <c r="AB38" s="701">
        <f t="shared" si="4"/>
        <v>1</v>
      </c>
      <c r="AC38" s="1953">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6"/>
      <c r="M39" s="2710"/>
      <c r="N39" s="2710"/>
      <c r="O39" s="2710"/>
      <c r="P39" s="3750" t="s">
        <v>1696</v>
      </c>
      <c r="Q39" s="1346" t="str">
        <f t="shared" si="11"/>
        <v>物业管理</v>
      </c>
      <c r="R39" s="702" t="s">
        <v>14</v>
      </c>
      <c r="S39" s="703">
        <f t="shared" si="12"/>
        <v>100</v>
      </c>
      <c r="T39" s="702" t="s">
        <v>14</v>
      </c>
      <c r="U39" s="703">
        <f t="shared" si="13"/>
        <v>100</v>
      </c>
      <c r="V39" s="702" t="s">
        <v>14</v>
      </c>
      <c r="W39" s="703">
        <f t="shared" si="14"/>
        <v>100</v>
      </c>
      <c r="X39" s="1349"/>
      <c r="Y39" s="3752" t="s">
        <v>1696</v>
      </c>
      <c r="Z39" s="1350" t="str">
        <f t="shared" si="15"/>
        <v>物业管理</v>
      </c>
      <c r="AA39" s="1347">
        <f t="shared" si="3"/>
        <v>1</v>
      </c>
      <c r="AB39" s="1347">
        <f t="shared" si="4"/>
        <v>1</v>
      </c>
      <c r="AC39" s="1956">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6"/>
      <c r="M40" s="2710"/>
      <c r="N40" s="2710"/>
      <c r="O40" s="2710"/>
      <c r="P40" s="3750"/>
      <c r="Q40" s="1346" t="str">
        <f t="shared" si="11"/>
        <v>市政基础设施</v>
      </c>
      <c r="R40" s="702" t="s">
        <v>14</v>
      </c>
      <c r="S40" s="703">
        <f t="shared" si="12"/>
        <v>100</v>
      </c>
      <c r="T40" s="702" t="s">
        <v>14</v>
      </c>
      <c r="U40" s="703">
        <f t="shared" si="13"/>
        <v>100</v>
      </c>
      <c r="V40" s="702" t="s">
        <v>14</v>
      </c>
      <c r="W40" s="703">
        <f t="shared" si="14"/>
        <v>100</v>
      </c>
      <c r="X40" s="1349"/>
      <c r="Y40" s="3752"/>
      <c r="Z40" s="1350" t="str">
        <f t="shared" si="15"/>
        <v>市政基础设施</v>
      </c>
      <c r="AA40" s="1347">
        <f t="shared" si="3"/>
        <v>1</v>
      </c>
      <c r="AB40" s="1347">
        <f t="shared" si="4"/>
        <v>1</v>
      </c>
      <c r="AC40" s="1956">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6"/>
      <c r="M41" s="2710"/>
      <c r="N41" s="2710"/>
      <c r="O41" s="2710"/>
      <c r="P41" s="3750"/>
      <c r="Q41" s="1346" t="str">
        <f t="shared" si="11"/>
        <v>层高</v>
      </c>
      <c r="R41" s="702" t="s">
        <v>14</v>
      </c>
      <c r="S41" s="703">
        <f t="shared" si="12"/>
        <v>100</v>
      </c>
      <c r="T41" s="702" t="s">
        <v>14</v>
      </c>
      <c r="U41" s="703">
        <f t="shared" si="13"/>
        <v>100</v>
      </c>
      <c r="V41" s="702" t="s">
        <v>14</v>
      </c>
      <c r="W41" s="703">
        <f t="shared" si="14"/>
        <v>100</v>
      </c>
      <c r="X41" s="1349"/>
      <c r="Y41" s="3752"/>
      <c r="Z41" s="1350" t="str">
        <f t="shared" si="15"/>
        <v>层高</v>
      </c>
      <c r="AA41" s="1347">
        <f t="shared" si="3"/>
        <v>1</v>
      </c>
      <c r="AB41" s="1347">
        <f t="shared" si="4"/>
        <v>1</v>
      </c>
      <c r="AC41" s="1956">
        <f t="shared" si="5"/>
        <v>1</v>
      </c>
    </row>
    <row r="42" spans="1:29" s="419" customFormat="1" ht="15">
      <c r="A42" s="416"/>
      <c r="B42" s="1348"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5"/>
      <c r="M42" s="2717"/>
      <c r="N42" s="2717"/>
      <c r="O42" s="2717"/>
      <c r="P42" s="3750"/>
      <c r="Q42" s="704" t="str">
        <f t="shared" si="11"/>
        <v>单套建筑面积</v>
      </c>
      <c r="R42" s="705" t="s">
        <v>14</v>
      </c>
      <c r="S42" s="706">
        <f t="shared" si="12"/>
        <v>100</v>
      </c>
      <c r="T42" s="705" t="s">
        <v>14</v>
      </c>
      <c r="U42" s="706">
        <f t="shared" si="13"/>
        <v>100</v>
      </c>
      <c r="V42" s="705" t="s">
        <v>14</v>
      </c>
      <c r="W42" s="706">
        <f t="shared" si="14"/>
        <v>100</v>
      </c>
      <c r="X42" s="707"/>
      <c r="Y42" s="3752"/>
      <c r="Z42" s="708" t="str">
        <f t="shared" si="15"/>
        <v>单套建筑面积</v>
      </c>
      <c r="AA42" s="1347">
        <f t="shared" si="3"/>
        <v>1</v>
      </c>
      <c r="AB42" s="1347">
        <f t="shared" si="4"/>
        <v>1</v>
      </c>
      <c r="AC42" s="1956">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6"/>
      <c r="M43" s="2710"/>
      <c r="N43" s="2710"/>
      <c r="O43" s="2710"/>
      <c r="P43" s="3750"/>
      <c r="Q43" s="1346" t="str">
        <f t="shared" si="11"/>
        <v>内部装修</v>
      </c>
      <c r="R43" s="702" t="s">
        <v>14</v>
      </c>
      <c r="S43" s="703">
        <f t="shared" si="12"/>
        <v>100</v>
      </c>
      <c r="T43" s="702" t="s">
        <v>14</v>
      </c>
      <c r="U43" s="703">
        <f t="shared" si="13"/>
        <v>100</v>
      </c>
      <c r="V43" s="702" t="s">
        <v>14</v>
      </c>
      <c r="W43" s="703">
        <f t="shared" si="14"/>
        <v>100</v>
      </c>
      <c r="X43" s="1349"/>
      <c r="Y43" s="3752"/>
      <c r="Z43" s="1350" t="str">
        <f t="shared" si="15"/>
        <v>内部装修</v>
      </c>
      <c r="AA43" s="1347">
        <f t="shared" si="3"/>
        <v>1</v>
      </c>
      <c r="AB43" s="1347">
        <f t="shared" si="4"/>
        <v>1</v>
      </c>
      <c r="AC43" s="1956">
        <f t="shared" si="5"/>
        <v>1</v>
      </c>
    </row>
    <row r="44" spans="1:29" ht="15.75" thickBot="1">
      <c r="A44" s="420"/>
      <c r="B44" s="372" t="s">
        <v>1707</v>
      </c>
      <c r="C44" s="408"/>
      <c r="D44" s="383">
        <v>100</v>
      </c>
      <c r="E44" s="1900"/>
      <c r="F44" s="409">
        <f>SUMIF(125:125,E44,126:126)-SUMIF(125:125,C44,126:126)+100</f>
        <v>100</v>
      </c>
      <c r="G44" s="1900"/>
      <c r="H44" s="383">
        <f>SUMIF(125:125,G44,126:126)-SUMIF(125:125,C44,126:126)+100</f>
        <v>100</v>
      </c>
      <c r="I44" s="1900"/>
      <c r="J44" s="383">
        <f>SUMIF(125:125,I44,126:126)-SUMIF(125:125,C44,126:126)+100</f>
        <v>100</v>
      </c>
      <c r="K44" s="558"/>
      <c r="L44" s="2716"/>
      <c r="M44" s="2710"/>
      <c r="N44" s="2710"/>
      <c r="O44" s="2710"/>
      <c r="P44" s="3750"/>
      <c r="Q44" s="1346" t="str">
        <f t="shared" si="11"/>
        <v>内部装修维护情况</v>
      </c>
      <c r="R44" s="702" t="s">
        <v>14</v>
      </c>
      <c r="S44" s="703">
        <f t="shared" si="12"/>
        <v>100</v>
      </c>
      <c r="T44" s="702" t="s">
        <v>14</v>
      </c>
      <c r="U44" s="703">
        <f t="shared" si="13"/>
        <v>100</v>
      </c>
      <c r="V44" s="702" t="s">
        <v>14</v>
      </c>
      <c r="W44" s="703">
        <f t="shared" si="14"/>
        <v>100</v>
      </c>
      <c r="X44" s="1349"/>
      <c r="Y44" s="3752"/>
      <c r="Z44" s="1350" t="str">
        <f t="shared" si="15"/>
        <v>内部装修维护情况</v>
      </c>
      <c r="AA44" s="1347">
        <f t="shared" si="3"/>
        <v>1</v>
      </c>
      <c r="AB44" s="1347">
        <f t="shared" si="4"/>
        <v>1</v>
      </c>
      <c r="AC44" s="1956">
        <f t="shared" si="5"/>
        <v>1</v>
      </c>
    </row>
    <row r="45" spans="1:29" s="105" customFormat="1" ht="15" hidden="1">
      <c r="A45" s="421"/>
      <c r="B45" s="1127">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1"/>
      <c r="M45" s="2712"/>
      <c r="N45" s="2712"/>
      <c r="O45" s="2712"/>
      <c r="P45" s="3750"/>
      <c r="Q45" s="1337">
        <f t="shared" si="11"/>
        <v>111</v>
      </c>
      <c r="R45" s="698" t="s">
        <v>14</v>
      </c>
      <c r="S45" s="699">
        <f t="shared" si="12"/>
        <v>100</v>
      </c>
      <c r="T45" s="698" t="s">
        <v>14</v>
      </c>
      <c r="U45" s="699">
        <f t="shared" si="13"/>
        <v>100</v>
      </c>
      <c r="V45" s="698" t="s">
        <v>14</v>
      </c>
      <c r="W45" s="699">
        <f t="shared" si="14"/>
        <v>100</v>
      </c>
      <c r="X45" s="700"/>
      <c r="Y45" s="3752"/>
      <c r="Z45" s="52">
        <f t="shared" si="15"/>
        <v>111</v>
      </c>
      <c r="AA45" s="701">
        <f t="shared" si="3"/>
        <v>1</v>
      </c>
      <c r="AB45" s="701">
        <f t="shared" si="4"/>
        <v>1</v>
      </c>
      <c r="AC45" s="1953">
        <f t="shared" si="5"/>
        <v>1</v>
      </c>
    </row>
    <row r="46" spans="1:29" ht="15" hidden="1">
      <c r="A46" s="420"/>
      <c r="B46" s="1127">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6"/>
      <c r="M46" s="2710"/>
      <c r="N46" s="2710"/>
      <c r="O46" s="2710"/>
      <c r="P46" s="3750"/>
      <c r="Q46" s="1346">
        <f t="shared" si="11"/>
        <v>111</v>
      </c>
      <c r="R46" s="702" t="s">
        <v>14</v>
      </c>
      <c r="S46" s="703">
        <f t="shared" si="12"/>
        <v>100</v>
      </c>
      <c r="T46" s="702" t="s">
        <v>14</v>
      </c>
      <c r="U46" s="703">
        <f t="shared" si="13"/>
        <v>100</v>
      </c>
      <c r="V46" s="702" t="s">
        <v>14</v>
      </c>
      <c r="W46" s="703">
        <f t="shared" si="14"/>
        <v>100</v>
      </c>
      <c r="X46" s="1349"/>
      <c r="Y46" s="3752"/>
      <c r="Z46" s="1350">
        <f t="shared" si="15"/>
        <v>111</v>
      </c>
      <c r="AA46" s="1347">
        <f t="shared" si="3"/>
        <v>1</v>
      </c>
      <c r="AB46" s="1347">
        <f t="shared" si="4"/>
        <v>1</v>
      </c>
      <c r="AC46" s="1956">
        <f t="shared" si="5"/>
        <v>1</v>
      </c>
    </row>
    <row r="47" spans="1:29" ht="15.75" hidden="1" thickBot="1">
      <c r="A47" s="426"/>
      <c r="B47" s="1889">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6"/>
      <c r="M47" s="2710"/>
      <c r="N47" s="2710"/>
      <c r="O47" s="2710"/>
      <c r="P47" s="3751"/>
      <c r="Q47" s="1346">
        <f t="shared" si="11"/>
        <v>111</v>
      </c>
      <c r="R47" s="702" t="s">
        <v>14</v>
      </c>
      <c r="S47" s="703">
        <f t="shared" si="12"/>
        <v>100</v>
      </c>
      <c r="T47" s="702" t="s">
        <v>14</v>
      </c>
      <c r="U47" s="703">
        <f t="shared" si="13"/>
        <v>100</v>
      </c>
      <c r="V47" s="702" t="s">
        <v>14</v>
      </c>
      <c r="W47" s="703">
        <f t="shared" si="14"/>
        <v>100</v>
      </c>
      <c r="X47" s="1349"/>
      <c r="Y47" s="3753"/>
      <c r="Z47" s="1350">
        <f t="shared" si="15"/>
        <v>111</v>
      </c>
      <c r="AA47" s="1347">
        <f t="shared" si="3"/>
        <v>1</v>
      </c>
      <c r="AB47" s="1347">
        <f t="shared" si="4"/>
        <v>1</v>
      </c>
      <c r="AC47" s="1956">
        <f t="shared" si="5"/>
        <v>1</v>
      </c>
    </row>
    <row r="48" spans="1:29" ht="15">
      <c r="A48" s="427" t="s">
        <v>1708</v>
      </c>
      <c r="B48" s="428"/>
      <c r="C48" s="1148" t="s">
        <v>0</v>
      </c>
      <c r="D48" s="1149"/>
      <c r="E48" s="1150"/>
      <c r="F48" s="1151"/>
      <c r="G48" s="1152"/>
      <c r="H48" s="1153"/>
      <c r="I48" s="1150"/>
      <c r="J48" s="433"/>
      <c r="K48" s="711"/>
      <c r="L48" s="2718"/>
      <c r="M48" s="2710"/>
      <c r="N48" s="2710"/>
      <c r="O48" s="2710"/>
      <c r="P48" s="3727" t="str">
        <f>A48</f>
        <v>成交单价（元/平方米）</v>
      </c>
      <c r="Q48" s="3745"/>
      <c r="R48" s="3746">
        <f>E48</f>
        <v>0</v>
      </c>
      <c r="S48" s="3746"/>
      <c r="T48" s="3746">
        <f>G48</f>
        <v>0</v>
      </c>
      <c r="U48" s="3746"/>
      <c r="V48" s="3746">
        <f>I48</f>
        <v>0</v>
      </c>
      <c r="W48" s="3746"/>
      <c r="X48" s="394"/>
      <c r="Y48" s="709"/>
      <c r="Z48" s="394"/>
      <c r="AA48" s="394"/>
      <c r="AB48" s="394"/>
      <c r="AC48" s="575"/>
    </row>
    <row r="49" spans="1:29" ht="15.75" thickBot="1">
      <c r="A49" s="434" t="s">
        <v>1793</v>
      </c>
      <c r="B49" s="435"/>
      <c r="C49" s="1154" t="e">
        <f>R50</f>
        <v>#DIV/0!</v>
      </c>
      <c r="D49" s="2311" t="s">
        <v>2138</v>
      </c>
      <c r="E49" s="1155" t="e">
        <f>R49</f>
        <v>#DIV/0!</v>
      </c>
      <c r="F49" s="2312"/>
      <c r="G49" s="1154" t="e">
        <f>T49</f>
        <v>#DIV/0!</v>
      </c>
      <c r="H49" s="2312"/>
      <c r="I49" s="1155" t="e">
        <f>V49</f>
        <v>#DIV/0!</v>
      </c>
      <c r="J49" s="2312"/>
      <c r="K49" s="2314">
        <f>F49+H49+J49</f>
        <v>0</v>
      </c>
      <c r="L49" s="2718"/>
      <c r="M49" s="2710"/>
      <c r="N49" s="2710"/>
      <c r="O49" s="2710"/>
      <c r="P49" s="3727" t="str">
        <f>A49</f>
        <v>比较价值（元/平方米）</v>
      </c>
      <c r="Q49" s="3745"/>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94"/>
      <c r="Y49" s="394"/>
      <c r="Z49" s="394"/>
      <c r="AA49" s="394"/>
      <c r="AB49" s="394"/>
      <c r="AC49" s="575"/>
    </row>
    <row r="50" spans="1:29" ht="15.75" thickBot="1">
      <c r="A50" s="438" t="s">
        <v>1794</v>
      </c>
      <c r="B50" s="439"/>
      <c r="C50" s="1157" t="e">
        <f>R50</f>
        <v>#DIV/0!</v>
      </c>
      <c r="D50" s="1157"/>
      <c r="E50" s="1157"/>
      <c r="F50" s="1157"/>
      <c r="G50" s="1157"/>
      <c r="H50" s="1157"/>
      <c r="I50" s="1157"/>
      <c r="J50" s="440"/>
      <c r="K50" s="712"/>
      <c r="L50" s="2718"/>
      <c r="M50" s="2710"/>
      <c r="N50" s="2710"/>
      <c r="O50" s="2710"/>
      <c r="P50" s="3838" t="str">
        <f>A50</f>
        <v>估价对象XX用房的比较价值（楼面单价，元/平方米）</v>
      </c>
      <c r="Q50" s="3839"/>
      <c r="R50" s="3840" t="e">
        <f>IF(F1="售价",ROUND(IF(D49="简单平均",AVERAGE(R49:V49),R49*F49+T49*H49+V49*J49),0),ROUND(IF(D49="简单平均",AVERAGE(R49:V49),R49*F49+T49*H49+V49*J49),1))</f>
        <v>#DIV/0!</v>
      </c>
      <c r="S50" s="3840"/>
      <c r="T50" s="3840"/>
      <c r="U50" s="3840"/>
      <c r="V50" s="3840"/>
      <c r="W50" s="3840"/>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8" customFormat="1" ht="13.5" customHeight="1">
      <c r="A55" s="2722"/>
      <c r="B55" s="2722"/>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48"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1" t="s">
        <v>1798</v>
      </c>
      <c r="B58" s="687"/>
      <c r="C58" s="692"/>
      <c r="D58" s="692"/>
      <c r="E58" s="692"/>
      <c r="F58" s="693"/>
      <c r="G58" s="693"/>
      <c r="H58" s="692"/>
      <c r="I58" s="692"/>
      <c r="J58" s="692"/>
      <c r="K58" s="694"/>
      <c r="L58" s="936"/>
      <c r="M58" s="934"/>
      <c r="N58" s="2763"/>
      <c r="O58" s="2763"/>
      <c r="P58" s="2752"/>
      <c r="Q58" s="2733"/>
      <c r="R58" s="2719"/>
      <c r="S58" s="2719"/>
      <c r="T58" s="2719"/>
      <c r="U58" s="2719"/>
      <c r="V58" s="2719"/>
      <c r="W58" s="2719"/>
      <c r="X58" s="2719"/>
      <c r="Y58" s="2719"/>
      <c r="Z58" s="2719"/>
      <c r="AA58" s="2719"/>
      <c r="AB58" s="2719"/>
      <c r="AC58" s="2719"/>
    </row>
    <row r="59" spans="1:29" s="454" customFormat="1" ht="15">
      <c r="A59" s="451" t="s">
        <v>1679</v>
      </c>
      <c r="B59" s="452"/>
      <c r="C59" s="1178" t="str">
        <f>YEAR(C7)&amp;"-"&amp;MONTH(C7)</f>
        <v>2024-9</v>
      </c>
      <c r="D59" s="1179">
        <f>EDATE(C59,-1)</f>
        <v>45505</v>
      </c>
      <c r="E59" s="1179">
        <f>EDATE(D59,-1)</f>
        <v>45474</v>
      </c>
      <c r="F59" s="1179">
        <f t="shared" ref="F59:O59" si="16">EDATE(E59,-1)</f>
        <v>45444</v>
      </c>
      <c r="G59" s="1179">
        <f t="shared" si="16"/>
        <v>45413</v>
      </c>
      <c r="H59" s="1179">
        <f t="shared" si="16"/>
        <v>45383</v>
      </c>
      <c r="I59" s="1179">
        <f t="shared" si="16"/>
        <v>45352</v>
      </c>
      <c r="J59" s="1179">
        <f t="shared" si="16"/>
        <v>45323</v>
      </c>
      <c r="K59" s="1179">
        <f t="shared" si="16"/>
        <v>45292</v>
      </c>
      <c r="L59" s="1179">
        <f t="shared" si="16"/>
        <v>45261</v>
      </c>
      <c r="M59" s="1179">
        <f t="shared" si="16"/>
        <v>45231</v>
      </c>
      <c r="N59" s="1179">
        <f t="shared" si="16"/>
        <v>45200</v>
      </c>
      <c r="O59" s="1179">
        <f t="shared" si="16"/>
        <v>45170</v>
      </c>
      <c r="P59" s="2753"/>
      <c r="Q59" s="2735"/>
      <c r="R59" s="2735"/>
      <c r="S59" s="2735"/>
      <c r="T59" s="2735"/>
      <c r="U59" s="2735"/>
      <c r="V59" s="2735"/>
      <c r="W59" s="2735"/>
      <c r="X59" s="2735"/>
      <c r="Y59" s="2735"/>
      <c r="Z59" s="2735"/>
      <c r="AA59" s="2735"/>
      <c r="AB59" s="2735"/>
      <c r="AC59" s="2735"/>
    </row>
    <row r="60" spans="1:29" s="105" customFormat="1" ht="15">
      <c r="A60" s="455"/>
      <c r="B60" s="456"/>
      <c r="C60" s="1177">
        <v>100</v>
      </c>
      <c r="D60" s="458"/>
      <c r="E60" s="458"/>
      <c r="F60" s="458"/>
      <c r="G60" s="458"/>
      <c r="H60" s="458"/>
      <c r="I60" s="458"/>
      <c r="J60" s="458"/>
      <c r="K60" s="458"/>
      <c r="L60" s="458"/>
      <c r="M60" s="459"/>
      <c r="N60" s="458"/>
      <c r="O60" s="459"/>
      <c r="P60" s="2754"/>
      <c r="Q60" s="2655"/>
      <c r="R60" s="2655"/>
      <c r="S60" s="2655"/>
      <c r="T60" s="2655"/>
      <c r="U60" s="2655"/>
      <c r="V60" s="2655"/>
      <c r="W60" s="2655"/>
      <c r="X60" s="2655"/>
      <c r="Y60" s="2655"/>
      <c r="Z60" s="2655"/>
      <c r="AA60" s="2655"/>
      <c r="AB60" s="2655"/>
      <c r="AC60" s="2655"/>
    </row>
    <row r="61" spans="1:29" s="105" customFormat="1" ht="15.75" thickBot="1">
      <c r="A61" s="461" t="s">
        <v>1716</v>
      </c>
      <c r="B61" s="462"/>
      <c r="C61" s="463"/>
      <c r="D61" s="464"/>
      <c r="E61" s="464"/>
      <c r="F61" s="464"/>
      <c r="G61" s="464"/>
      <c r="H61" s="464"/>
      <c r="I61" s="464"/>
      <c r="J61" s="464"/>
      <c r="K61" s="464"/>
      <c r="L61" s="464"/>
      <c r="M61" s="465"/>
      <c r="N61" s="464"/>
      <c r="O61" s="465"/>
      <c r="P61" s="2754"/>
      <c r="Q61" s="2733"/>
      <c r="R61" s="2655"/>
      <c r="S61" s="2655"/>
      <c r="T61" s="2655"/>
      <c r="U61" s="2655"/>
      <c r="V61" s="2655"/>
      <c r="W61" s="2655"/>
      <c r="X61" s="2655"/>
      <c r="Y61" s="2655"/>
      <c r="Z61" s="2655"/>
      <c r="AA61" s="2655"/>
      <c r="AB61" s="2655"/>
      <c r="AC61" s="2655"/>
    </row>
    <row r="62" spans="1:29" s="105" customFormat="1" ht="15">
      <c r="A62" s="467" t="s">
        <v>1681</v>
      </c>
      <c r="B62" s="456"/>
      <c r="C62" s="468" t="s">
        <v>1776</v>
      </c>
      <c r="D62" s="469"/>
      <c r="E62" s="469"/>
      <c r="F62" s="469"/>
      <c r="G62" s="469"/>
      <c r="H62" s="469"/>
      <c r="I62" s="469"/>
      <c r="J62" s="469"/>
      <c r="K62" s="469"/>
      <c r="L62" s="470"/>
      <c r="M62" s="471"/>
      <c r="N62" s="2746"/>
      <c r="O62" s="2746"/>
      <c r="P62" s="2755"/>
      <c r="Q62" s="2733"/>
      <c r="R62" s="2655"/>
      <c r="S62" s="2655"/>
      <c r="T62" s="2655"/>
      <c r="U62" s="2655"/>
      <c r="V62" s="2655"/>
      <c r="W62" s="2655"/>
      <c r="X62" s="2655"/>
      <c r="Y62" s="2655"/>
      <c r="Z62" s="2655"/>
      <c r="AA62" s="2655"/>
      <c r="AB62" s="2655"/>
      <c r="AC62" s="2655"/>
    </row>
    <row r="63" spans="1:29" s="105" customFormat="1" ht="15.75" thickBot="1">
      <c r="A63" s="467"/>
      <c r="B63" s="456"/>
      <c r="C63" s="457">
        <v>100</v>
      </c>
      <c r="D63" s="458"/>
      <c r="E63" s="458"/>
      <c r="F63" s="458"/>
      <c r="G63" s="458"/>
      <c r="H63" s="458"/>
      <c r="I63" s="458"/>
      <c r="J63" s="458"/>
      <c r="K63" s="458"/>
      <c r="L63" s="458"/>
      <c r="M63" s="460"/>
      <c r="N63" s="2746"/>
      <c r="O63" s="2746"/>
      <c r="P63" s="2754"/>
      <c r="Q63" s="2733"/>
      <c r="R63" s="2655"/>
      <c r="S63" s="2655"/>
      <c r="T63" s="2655"/>
      <c r="U63" s="2655"/>
      <c r="V63" s="2655"/>
      <c r="W63" s="2655"/>
      <c r="X63" s="2655"/>
      <c r="Y63" s="2655"/>
      <c r="Z63" s="2655"/>
      <c r="AA63" s="2655"/>
      <c r="AB63" s="2655"/>
      <c r="AC63" s="2655"/>
    </row>
    <row r="64" spans="1:29">
      <c r="A64" s="473" t="s">
        <v>1719</v>
      </c>
      <c r="B64" s="474" t="s">
        <v>1685</v>
      </c>
      <c r="C64" s="475">
        <f>C9</f>
        <v>0</v>
      </c>
      <c r="D64" s="476"/>
      <c r="E64" s="476"/>
      <c r="F64" s="476"/>
      <c r="G64" s="476"/>
      <c r="H64" s="476"/>
      <c r="I64" s="476"/>
      <c r="J64" s="476"/>
      <c r="K64" s="477"/>
      <c r="L64" s="478"/>
      <c r="M64" s="479"/>
      <c r="N64" s="2747"/>
      <c r="O64" s="2747"/>
      <c r="P64" s="2756"/>
      <c r="Q64" s="2733"/>
      <c r="R64" s="2719"/>
      <c r="S64" s="2719"/>
      <c r="T64" s="2719"/>
      <c r="U64" s="2719"/>
      <c r="V64" s="2719"/>
      <c r="W64" s="2719"/>
      <c r="X64" s="2719"/>
      <c r="Y64" s="2719"/>
      <c r="Z64" s="2719"/>
      <c r="AA64" s="2719"/>
      <c r="AB64" s="2719"/>
      <c r="AC64" s="2719"/>
    </row>
    <row r="65" spans="1:29" ht="15.75" thickBot="1">
      <c r="A65" s="480"/>
      <c r="B65" s="481"/>
      <c r="C65" s="482">
        <v>100</v>
      </c>
      <c r="D65" s="482"/>
      <c r="E65" s="482"/>
      <c r="F65" s="482"/>
      <c r="G65" s="482"/>
      <c r="H65" s="482"/>
      <c r="I65" s="482"/>
      <c r="J65" s="482"/>
      <c r="K65" s="482"/>
      <c r="L65" s="482"/>
      <c r="M65" s="483"/>
      <c r="N65" s="2748"/>
      <c r="O65" s="2748"/>
      <c r="P65" s="2756"/>
      <c r="Q65" s="2733"/>
      <c r="R65" s="2719"/>
      <c r="S65" s="2719"/>
      <c r="T65" s="2719"/>
      <c r="U65" s="2719"/>
      <c r="V65" s="2719"/>
      <c r="W65" s="2719"/>
      <c r="X65" s="2719"/>
      <c r="Y65" s="2719"/>
      <c r="Z65" s="2719"/>
      <c r="AA65" s="2719"/>
      <c r="AB65" s="2719"/>
      <c r="AC65" s="2719"/>
    </row>
    <row r="66" spans="1:29" ht="27.75" thickTop="1">
      <c r="A66" s="480"/>
      <c r="B66" s="484" t="s">
        <v>1688</v>
      </c>
      <c r="C66" s="529"/>
      <c r="D66" s="529"/>
      <c r="E66" s="529"/>
      <c r="F66" s="529"/>
      <c r="G66" s="529"/>
      <c r="H66" s="529"/>
      <c r="I66" s="529"/>
      <c r="J66" s="529"/>
      <c r="K66" s="530"/>
      <c r="L66" s="531"/>
      <c r="M66" s="532"/>
      <c r="N66" s="2747"/>
      <c r="O66" s="2747"/>
      <c r="P66" s="2756"/>
      <c r="Q66" s="2733"/>
      <c r="R66" s="2719"/>
      <c r="S66" s="2719"/>
      <c r="T66" s="2719"/>
      <c r="U66" s="2719"/>
      <c r="V66" s="2719"/>
      <c r="W66" s="2719"/>
      <c r="X66" s="2719"/>
      <c r="Y66" s="2719"/>
      <c r="Z66" s="2719"/>
      <c r="AA66" s="2719"/>
      <c r="AB66" s="2719"/>
      <c r="AC66" s="2719"/>
    </row>
    <row r="67" spans="1:29" ht="15.75" thickBot="1">
      <c r="A67" s="480"/>
      <c r="B67" s="489"/>
      <c r="C67" s="482"/>
      <c r="D67" s="482"/>
      <c r="E67" s="482"/>
      <c r="F67" s="482"/>
      <c r="G67" s="482"/>
      <c r="H67" s="482"/>
      <c r="I67" s="482"/>
      <c r="J67" s="482"/>
      <c r="K67" s="482"/>
      <c r="L67" s="482"/>
      <c r="M67" s="483"/>
      <c r="N67" s="2748"/>
      <c r="O67" s="2748"/>
      <c r="P67" s="2756"/>
      <c r="Q67" s="2733"/>
      <c r="R67" s="2719"/>
      <c r="S67" s="2719"/>
      <c r="T67" s="2719"/>
      <c r="U67" s="2719"/>
      <c r="V67" s="2719"/>
      <c r="W67" s="2719"/>
      <c r="X67" s="2719"/>
      <c r="Y67" s="2719"/>
      <c r="Z67" s="2719"/>
      <c r="AA67" s="2719"/>
      <c r="AB67" s="2719"/>
      <c r="AC67" s="271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0"/>
      <c r="B69" s="494"/>
      <c r="C69" s="495">
        <v>0</v>
      </c>
      <c r="D69" s="495">
        <v>3</v>
      </c>
      <c r="E69" s="495"/>
      <c r="F69" s="495"/>
      <c r="G69" s="495"/>
      <c r="H69" s="495"/>
      <c r="I69" s="495"/>
      <c r="J69" s="495"/>
      <c r="K69" s="496"/>
      <c r="L69" s="497"/>
      <c r="M69" s="498"/>
      <c r="N69" s="2747"/>
      <c r="O69" s="2747"/>
      <c r="P69" s="2756"/>
      <c r="Q69" s="2733"/>
      <c r="R69" s="2719"/>
      <c r="S69" s="2719"/>
      <c r="T69" s="2719"/>
      <c r="U69" s="2719"/>
      <c r="V69" s="2719"/>
      <c r="W69" s="2719"/>
      <c r="X69" s="2719"/>
      <c r="Y69" s="2719"/>
      <c r="Z69" s="2719"/>
      <c r="AA69" s="2719"/>
      <c r="AB69" s="2719"/>
      <c r="AC69" s="271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8"/>
      <c r="O70" s="2748"/>
      <c r="P70" s="2756"/>
      <c r="Q70" s="2733"/>
      <c r="R70" s="2719"/>
      <c r="S70" s="2719"/>
      <c r="T70" s="2719"/>
      <c r="U70" s="2719"/>
      <c r="V70" s="2719"/>
      <c r="W70" s="2719"/>
      <c r="X70" s="2719"/>
      <c r="Y70" s="2719"/>
      <c r="Z70" s="2719"/>
      <c r="AA70" s="2719"/>
      <c r="AB70" s="2719"/>
      <c r="AC70" s="2719"/>
    </row>
    <row r="71" spans="1:29" s="419" customFormat="1" ht="15.75" thickTop="1">
      <c r="A71" s="499"/>
      <c r="B71" s="484">
        <f>B12</f>
        <v>111</v>
      </c>
      <c r="C71" s="500"/>
      <c r="D71" s="500"/>
      <c r="E71" s="500"/>
      <c r="F71" s="500"/>
      <c r="G71" s="500"/>
      <c r="H71" s="501"/>
      <c r="I71" s="501"/>
      <c r="J71" s="501"/>
      <c r="K71" s="501"/>
      <c r="L71" s="502"/>
      <c r="M71" s="503"/>
      <c r="N71" s="2749"/>
      <c r="O71" s="2749"/>
      <c r="P71" s="2757"/>
      <c r="Q71" s="2740"/>
      <c r="R71" s="2741"/>
      <c r="S71" s="2741"/>
      <c r="T71" s="2741"/>
      <c r="U71" s="2741"/>
      <c r="V71" s="2741"/>
      <c r="W71" s="2741"/>
      <c r="X71" s="2741"/>
      <c r="Y71" s="2741"/>
      <c r="Z71" s="2741"/>
      <c r="AA71" s="2741"/>
      <c r="AB71" s="2741"/>
      <c r="AC71" s="2741"/>
    </row>
    <row r="72" spans="1:29" s="419" customFormat="1" ht="15.75" thickBot="1">
      <c r="A72" s="499"/>
      <c r="B72" s="489"/>
      <c r="C72" s="506"/>
      <c r="D72" s="482"/>
      <c r="E72" s="482"/>
      <c r="F72" s="482"/>
      <c r="G72" s="482"/>
      <c r="H72" s="482"/>
      <c r="I72" s="482"/>
      <c r="J72" s="482"/>
      <c r="K72" s="482"/>
      <c r="L72" s="482"/>
      <c r="M72" s="483"/>
      <c r="N72" s="2748"/>
      <c r="O72" s="2748"/>
      <c r="P72" s="2757"/>
      <c r="Q72" s="2740"/>
      <c r="R72" s="2741"/>
      <c r="S72" s="2741"/>
      <c r="T72" s="2741"/>
      <c r="U72" s="2741"/>
      <c r="V72" s="2741"/>
      <c r="W72" s="2741"/>
      <c r="X72" s="2741"/>
      <c r="Y72" s="2741"/>
      <c r="Z72" s="2741"/>
      <c r="AA72" s="2741"/>
      <c r="AB72" s="2741"/>
      <c r="AC72" s="2741"/>
    </row>
    <row r="73" spans="1:29" s="419" customFormat="1" ht="15.75" thickTop="1">
      <c r="A73" s="499"/>
      <c r="B73" s="484">
        <f>B13</f>
        <v>111</v>
      </c>
      <c r="C73" s="500"/>
      <c r="D73" s="500"/>
      <c r="E73" s="500"/>
      <c r="F73" s="500"/>
      <c r="G73" s="500"/>
      <c r="H73" s="501"/>
      <c r="I73" s="501"/>
      <c r="J73" s="501"/>
      <c r="K73" s="501"/>
      <c r="L73" s="502"/>
      <c r="M73" s="503"/>
      <c r="N73" s="2749"/>
      <c r="O73" s="2749"/>
      <c r="P73" s="2758"/>
      <c r="Q73" s="2743"/>
      <c r="R73" s="2741"/>
      <c r="S73" s="2741"/>
      <c r="T73" s="2741"/>
      <c r="U73" s="2741"/>
      <c r="V73" s="2741"/>
      <c r="W73" s="2741"/>
      <c r="X73" s="2741"/>
      <c r="Y73" s="2741"/>
      <c r="Z73" s="2741"/>
      <c r="AA73" s="2741"/>
      <c r="AB73" s="2741"/>
      <c r="AC73" s="2741"/>
    </row>
    <row r="74" spans="1:29" s="419" customFormat="1" ht="15.75" thickBot="1">
      <c r="A74" s="499"/>
      <c r="B74" s="489"/>
      <c r="C74" s="506"/>
      <c r="D74" s="506"/>
      <c r="E74" s="506"/>
      <c r="F74" s="506"/>
      <c r="G74" s="506"/>
      <c r="H74" s="508"/>
      <c r="I74" s="508"/>
      <c r="J74" s="508"/>
      <c r="K74" s="508"/>
      <c r="L74" s="508"/>
      <c r="M74" s="509"/>
      <c r="N74" s="2749"/>
      <c r="O74" s="2749"/>
      <c r="P74" s="2757"/>
      <c r="Q74" s="2740"/>
      <c r="R74" s="2741"/>
      <c r="S74" s="2741"/>
      <c r="T74" s="2741"/>
      <c r="U74" s="2741"/>
      <c r="V74" s="2741"/>
      <c r="W74" s="2741"/>
      <c r="X74" s="2741"/>
      <c r="Y74" s="2741"/>
      <c r="Z74" s="2741"/>
      <c r="AA74" s="2741"/>
      <c r="AB74" s="2741"/>
      <c r="AC74" s="2741"/>
    </row>
    <row r="75" spans="1:29" s="419" customFormat="1" ht="15.75" thickTop="1">
      <c r="A75" s="499"/>
      <c r="B75" s="492">
        <f>B14</f>
        <v>111</v>
      </c>
      <c r="C75" s="469"/>
      <c r="D75" s="469"/>
      <c r="E75" s="469"/>
      <c r="F75" s="469"/>
      <c r="G75" s="469"/>
      <c r="H75" s="510"/>
      <c r="I75" s="510"/>
      <c r="J75" s="510"/>
      <c r="K75" s="510"/>
      <c r="L75" s="511"/>
      <c r="M75" s="512"/>
      <c r="N75" s="2749"/>
      <c r="O75" s="2749"/>
      <c r="P75" s="2759"/>
      <c r="Q75" s="2740"/>
      <c r="R75" s="2741"/>
      <c r="S75" s="2741"/>
      <c r="T75" s="2741"/>
      <c r="U75" s="2741"/>
      <c r="V75" s="2741"/>
      <c r="W75" s="2741"/>
      <c r="X75" s="2741"/>
      <c r="Y75" s="2741"/>
      <c r="Z75" s="2741"/>
      <c r="AA75" s="2741"/>
      <c r="AB75" s="2741"/>
      <c r="AC75" s="2741"/>
    </row>
    <row r="76" spans="1:29" s="419" customFormat="1" ht="15.75" thickBot="1">
      <c r="A76" s="514"/>
      <c r="B76" s="515"/>
      <c r="C76" s="516"/>
      <c r="D76" s="516"/>
      <c r="E76" s="516"/>
      <c r="F76" s="516"/>
      <c r="G76" s="516"/>
      <c r="H76" s="517"/>
      <c r="I76" s="517"/>
      <c r="J76" s="517"/>
      <c r="K76" s="517"/>
      <c r="L76" s="517"/>
      <c r="M76" s="518"/>
      <c r="N76" s="2749"/>
      <c r="O76" s="2749"/>
      <c r="P76" s="2757"/>
      <c r="Q76" s="2740"/>
      <c r="R76" s="2741"/>
      <c r="S76" s="2741"/>
      <c r="T76" s="2741"/>
      <c r="U76" s="2741"/>
      <c r="V76" s="2741"/>
      <c r="W76" s="2741"/>
      <c r="X76" s="2741"/>
      <c r="Y76" s="2741"/>
      <c r="Z76" s="2741"/>
      <c r="AA76" s="2741"/>
      <c r="AB76" s="2741"/>
      <c r="AC76" s="2741"/>
    </row>
    <row r="77" spans="1:29">
      <c r="A77" s="473" t="s">
        <v>1690</v>
      </c>
      <c r="B77" s="474" t="s">
        <v>1821</v>
      </c>
      <c r="C77" s="519" t="s">
        <v>1721</v>
      </c>
      <c r="D77" s="519" t="s">
        <v>1722</v>
      </c>
      <c r="E77" s="519" t="s">
        <v>1723</v>
      </c>
      <c r="F77" s="519" t="s">
        <v>1724</v>
      </c>
      <c r="G77" s="519" t="s">
        <v>1725</v>
      </c>
      <c r="H77" s="475"/>
      <c r="I77" s="475"/>
      <c r="J77" s="475"/>
      <c r="K77" s="520"/>
      <c r="L77" s="521"/>
      <c r="M77" s="522"/>
      <c r="N77" s="2747"/>
      <c r="O77" s="2747"/>
      <c r="P77" s="2760"/>
      <c r="Q77" s="2733"/>
      <c r="R77" s="2719"/>
      <c r="S77" s="2719"/>
      <c r="T77" s="2719"/>
      <c r="U77" s="2719"/>
      <c r="V77" s="2719"/>
      <c r="W77" s="2719"/>
      <c r="X77" s="2719"/>
      <c r="Y77" s="2719"/>
      <c r="Z77" s="2719"/>
      <c r="AA77" s="2719"/>
      <c r="AB77" s="2719"/>
      <c r="AC77" s="2719"/>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8"/>
      <c r="O78" s="2748"/>
      <c r="P78" s="2756"/>
      <c r="Q78" s="2733"/>
      <c r="R78" s="2719"/>
      <c r="S78" s="2719"/>
      <c r="T78" s="2719"/>
      <c r="U78" s="2719"/>
      <c r="V78" s="2719"/>
      <c r="W78" s="2719"/>
      <c r="X78" s="2719"/>
      <c r="Y78" s="2719"/>
      <c r="Z78" s="2719"/>
      <c r="AA78" s="2719"/>
      <c r="AB78" s="2719"/>
      <c r="AC78" s="2719"/>
    </row>
    <row r="79" spans="1:29" ht="15.75" thickTop="1">
      <c r="A79" s="480"/>
      <c r="B79" s="484" t="s">
        <v>1726</v>
      </c>
      <c r="C79" s="524" t="s">
        <v>1721</v>
      </c>
      <c r="D79" s="524" t="s">
        <v>1722</v>
      </c>
      <c r="E79" s="524" t="s">
        <v>1723</v>
      </c>
      <c r="F79" s="524" t="s">
        <v>1724</v>
      </c>
      <c r="G79" s="524" t="s">
        <v>1725</v>
      </c>
      <c r="H79" s="485"/>
      <c r="I79" s="485"/>
      <c r="J79" s="485"/>
      <c r="K79" s="486"/>
      <c r="L79" s="487"/>
      <c r="M79" s="488"/>
      <c r="N79" s="2747"/>
      <c r="O79" s="2747"/>
      <c r="P79" s="2756"/>
      <c r="Q79" s="2733"/>
      <c r="R79" s="2719"/>
      <c r="S79" s="2719"/>
      <c r="T79" s="2719"/>
      <c r="U79" s="2719"/>
      <c r="V79" s="2719"/>
      <c r="W79" s="2719"/>
      <c r="X79" s="2719"/>
      <c r="Y79" s="2719"/>
      <c r="Z79" s="2719"/>
      <c r="AA79" s="2719"/>
      <c r="AB79" s="2719"/>
      <c r="AC79" s="2719"/>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8"/>
      <c r="O80" s="2748"/>
      <c r="P80" s="2756"/>
      <c r="Q80" s="2733"/>
      <c r="R80" s="2719"/>
      <c r="S80" s="2719"/>
      <c r="T80" s="2719"/>
      <c r="U80" s="2719"/>
      <c r="V80" s="2719"/>
      <c r="W80" s="2719"/>
      <c r="X80" s="2719"/>
      <c r="Y80" s="2719"/>
      <c r="Z80" s="2719"/>
      <c r="AA80" s="2719"/>
      <c r="AB80" s="2719"/>
      <c r="AC80" s="2719"/>
    </row>
    <row r="81" spans="1:29" ht="15.75" thickTop="1">
      <c r="A81" s="480"/>
      <c r="B81" s="484" t="s">
        <v>1727</v>
      </c>
      <c r="C81" s="524" t="s">
        <v>1721</v>
      </c>
      <c r="D81" s="524" t="s">
        <v>1722</v>
      </c>
      <c r="E81" s="524" t="s">
        <v>1723</v>
      </c>
      <c r="F81" s="524" t="s">
        <v>1724</v>
      </c>
      <c r="G81" s="524" t="s">
        <v>1725</v>
      </c>
      <c r="H81" s="485"/>
      <c r="I81" s="485"/>
      <c r="J81" s="485"/>
      <c r="K81" s="486"/>
      <c r="L81" s="487"/>
      <c r="M81" s="488"/>
      <c r="N81" s="2747"/>
      <c r="O81" s="2747"/>
      <c r="P81" s="2756"/>
      <c r="Q81" s="2733"/>
      <c r="R81" s="2719"/>
      <c r="S81" s="2719"/>
      <c r="T81" s="2719"/>
      <c r="U81" s="2719"/>
      <c r="V81" s="2719"/>
      <c r="W81" s="2719"/>
      <c r="X81" s="2719"/>
      <c r="Y81" s="2719"/>
      <c r="Z81" s="2719"/>
      <c r="AA81" s="2719"/>
      <c r="AB81" s="2719"/>
      <c r="AC81" s="2719"/>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8"/>
      <c r="O82" s="2748"/>
      <c r="P82" s="2756"/>
      <c r="Q82" s="2733"/>
      <c r="R82" s="2719"/>
      <c r="S82" s="2719"/>
      <c r="T82" s="2719"/>
      <c r="U82" s="2719"/>
      <c r="V82" s="2719"/>
      <c r="W82" s="2719"/>
      <c r="X82" s="2719"/>
      <c r="Y82" s="2719"/>
      <c r="Z82" s="2719"/>
      <c r="AA82" s="2719"/>
      <c r="AB82" s="2719"/>
      <c r="AC82" s="2719"/>
    </row>
    <row r="83" spans="1:29" ht="15.75" thickTop="1">
      <c r="A83" s="480"/>
      <c r="B83" s="492" t="s">
        <v>1813</v>
      </c>
      <c r="C83" s="605" t="s">
        <v>1799</v>
      </c>
      <c r="D83" s="605" t="s">
        <v>1800</v>
      </c>
      <c r="E83" s="605" t="s">
        <v>1801</v>
      </c>
      <c r="F83" s="605" t="s">
        <v>1802</v>
      </c>
      <c r="G83" s="605" t="s">
        <v>1803</v>
      </c>
      <c r="H83" s="485"/>
      <c r="I83" s="485"/>
      <c r="J83" s="485"/>
      <c r="K83" s="485"/>
      <c r="L83" s="485"/>
      <c r="M83" s="1123"/>
      <c r="N83" s="2748"/>
      <c r="O83" s="2748"/>
      <c r="P83" s="2756"/>
      <c r="Q83" s="2733"/>
      <c r="R83" s="2719"/>
      <c r="S83" s="2719"/>
      <c r="T83" s="2719"/>
      <c r="U83" s="2719"/>
      <c r="V83" s="2719"/>
      <c r="W83" s="2719"/>
      <c r="X83" s="2719"/>
      <c r="Y83" s="2719"/>
      <c r="Z83" s="2719"/>
      <c r="AA83" s="2719"/>
      <c r="AB83" s="2719"/>
      <c r="AC83" s="2719"/>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8"/>
      <c r="O84" s="2748"/>
      <c r="P84" s="2756"/>
      <c r="Q84" s="2733"/>
      <c r="R84" s="2719"/>
      <c r="S84" s="2719"/>
      <c r="T84" s="2719"/>
      <c r="U84" s="2719"/>
      <c r="V84" s="2719"/>
      <c r="W84" s="2719"/>
      <c r="X84" s="2719"/>
      <c r="Y84" s="2719"/>
      <c r="Z84" s="2719"/>
      <c r="AA84" s="2719"/>
      <c r="AB84" s="2719"/>
      <c r="AC84" s="2719"/>
    </row>
    <row r="85" spans="1:29" ht="15.75" thickTop="1">
      <c r="A85" s="480"/>
      <c r="B85" s="484" t="s">
        <v>1822</v>
      </c>
      <c r="C85" s="524" t="s">
        <v>1721</v>
      </c>
      <c r="D85" s="524" t="s">
        <v>1722</v>
      </c>
      <c r="E85" s="524" t="s">
        <v>1723</v>
      </c>
      <c r="F85" s="524" t="s">
        <v>1724</v>
      </c>
      <c r="G85" s="524" t="s">
        <v>1725</v>
      </c>
      <c r="H85" s="485"/>
      <c r="I85" s="485"/>
      <c r="J85" s="485"/>
      <c r="K85" s="486"/>
      <c r="L85" s="487"/>
      <c r="M85" s="488"/>
      <c r="N85" s="2747"/>
      <c r="O85" s="2747"/>
      <c r="P85" s="2756"/>
      <c r="Q85" s="2733"/>
      <c r="R85" s="2719"/>
      <c r="S85" s="2719"/>
      <c r="T85" s="2719"/>
      <c r="U85" s="2719"/>
      <c r="V85" s="2719"/>
      <c r="W85" s="2719"/>
      <c r="X85" s="2719"/>
      <c r="Y85" s="2719"/>
      <c r="Z85" s="2719"/>
      <c r="AA85" s="2719"/>
      <c r="AB85" s="2719"/>
      <c r="AC85" s="2719"/>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8"/>
      <c r="O86" s="2748"/>
      <c r="P86" s="2756"/>
      <c r="Q86" s="2733"/>
      <c r="R86" s="2719"/>
      <c r="S86" s="2719"/>
      <c r="T86" s="2719"/>
      <c r="U86" s="2719"/>
      <c r="V86" s="2719"/>
      <c r="W86" s="2719"/>
      <c r="X86" s="2719"/>
      <c r="Y86" s="2719"/>
      <c r="Z86" s="2719"/>
      <c r="AA86" s="2719"/>
      <c r="AB86" s="2719"/>
      <c r="AC86" s="2719"/>
    </row>
    <row r="87" spans="1:29" s="105" customFormat="1" ht="27.75" thickTop="1">
      <c r="A87" s="525"/>
      <c r="B87" s="484" t="s">
        <v>1823</v>
      </c>
      <c r="C87" s="500"/>
      <c r="D87" s="500"/>
      <c r="E87" s="500"/>
      <c r="F87" s="500"/>
      <c r="G87" s="500"/>
      <c r="H87" s="500"/>
      <c r="I87" s="500"/>
      <c r="J87" s="500"/>
      <c r="K87" s="500"/>
      <c r="L87" s="526"/>
      <c r="M87" s="527"/>
      <c r="N87" s="2746"/>
      <c r="O87" s="2746"/>
      <c r="P87" s="2756"/>
      <c r="Q87" s="2733"/>
      <c r="R87" s="2655"/>
      <c r="S87" s="2655"/>
      <c r="T87" s="2655"/>
      <c r="U87" s="2655"/>
      <c r="V87" s="2655"/>
      <c r="W87" s="2655"/>
      <c r="X87" s="2655"/>
      <c r="Y87" s="2655"/>
      <c r="Z87" s="2655"/>
      <c r="AA87" s="2655"/>
      <c r="AB87" s="2655"/>
      <c r="AC87" s="2655"/>
    </row>
    <row r="88" spans="1:29" s="105"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8"/>
      <c r="O88" s="2748"/>
      <c r="P88" s="2756"/>
      <c r="Q88" s="2733"/>
      <c r="R88" s="2655"/>
      <c r="S88" s="2655"/>
      <c r="T88" s="2655"/>
      <c r="U88" s="2655"/>
      <c r="V88" s="2655"/>
      <c r="W88" s="2655"/>
      <c r="X88" s="2655"/>
      <c r="Y88" s="2655"/>
      <c r="Z88" s="2655"/>
      <c r="AA88" s="2655"/>
      <c r="AB88" s="2655"/>
      <c r="AC88" s="2655"/>
    </row>
    <row r="89" spans="1:29" s="105" customFormat="1" ht="15.75" thickTop="1">
      <c r="A89" s="525"/>
      <c r="B89" s="484" t="str">
        <f>B27</f>
        <v>楼层</v>
      </c>
      <c r="C89" s="500"/>
      <c r="D89" s="500"/>
      <c r="E89" s="500"/>
      <c r="F89" s="1921"/>
      <c r="G89" s="500"/>
      <c r="H89" s="500"/>
      <c r="I89" s="500"/>
      <c r="J89" s="500"/>
      <c r="K89" s="500"/>
      <c r="L89" s="500"/>
      <c r="M89" s="527"/>
      <c r="N89" s="2746"/>
      <c r="O89" s="2746"/>
      <c r="P89" s="2756"/>
      <c r="Q89" s="2733"/>
      <c r="R89" s="2655"/>
      <c r="S89" s="2655"/>
      <c r="T89" s="2655"/>
      <c r="U89" s="2655"/>
      <c r="V89" s="2655"/>
      <c r="W89" s="2655"/>
      <c r="X89" s="2655"/>
      <c r="Y89" s="2655"/>
      <c r="Z89" s="2655"/>
      <c r="AA89" s="2655"/>
      <c r="AB89" s="2655"/>
      <c r="AC89" s="2655"/>
    </row>
    <row r="90" spans="1:29" s="105"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8"/>
      <c r="O90" s="2748"/>
      <c r="P90" s="2756"/>
      <c r="Q90" s="2733"/>
      <c r="R90" s="2655"/>
      <c r="S90" s="2655"/>
      <c r="T90" s="2655"/>
      <c r="U90" s="2655"/>
      <c r="V90" s="2655"/>
      <c r="W90" s="2655"/>
      <c r="X90" s="2655"/>
      <c r="Y90" s="2655"/>
      <c r="Z90" s="2655"/>
      <c r="AA90" s="2655"/>
      <c r="AB90" s="2655"/>
      <c r="AC90" s="2655"/>
    </row>
    <row r="91" spans="1:29" s="419" customFormat="1" ht="15.75" thickTop="1">
      <c r="A91" s="499"/>
      <c r="B91" s="484" t="str">
        <f>B28</f>
        <v>朝向</v>
      </c>
      <c r="C91" s="500"/>
      <c r="D91" s="500"/>
      <c r="E91" s="500"/>
      <c r="F91" s="500"/>
      <c r="G91" s="500"/>
      <c r="H91" s="501"/>
      <c r="I91" s="501"/>
      <c r="J91" s="501"/>
      <c r="K91" s="501"/>
      <c r="L91" s="502"/>
      <c r="M91" s="503"/>
      <c r="N91" s="2749"/>
      <c r="O91" s="2749"/>
      <c r="P91" s="2757"/>
      <c r="Q91" s="2740"/>
      <c r="R91" s="2741"/>
      <c r="S91" s="2741"/>
      <c r="T91" s="2741"/>
      <c r="U91" s="2741"/>
      <c r="V91" s="2741"/>
      <c r="W91" s="2741"/>
      <c r="X91" s="2741"/>
      <c r="Y91" s="2741"/>
      <c r="Z91" s="2741"/>
      <c r="AA91" s="2741"/>
      <c r="AB91" s="2741"/>
      <c r="AC91" s="2741"/>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0"/>
      <c r="B93" s="484">
        <f>B29</f>
        <v>111</v>
      </c>
      <c r="C93" s="500"/>
      <c r="D93" s="500"/>
      <c r="E93" s="500"/>
      <c r="F93" s="500"/>
      <c r="G93" s="500"/>
      <c r="H93" s="500"/>
      <c r="I93" s="500"/>
      <c r="J93" s="500"/>
      <c r="K93" s="500"/>
      <c r="L93" s="526"/>
      <c r="M93" s="527"/>
      <c r="N93" s="2747"/>
      <c r="O93" s="2747"/>
      <c r="P93" s="2756"/>
      <c r="Q93" s="2733"/>
      <c r="R93" s="2719"/>
      <c r="S93" s="2719"/>
      <c r="T93" s="2719"/>
      <c r="U93" s="2719"/>
      <c r="V93" s="2719"/>
      <c r="W93" s="2719"/>
      <c r="X93" s="2719"/>
      <c r="Y93" s="2719"/>
      <c r="Z93" s="2719"/>
      <c r="AA93" s="2719"/>
      <c r="AB93" s="2719"/>
      <c r="AC93" s="2719"/>
    </row>
    <row r="94" spans="1:29" ht="15.75" thickBot="1">
      <c r="A94" s="480"/>
      <c r="B94" s="489"/>
      <c r="C94" s="506"/>
      <c r="D94" s="482"/>
      <c r="E94" s="482"/>
      <c r="F94" s="482"/>
      <c r="G94" s="482"/>
      <c r="H94" s="482"/>
      <c r="I94" s="482"/>
      <c r="J94" s="482"/>
      <c r="K94" s="482"/>
      <c r="L94" s="482"/>
      <c r="M94" s="483"/>
      <c r="N94" s="2748"/>
      <c r="O94" s="2748"/>
      <c r="P94" s="2756"/>
      <c r="Q94" s="2733"/>
      <c r="R94" s="2719"/>
      <c r="S94" s="2719"/>
      <c r="T94" s="2719"/>
      <c r="U94" s="2719"/>
      <c r="V94" s="2719"/>
      <c r="W94" s="2719"/>
      <c r="X94" s="2719"/>
      <c r="Y94" s="2719"/>
      <c r="Z94" s="2719"/>
      <c r="AA94" s="2719"/>
      <c r="AB94" s="2719"/>
      <c r="AC94" s="2719"/>
    </row>
    <row r="95" spans="1:29" ht="15.75" thickTop="1">
      <c r="A95" s="480"/>
      <c r="B95" s="484">
        <f>B30</f>
        <v>111</v>
      </c>
      <c r="C95" s="500"/>
      <c r="D95" s="500"/>
      <c r="E95" s="500"/>
      <c r="F95" s="500"/>
      <c r="G95" s="529"/>
      <c r="H95" s="529"/>
      <c r="I95" s="529"/>
      <c r="J95" s="529"/>
      <c r="K95" s="530"/>
      <c r="L95" s="531"/>
      <c r="M95" s="532"/>
      <c r="N95" s="2747"/>
      <c r="O95" s="2747"/>
      <c r="P95" s="2756"/>
      <c r="Q95" s="2733"/>
      <c r="R95" s="2719"/>
      <c r="S95" s="2719"/>
      <c r="T95" s="2719"/>
      <c r="U95" s="2719"/>
      <c r="V95" s="2719"/>
      <c r="W95" s="2719"/>
      <c r="X95" s="2719"/>
      <c r="Y95" s="2719"/>
      <c r="Z95" s="2719"/>
      <c r="AA95" s="2719"/>
      <c r="AB95" s="2719"/>
      <c r="AC95" s="2719"/>
    </row>
    <row r="96" spans="1:29" ht="15.75" thickBot="1">
      <c r="A96" s="480"/>
      <c r="B96" s="489"/>
      <c r="C96" s="506"/>
      <c r="D96" s="506"/>
      <c r="E96" s="506"/>
      <c r="F96" s="506"/>
      <c r="G96" s="482"/>
      <c r="H96" s="482"/>
      <c r="I96" s="482"/>
      <c r="J96" s="482"/>
      <c r="K96" s="482"/>
      <c r="L96" s="482"/>
      <c r="M96" s="483"/>
      <c r="N96" s="2748"/>
      <c r="O96" s="2748"/>
      <c r="P96" s="2756"/>
      <c r="Q96" s="2733"/>
      <c r="R96" s="2719"/>
      <c r="S96" s="2719"/>
      <c r="T96" s="2719"/>
      <c r="U96" s="2719"/>
      <c r="V96" s="2719"/>
      <c r="W96" s="2719"/>
      <c r="X96" s="2719"/>
      <c r="Y96" s="2719"/>
      <c r="Z96" s="2719"/>
      <c r="AA96" s="2719"/>
      <c r="AB96" s="2719"/>
      <c r="AC96" s="2719"/>
    </row>
    <row r="97" spans="1:29" ht="15.75" thickTop="1">
      <c r="A97" s="480"/>
      <c r="B97" s="484">
        <f>B31</f>
        <v>111</v>
      </c>
      <c r="C97" s="500"/>
      <c r="D97" s="500"/>
      <c r="E97" s="500"/>
      <c r="F97" s="500"/>
      <c r="G97" s="529"/>
      <c r="H97" s="529"/>
      <c r="I97" s="529"/>
      <c r="J97" s="529"/>
      <c r="K97" s="530"/>
      <c r="L97" s="531"/>
      <c r="M97" s="532"/>
      <c r="N97" s="2747"/>
      <c r="O97" s="2747"/>
      <c r="P97" s="2756"/>
      <c r="Q97" s="2733"/>
      <c r="R97" s="2719"/>
      <c r="S97" s="2719"/>
      <c r="T97" s="2719"/>
      <c r="U97" s="2719"/>
      <c r="V97" s="2719"/>
      <c r="W97" s="2719"/>
      <c r="X97" s="2719"/>
      <c r="Y97" s="2719"/>
      <c r="Z97" s="2719"/>
      <c r="AA97" s="2719"/>
      <c r="AB97" s="2719"/>
      <c r="AC97" s="2719"/>
    </row>
    <row r="98" spans="1:29" ht="15.75" thickBot="1">
      <c r="A98" s="480"/>
      <c r="B98" s="489"/>
      <c r="C98" s="506"/>
      <c r="D98" s="482"/>
      <c r="E98" s="482"/>
      <c r="F98" s="482"/>
      <c r="G98" s="482"/>
      <c r="H98" s="482"/>
      <c r="I98" s="482"/>
      <c r="J98" s="482"/>
      <c r="K98" s="482"/>
      <c r="L98" s="482"/>
      <c r="M98" s="483"/>
      <c r="N98" s="2748"/>
      <c r="O98" s="2748"/>
      <c r="P98" s="2756"/>
      <c r="Q98" s="2733"/>
      <c r="R98" s="2719"/>
      <c r="S98" s="2719"/>
      <c r="T98" s="2719"/>
      <c r="U98" s="2719"/>
      <c r="V98" s="2719"/>
      <c r="W98" s="2719"/>
      <c r="X98" s="2719"/>
      <c r="Y98" s="2719"/>
      <c r="Z98" s="2719"/>
      <c r="AA98" s="2719"/>
      <c r="AB98" s="2719"/>
      <c r="AC98" s="2719"/>
    </row>
    <row r="99" spans="1:29" ht="15.75" thickTop="1">
      <c r="A99" s="480"/>
      <c r="B99" s="492">
        <f>B32</f>
        <v>111</v>
      </c>
      <c r="C99" s="469"/>
      <c r="D99" s="469"/>
      <c r="E99" s="469"/>
      <c r="F99" s="469"/>
      <c r="G99" s="533"/>
      <c r="H99" s="533"/>
      <c r="I99" s="533"/>
      <c r="J99" s="533"/>
      <c r="K99" s="534"/>
      <c r="L99" s="535"/>
      <c r="M99" s="536"/>
      <c r="N99" s="2747"/>
      <c r="O99" s="2747"/>
      <c r="P99" s="2756"/>
      <c r="Q99" s="2733"/>
      <c r="R99" s="2719"/>
      <c r="S99" s="2719"/>
      <c r="T99" s="2719"/>
      <c r="U99" s="2719"/>
      <c r="V99" s="2719"/>
      <c r="W99" s="2719"/>
      <c r="X99" s="2719"/>
      <c r="Y99" s="2719"/>
      <c r="Z99" s="2719"/>
      <c r="AA99" s="2719"/>
      <c r="AB99" s="2719"/>
      <c r="AC99" s="2719"/>
    </row>
    <row r="100" spans="1:29" ht="15.75" thickBot="1">
      <c r="A100" s="1922"/>
      <c r="B100" s="515"/>
      <c r="C100" s="516"/>
      <c r="D100" s="516"/>
      <c r="E100" s="516"/>
      <c r="F100" s="516"/>
      <c r="G100" s="537"/>
      <c r="H100" s="537"/>
      <c r="I100" s="537"/>
      <c r="J100" s="537"/>
      <c r="K100" s="537"/>
      <c r="L100" s="537"/>
      <c r="M100" s="538"/>
      <c r="N100" s="2748"/>
      <c r="O100" s="2748"/>
      <c r="P100" s="2756"/>
      <c r="Q100" s="2733"/>
      <c r="R100" s="2719"/>
      <c r="S100" s="2719"/>
      <c r="T100" s="2719"/>
      <c r="U100" s="2719"/>
      <c r="V100" s="2719"/>
      <c r="W100" s="2719"/>
      <c r="X100" s="2719"/>
      <c r="Y100" s="2719"/>
      <c r="Z100" s="2719"/>
      <c r="AA100" s="2719"/>
      <c r="AB100" s="2719"/>
      <c r="AC100" s="2719"/>
    </row>
    <row r="101" spans="1:29">
      <c r="A101" s="473" t="s">
        <v>1694</v>
      </c>
      <c r="B101" s="474" t="s">
        <v>1736</v>
      </c>
      <c r="C101" s="476"/>
      <c r="D101" s="476"/>
      <c r="E101" s="476"/>
      <c r="F101" s="476"/>
      <c r="G101" s="476"/>
      <c r="H101" s="476"/>
      <c r="I101" s="476"/>
      <c r="J101" s="476"/>
      <c r="K101" s="477"/>
      <c r="L101" s="478"/>
      <c r="M101" s="479"/>
      <c r="N101" s="2747"/>
      <c r="O101" s="2747"/>
      <c r="P101" s="2756"/>
      <c r="Q101" s="2733"/>
      <c r="R101" s="2719"/>
      <c r="S101" s="2719"/>
      <c r="T101" s="2719"/>
      <c r="U101" s="2719"/>
      <c r="V101" s="2719"/>
      <c r="W101" s="2719"/>
      <c r="X101" s="2719"/>
      <c r="Y101" s="2719"/>
      <c r="Z101" s="2719"/>
      <c r="AA101" s="2719"/>
      <c r="AB101" s="2719"/>
      <c r="AC101" s="2719"/>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9" customFormat="1">
      <c r="A104" s="539"/>
      <c r="B104" s="540"/>
      <c r="C104" s="541"/>
      <c r="D104" s="541"/>
      <c r="E104" s="541"/>
      <c r="F104" s="541"/>
      <c r="G104" s="541"/>
      <c r="H104" s="541"/>
      <c r="I104" s="541"/>
      <c r="J104" s="542"/>
      <c r="K104" s="542"/>
      <c r="L104" s="543"/>
      <c r="M104" s="544"/>
      <c r="N104" s="2749"/>
      <c r="O104" s="2749"/>
      <c r="P104" s="2757"/>
      <c r="Q104" s="2740"/>
      <c r="R104" s="2741"/>
      <c r="S104" s="2741"/>
      <c r="T104" s="2741"/>
      <c r="U104" s="2741"/>
      <c r="V104" s="2741"/>
      <c r="W104" s="2741"/>
      <c r="X104" s="2741"/>
      <c r="Y104" s="2741"/>
      <c r="Z104" s="2741"/>
      <c r="AA104" s="2741"/>
      <c r="AB104" s="2741"/>
      <c r="AC104" s="2741"/>
    </row>
    <row r="105" spans="1:29" s="419" customFormat="1" ht="15.75" thickBot="1">
      <c r="A105" s="499"/>
      <c r="B105" s="489"/>
      <c r="C105" s="506"/>
      <c r="D105" s="482"/>
      <c r="E105" s="482"/>
      <c r="F105" s="482"/>
      <c r="G105" s="482"/>
      <c r="H105" s="482"/>
      <c r="I105" s="482"/>
      <c r="J105" s="482"/>
      <c r="K105" s="482"/>
      <c r="L105" s="482"/>
      <c r="M105" s="483"/>
      <c r="N105" s="2748"/>
      <c r="O105" s="2748"/>
      <c r="P105" s="2757"/>
      <c r="Q105" s="2740"/>
      <c r="R105" s="2741"/>
      <c r="S105" s="2741"/>
      <c r="T105" s="2741"/>
      <c r="U105" s="2741"/>
      <c r="V105" s="2741"/>
      <c r="W105" s="2741"/>
      <c r="X105" s="2741"/>
      <c r="Y105" s="2741"/>
      <c r="Z105" s="2741"/>
      <c r="AA105" s="2741"/>
      <c r="AB105" s="2741"/>
      <c r="AC105" s="2741"/>
    </row>
    <row r="106" spans="1:29" ht="15" thickTop="1">
      <c r="A106" s="545"/>
      <c r="B106" s="484" t="s">
        <v>1738</v>
      </c>
      <c r="C106" s="500"/>
      <c r="D106" s="500"/>
      <c r="E106" s="529"/>
      <c r="F106" s="529"/>
      <c r="G106" s="529"/>
      <c r="H106" s="529"/>
      <c r="I106" s="529"/>
      <c r="J106" s="529"/>
      <c r="K106" s="530"/>
      <c r="L106" s="531"/>
      <c r="M106" s="532"/>
      <c r="N106" s="2747"/>
      <c r="O106" s="2747"/>
      <c r="P106" s="2756"/>
      <c r="Q106" s="2733"/>
      <c r="R106" s="2719"/>
      <c r="S106" s="2719"/>
      <c r="T106" s="2719"/>
      <c r="U106" s="2719"/>
      <c r="V106" s="2719"/>
      <c r="W106" s="2719"/>
      <c r="X106" s="2719"/>
      <c r="Y106" s="2719"/>
      <c r="Z106" s="2719"/>
      <c r="AA106" s="2719"/>
      <c r="AB106" s="2719"/>
      <c r="AC106" s="2719"/>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5"/>
      <c r="B108" s="484" t="s">
        <v>1740</v>
      </c>
      <c r="C108" s="500"/>
      <c r="D108" s="500"/>
      <c r="E108" s="500"/>
      <c r="F108" s="529"/>
      <c r="G108" s="529"/>
      <c r="H108" s="529"/>
      <c r="I108" s="529"/>
      <c r="J108" s="529"/>
      <c r="K108" s="530"/>
      <c r="L108" s="531"/>
      <c r="M108" s="532"/>
      <c r="N108" s="2747"/>
      <c r="O108" s="2747"/>
      <c r="P108" s="2756"/>
      <c r="Q108" s="2733"/>
      <c r="R108" s="2719"/>
      <c r="S108" s="2719"/>
      <c r="T108" s="2719"/>
      <c r="U108" s="2719"/>
      <c r="V108" s="2719"/>
      <c r="W108" s="2719"/>
      <c r="X108" s="2719"/>
      <c r="Y108" s="2719"/>
      <c r="Z108" s="2719"/>
      <c r="AA108" s="2719"/>
      <c r="AB108" s="2719"/>
      <c r="AC108" s="2719"/>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7"/>
      <c r="O110" s="2747"/>
      <c r="P110" s="2756"/>
      <c r="Q110" s="2733"/>
      <c r="R110" s="2719"/>
      <c r="S110" s="2719"/>
      <c r="T110" s="2719"/>
      <c r="U110" s="2719"/>
      <c r="V110" s="2719"/>
      <c r="W110" s="2719"/>
      <c r="X110" s="2719"/>
      <c r="Y110" s="2719"/>
      <c r="Z110" s="2719"/>
      <c r="AA110" s="2719"/>
      <c r="AB110" s="2719"/>
      <c r="AC110" s="2719"/>
    </row>
    <row r="111" spans="1:29">
      <c r="A111" s="545"/>
      <c r="B111" s="492"/>
      <c r="C111" s="549">
        <v>0.5</v>
      </c>
      <c r="D111" s="549">
        <v>0.6</v>
      </c>
      <c r="E111" s="549">
        <v>0.7</v>
      </c>
      <c r="F111" s="549">
        <v>0.8</v>
      </c>
      <c r="G111" s="549">
        <v>0.9</v>
      </c>
      <c r="H111" s="549">
        <v>1.0001</v>
      </c>
      <c r="I111" s="568"/>
      <c r="J111" s="568"/>
      <c r="K111" s="569"/>
      <c r="L111" s="570"/>
      <c r="M111" s="571"/>
      <c r="N111" s="2747"/>
      <c r="O111" s="2747"/>
      <c r="P111" s="2756"/>
      <c r="Q111" s="2733"/>
      <c r="R111" s="2719"/>
      <c r="S111" s="2719"/>
      <c r="T111" s="2719"/>
      <c r="U111" s="2719"/>
      <c r="V111" s="2719"/>
      <c r="W111" s="2719"/>
      <c r="X111" s="2719"/>
      <c r="Y111" s="2719"/>
      <c r="Z111" s="2719"/>
      <c r="AA111" s="2719"/>
      <c r="AB111" s="2719"/>
      <c r="AC111" s="2719"/>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8"/>
      <c r="O112" s="2748"/>
      <c r="P112" s="2756"/>
      <c r="Q112" s="2733"/>
      <c r="R112" s="2719"/>
      <c r="S112" s="2719"/>
      <c r="T112" s="2719"/>
      <c r="U112" s="2719"/>
      <c r="V112" s="2719"/>
      <c r="W112" s="2719"/>
      <c r="X112" s="2719"/>
      <c r="Y112" s="2719"/>
      <c r="Z112" s="2719"/>
      <c r="AA112" s="2719"/>
      <c r="AB112" s="2719"/>
      <c r="AC112" s="2719"/>
    </row>
    <row r="113" spans="1:29" s="419" customFormat="1" ht="15" thickTop="1">
      <c r="A113" s="539"/>
      <c r="B113" s="484" t="s">
        <v>1824</v>
      </c>
      <c r="C113" s="500"/>
      <c r="D113" s="500"/>
      <c r="E113" s="500"/>
      <c r="F113" s="500"/>
      <c r="G113" s="500"/>
      <c r="H113" s="529"/>
      <c r="I113" s="529"/>
      <c r="J113" s="529"/>
      <c r="K113" s="530"/>
      <c r="L113" s="531"/>
      <c r="M113" s="532"/>
      <c r="N113" s="2749"/>
      <c r="O113" s="2749"/>
      <c r="P113" s="2757"/>
      <c r="Q113" s="2740"/>
      <c r="R113" s="2741"/>
      <c r="S113" s="2741"/>
      <c r="T113" s="2741"/>
      <c r="U113" s="2741"/>
      <c r="V113" s="2741"/>
      <c r="W113" s="2741"/>
      <c r="X113" s="2741"/>
      <c r="Y113" s="2741"/>
      <c r="Z113" s="2741"/>
      <c r="AA113" s="2741"/>
      <c r="AB113" s="2741"/>
      <c r="AC113" s="2741"/>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5"/>
      <c r="B115" s="484" t="s">
        <v>1741</v>
      </c>
      <c r="C115" s="500"/>
      <c r="D115" s="500"/>
      <c r="E115" s="529"/>
      <c r="F115" s="529"/>
      <c r="G115" s="529"/>
      <c r="H115" s="529"/>
      <c r="I115" s="529"/>
      <c r="J115" s="529"/>
      <c r="K115" s="530"/>
      <c r="L115" s="531"/>
      <c r="M115" s="532"/>
      <c r="N115" s="2747"/>
      <c r="O115" s="2747"/>
      <c r="P115" s="2756"/>
      <c r="Q115" s="2733"/>
      <c r="R115" s="2719"/>
      <c r="S115" s="2719"/>
      <c r="T115" s="2719"/>
      <c r="U115" s="2719"/>
      <c r="V115" s="2719"/>
      <c r="W115" s="2719"/>
      <c r="X115" s="2719"/>
      <c r="Y115" s="2719"/>
      <c r="Z115" s="2719"/>
      <c r="AA115" s="2719"/>
      <c r="AB115" s="2719"/>
      <c r="AC115" s="2719"/>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5"/>
      <c r="B117" s="484" t="s">
        <v>1742</v>
      </c>
      <c r="C117" s="500"/>
      <c r="D117" s="500"/>
      <c r="E117" s="500"/>
      <c r="F117" s="500"/>
      <c r="G117" s="500"/>
      <c r="H117" s="529"/>
      <c r="I117" s="529"/>
      <c r="J117" s="529"/>
      <c r="K117" s="530"/>
      <c r="L117" s="531"/>
      <c r="M117" s="532"/>
      <c r="N117" s="2747"/>
      <c r="O117" s="2747"/>
      <c r="P117" s="2756"/>
      <c r="Q117" s="2733"/>
      <c r="R117" s="2719"/>
      <c r="S117" s="2719"/>
      <c r="T117" s="2719"/>
      <c r="U117" s="2719"/>
      <c r="V117" s="2719"/>
      <c r="W117" s="2719"/>
      <c r="X117" s="2719"/>
      <c r="Y117" s="2719"/>
      <c r="Z117" s="2719"/>
      <c r="AA117" s="2719"/>
      <c r="AB117" s="2719"/>
      <c r="AC117" s="2719"/>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8"/>
      <c r="O118" s="2748"/>
      <c r="P118" s="2756"/>
      <c r="Q118" s="2733"/>
      <c r="R118" s="2719"/>
      <c r="S118" s="2719"/>
      <c r="T118" s="2719"/>
      <c r="U118" s="2719"/>
      <c r="V118" s="2719"/>
      <c r="W118" s="2719"/>
      <c r="X118" s="2719"/>
      <c r="Y118" s="2719"/>
      <c r="Z118" s="2719"/>
      <c r="AA118" s="2719"/>
      <c r="AB118" s="2719"/>
      <c r="AC118" s="2719"/>
    </row>
    <row r="119" spans="1:29" ht="15" thickTop="1">
      <c r="A119" s="545"/>
      <c r="B119" s="581" t="s">
        <v>1825</v>
      </c>
      <c r="C119" s="529"/>
      <c r="D119" s="529"/>
      <c r="E119" s="529"/>
      <c r="F119" s="529"/>
      <c r="G119" s="529"/>
      <c r="H119" s="529"/>
      <c r="I119" s="529"/>
      <c r="J119" s="529"/>
      <c r="K119" s="529"/>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8"/>
      <c r="O120" s="2748"/>
      <c r="P120" s="2756"/>
      <c r="Q120" s="2733"/>
      <c r="R120" s="2719"/>
      <c r="S120" s="2719"/>
      <c r="T120" s="2719"/>
      <c r="U120" s="2719"/>
      <c r="V120" s="2719"/>
      <c r="W120" s="2719"/>
      <c r="X120" s="2719"/>
      <c r="Y120" s="2719"/>
      <c r="Z120" s="2719"/>
      <c r="AA120" s="2719"/>
      <c r="AB120" s="2719"/>
      <c r="AC120" s="2719"/>
    </row>
    <row r="121" spans="1:29" s="419" customFormat="1" ht="15" thickTop="1">
      <c r="A121" s="539"/>
      <c r="B121" s="484" t="s">
        <v>1808</v>
      </c>
      <c r="C121" s="500"/>
      <c r="D121" s="500"/>
      <c r="E121" s="500"/>
      <c r="F121" s="529"/>
      <c r="G121" s="501"/>
      <c r="H121" s="501"/>
      <c r="I121" s="501"/>
      <c r="J121" s="501"/>
      <c r="K121" s="501"/>
      <c r="L121" s="502"/>
      <c r="M121" s="503"/>
      <c r="N121" s="2749"/>
      <c r="O121" s="2749"/>
      <c r="P121" s="2757"/>
      <c r="Q121" s="2740"/>
      <c r="R121" s="2741"/>
      <c r="S121" s="2741"/>
      <c r="T121" s="2741"/>
      <c r="U121" s="2741"/>
      <c r="V121" s="2741"/>
      <c r="W121" s="2741"/>
      <c r="X121" s="2741"/>
      <c r="Y121" s="2741"/>
      <c r="Z121" s="2741"/>
      <c r="AA121" s="2741"/>
      <c r="AB121" s="2741"/>
      <c r="AC121" s="2741"/>
    </row>
    <row r="122" spans="1:29" s="419" customFormat="1" ht="15.75" thickBot="1">
      <c r="A122" s="499"/>
      <c r="B122" s="481"/>
      <c r="C122" s="506"/>
      <c r="D122" s="506"/>
      <c r="E122" s="506"/>
      <c r="F122" s="506"/>
      <c r="G122" s="506"/>
      <c r="H122" s="506"/>
      <c r="I122" s="506"/>
      <c r="J122" s="506"/>
      <c r="K122" s="506"/>
      <c r="L122" s="506"/>
      <c r="M122" s="506"/>
      <c r="N122" s="2749"/>
      <c r="O122" s="2749"/>
      <c r="P122" s="2757"/>
      <c r="Q122" s="2740"/>
      <c r="R122" s="2741"/>
      <c r="S122" s="2741"/>
      <c r="T122" s="2741"/>
      <c r="U122" s="2741"/>
      <c r="V122" s="2741"/>
      <c r="W122" s="2741"/>
      <c r="X122" s="2741"/>
      <c r="Y122" s="2741"/>
      <c r="Z122" s="2741"/>
      <c r="AA122" s="2741"/>
      <c r="AB122" s="2741"/>
      <c r="AC122" s="2741"/>
    </row>
    <row r="123" spans="1:29" ht="15" thickTop="1">
      <c r="A123" s="545"/>
      <c r="B123" s="484" t="s">
        <v>1744</v>
      </c>
      <c r="C123" s="500"/>
      <c r="D123" s="500"/>
      <c r="E123" s="500"/>
      <c r="F123" s="529"/>
      <c r="G123" s="529"/>
      <c r="H123" s="529"/>
      <c r="I123" s="529"/>
      <c r="J123" s="529"/>
      <c r="K123" s="530"/>
      <c r="L123" s="531"/>
      <c r="M123" s="532"/>
      <c r="N123" s="2747"/>
      <c r="O123" s="2747"/>
      <c r="P123" s="2756"/>
      <c r="Q123" s="2733"/>
      <c r="R123" s="2719"/>
      <c r="S123" s="2719"/>
      <c r="T123" s="2719"/>
      <c r="U123" s="2719"/>
      <c r="V123" s="2719"/>
      <c r="W123" s="2719"/>
      <c r="X123" s="2719"/>
      <c r="Y123" s="2719"/>
      <c r="Z123" s="2719"/>
      <c r="AA123" s="2719"/>
      <c r="AB123" s="2719"/>
      <c r="AC123" s="2719"/>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7"/>
      <c r="O125" s="2747"/>
      <c r="P125" s="2757"/>
      <c r="Q125" s="2733"/>
      <c r="R125" s="2719"/>
      <c r="S125" s="2719"/>
      <c r="T125" s="2719"/>
      <c r="U125" s="2719"/>
      <c r="V125" s="2719"/>
      <c r="W125" s="2719"/>
      <c r="X125" s="2719"/>
      <c r="Y125" s="2719"/>
      <c r="Z125" s="2719"/>
      <c r="AA125" s="2719"/>
      <c r="AB125" s="2719"/>
      <c r="AC125" s="2719"/>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8"/>
      <c r="O126" s="2748"/>
      <c r="P126" s="2756"/>
      <c r="Q126" s="2733"/>
      <c r="R126" s="2719"/>
      <c r="S126" s="2719"/>
      <c r="T126" s="2719"/>
      <c r="U126" s="2719"/>
      <c r="V126" s="2719"/>
      <c r="W126" s="2719"/>
      <c r="X126" s="2719"/>
      <c r="Y126" s="2719"/>
      <c r="Z126" s="2719"/>
      <c r="AA126" s="2719"/>
      <c r="AB126" s="2719"/>
      <c r="AC126" s="2719"/>
    </row>
    <row r="127" spans="1:29" s="419" customFormat="1" ht="15" thickTop="1">
      <c r="A127" s="539"/>
      <c r="B127" s="484">
        <f>B45</f>
        <v>111</v>
      </c>
      <c r="C127" s="500"/>
      <c r="D127" s="500"/>
      <c r="E127" s="500"/>
      <c r="F127" s="500"/>
      <c r="G127" s="500"/>
      <c r="H127" s="501"/>
      <c r="I127" s="501"/>
      <c r="J127" s="501"/>
      <c r="K127" s="501"/>
      <c r="L127" s="502"/>
      <c r="M127" s="503"/>
      <c r="N127" s="2749"/>
      <c r="O127" s="2749"/>
      <c r="P127" s="2757"/>
      <c r="Q127" s="2740"/>
      <c r="R127" s="2741"/>
      <c r="S127" s="2741"/>
      <c r="T127" s="2741"/>
      <c r="U127" s="2741"/>
      <c r="V127" s="2741"/>
      <c r="W127" s="2741"/>
      <c r="X127" s="2741"/>
      <c r="Y127" s="2741"/>
      <c r="Z127" s="2741"/>
      <c r="AA127" s="2741"/>
      <c r="AB127" s="2741"/>
      <c r="AC127" s="2741"/>
    </row>
    <row r="128" spans="1:29" s="419" customFormat="1" ht="15.75" thickBot="1">
      <c r="A128" s="499"/>
      <c r="B128" s="489"/>
      <c r="C128" s="506"/>
      <c r="D128" s="482"/>
      <c r="E128" s="482"/>
      <c r="F128" s="482"/>
      <c r="G128" s="506"/>
      <c r="H128" s="508"/>
      <c r="I128" s="508"/>
      <c r="J128" s="508"/>
      <c r="K128" s="508"/>
      <c r="L128" s="508"/>
      <c r="M128" s="509"/>
      <c r="N128" s="2749"/>
      <c r="O128" s="2749"/>
      <c r="P128" s="2757"/>
      <c r="Q128" s="2740"/>
      <c r="R128" s="2741"/>
      <c r="S128" s="2741"/>
      <c r="T128" s="2741"/>
      <c r="U128" s="2741"/>
      <c r="V128" s="2741"/>
      <c r="W128" s="2741"/>
      <c r="X128" s="2741"/>
      <c r="Y128" s="2741"/>
      <c r="Z128" s="2741"/>
      <c r="AA128" s="2741"/>
      <c r="AB128" s="2741"/>
      <c r="AC128" s="2741"/>
    </row>
    <row r="129" spans="1:29" ht="15" thickTop="1">
      <c r="A129" s="545"/>
      <c r="B129" s="484">
        <f>B46</f>
        <v>111</v>
      </c>
      <c r="C129" s="500"/>
      <c r="D129" s="500"/>
      <c r="E129" s="500"/>
      <c r="F129" s="500"/>
      <c r="G129" s="529"/>
      <c r="H129" s="529"/>
      <c r="I129" s="529"/>
      <c r="J129" s="529"/>
      <c r="K129" s="530"/>
      <c r="L129" s="531"/>
      <c r="M129" s="532"/>
      <c r="N129" s="2747"/>
      <c r="O129" s="2747"/>
      <c r="P129" s="2756"/>
      <c r="Q129" s="2733"/>
      <c r="R129" s="2719"/>
      <c r="S129" s="2719"/>
      <c r="T129" s="2719"/>
      <c r="U129" s="2719"/>
      <c r="V129" s="2719"/>
      <c r="W129" s="2719"/>
      <c r="X129" s="2719"/>
      <c r="Y129" s="2719"/>
      <c r="Z129" s="2719"/>
      <c r="AA129" s="2719"/>
      <c r="AB129" s="2719"/>
      <c r="AC129" s="2719"/>
    </row>
    <row r="130" spans="1:29" ht="15.75" thickBot="1">
      <c r="A130" s="480"/>
      <c r="B130" s="489"/>
      <c r="C130" s="506"/>
      <c r="D130" s="506"/>
      <c r="E130" s="506"/>
      <c r="F130" s="506"/>
      <c r="G130" s="482"/>
      <c r="H130" s="482"/>
      <c r="I130" s="482"/>
      <c r="J130" s="482"/>
      <c r="K130" s="482"/>
      <c r="L130" s="482"/>
      <c r="M130" s="483"/>
      <c r="N130" s="2748"/>
      <c r="O130" s="2748"/>
      <c r="P130" s="2756"/>
      <c r="Q130" s="2733"/>
      <c r="R130" s="2719"/>
      <c r="S130" s="2719"/>
      <c r="T130" s="2719"/>
      <c r="U130" s="2719"/>
      <c r="V130" s="2719"/>
      <c r="W130" s="2719"/>
      <c r="X130" s="2719"/>
      <c r="Y130" s="2719"/>
      <c r="Z130" s="2719"/>
      <c r="AA130" s="2719"/>
      <c r="AB130" s="2719"/>
      <c r="AC130" s="2719"/>
    </row>
    <row r="131" spans="1:29" ht="15" thickTop="1">
      <c r="A131" s="545"/>
      <c r="B131" s="492">
        <f>B47</f>
        <v>111</v>
      </c>
      <c r="C131" s="469"/>
      <c r="D131" s="469"/>
      <c r="E131" s="469"/>
      <c r="F131" s="469"/>
      <c r="G131" s="533"/>
      <c r="H131" s="533"/>
      <c r="I131" s="533"/>
      <c r="J131" s="533"/>
      <c r="K131" s="469"/>
      <c r="L131" s="470"/>
      <c r="M131" s="536"/>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5"/>
      <c r="C132" s="516"/>
      <c r="D132" s="516"/>
      <c r="E132" s="516"/>
      <c r="F132" s="516"/>
      <c r="G132" s="537"/>
      <c r="H132" s="537"/>
      <c r="I132" s="537"/>
      <c r="J132" s="537"/>
      <c r="K132" s="537"/>
      <c r="L132" s="537"/>
      <c r="M132" s="538"/>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xr:uid="{00000000-0002-0000-2E00-000000000000}">
      <formula1>办公建筑结构</formula1>
    </dataValidation>
    <dataValidation type="list" allowBlank="1" showInputMessage="1" showErrorMessage="1" sqref="E24 G24 I24 C24" xr:uid="{00000000-0002-0000-2E00-000001000000}">
      <formula1>环境</formula1>
    </dataValidation>
    <dataValidation type="list" allowBlank="1" showInputMessage="1" showErrorMessage="1" sqref="E18 G18 I18 C18" xr:uid="{00000000-0002-0000-2E00-000002000000}">
      <formula1>交通便捷度</formula1>
    </dataValidation>
    <dataValidation type="list" allowBlank="1" showInputMessage="1" showErrorMessage="1" sqref="E20 I20 G20 C20" xr:uid="{00000000-0002-0000-2E00-000003000000}">
      <formula1>公共配套设施</formula1>
    </dataValidation>
    <dataValidation type="list" allowBlank="1" showInputMessage="1" showErrorMessage="1" sqref="C44 E44 G44 I44" xr:uid="{00000000-0002-0000-2E00-000004000000}">
      <formula1>内部装修维护情况</formula1>
    </dataValidation>
    <dataValidation type="list" allowBlank="1" showInputMessage="1" showErrorMessage="1" sqref="D1" xr:uid="{00000000-0002-0000-2E00-000005000000}">
      <formula1>项目类型</formula1>
    </dataValidation>
    <dataValidation type="list" allowBlank="1" showInputMessage="1" showErrorMessage="1" sqref="E9 G9 I9" xr:uid="{00000000-0002-0000-2E00-000006000000}">
      <formula1>办公用途</formula1>
    </dataValidation>
    <dataValidation type="list" allowBlank="1" showInputMessage="1" showErrorMessage="1" sqref="C16 E16 G16 I16" xr:uid="{00000000-0002-0000-2E00-000007000000}">
      <formula1>办公集聚程度</formula1>
    </dataValidation>
    <dataValidation type="list" allowBlank="1" showInputMessage="1" showErrorMessage="1" sqref="G26 C26 E26 I26" xr:uid="{00000000-0002-0000-2E00-000008000000}">
      <formula1>办公道路级别</formula1>
    </dataValidation>
    <dataValidation type="list" allowBlank="1" showInputMessage="1" showErrorMessage="1" sqref="C28 E28 G28 I28" xr:uid="{00000000-0002-0000-2E00-000009000000}">
      <formula1>办公朝向</formula1>
    </dataValidation>
    <dataValidation type="list" allowBlank="1" showInputMessage="1" showErrorMessage="1" sqref="C27 E27 G27 I27" xr:uid="{00000000-0002-0000-2E00-00000A000000}">
      <formula1>办公楼层</formula1>
    </dataValidation>
    <dataValidation type="list" allowBlank="1" showInputMessage="1" showErrorMessage="1" sqref="C33 E33 G33 I33" xr:uid="{00000000-0002-0000-2E00-00000B000000}">
      <formula1>办公建筑类型</formula1>
    </dataValidation>
    <dataValidation type="list" allowBlank="1" showInputMessage="1" showErrorMessage="1" sqref="C36 E36 G36 I36" xr:uid="{00000000-0002-0000-2E00-00000C000000}">
      <formula1>办公公共部分装修</formula1>
    </dataValidation>
    <dataValidation type="list" allowBlank="1" showInputMessage="1" showErrorMessage="1" sqref="C38 E38 G38 I38" xr:uid="{00000000-0002-0000-2E00-00000D000000}">
      <formula1>写字楼等级</formula1>
    </dataValidation>
    <dataValidation type="list" allowBlank="1" showInputMessage="1" showErrorMessage="1" sqref="C39 E39 G39 I39" xr:uid="{00000000-0002-0000-2E00-00000E000000}">
      <formula1>办公物业管理</formula1>
    </dataValidation>
    <dataValidation type="list" allowBlank="1" showInputMessage="1" showErrorMessage="1" sqref="C40 E40 G40 I40" xr:uid="{00000000-0002-0000-2E00-00000F000000}">
      <formula1>办公基础设施水平</formula1>
    </dataValidation>
    <dataValidation type="list" allowBlank="1" showInputMessage="1" showErrorMessage="1" sqref="C41 E41 G41 I41" xr:uid="{00000000-0002-0000-2E00-000010000000}">
      <formula1>办公层高</formula1>
    </dataValidation>
    <dataValidation type="list" allowBlank="1" showInputMessage="1" showErrorMessage="1" sqref="C43 E43 G43 I43" xr:uid="{00000000-0002-0000-2E00-000011000000}">
      <formula1>办公内部装修</formula1>
    </dataValidation>
    <dataValidation type="list" allowBlank="1" showInputMessage="1" showErrorMessage="1" sqref="C8 E8 G8 I8" xr:uid="{00000000-0002-0000-2E00-000012000000}">
      <formula1>办公交易情况</formula1>
    </dataValidation>
    <dataValidation type="list" allowBlank="1" showInputMessage="1" showErrorMessage="1" sqref="C22 E22 G22 I22" xr:uid="{00000000-0002-0000-2E00-000013000000}">
      <formula1>基础设施水平</formula1>
    </dataValidation>
    <dataValidation type="list" allowBlank="1" showInputMessage="1" showErrorMessage="1" sqref="F1" xr:uid="{00000000-0002-0000-2E00-000014000000}">
      <formula1>"售价,租金"</formula1>
    </dataValidation>
    <dataValidation type="list" allowBlank="1" showInputMessage="1" showErrorMessage="1" sqref="C2" xr:uid="{00000000-0002-0000-2E00-000015000000}">
      <formula1>"需扣减承租人权益,——"</formula1>
    </dataValidation>
    <dataValidation type="list" allowBlank="1" showInputMessage="1" showErrorMessage="1" sqref="F2" xr:uid="{00000000-0002-0000-2E00-000016000000}">
      <formula1>估价方法</formula1>
    </dataValidation>
    <dataValidation type="list" allowBlank="1" showInputMessage="1" showErrorMessage="1" sqref="D49" xr:uid="{00000000-0002-0000-2E00-000017000000}">
      <formula1>"简单平均,加权平均"</formula1>
    </dataValidation>
    <dataValidation type="list" allowBlank="1" showInputMessage="1" showErrorMessage="1" sqref="E1" xr:uid="{00000000-0002-0000-2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AC113"/>
  <sheetViews>
    <sheetView view="pageBreakPreview" topLeftCell="A8" zoomScale="85" zoomScaleNormal="60" zoomScaleSheetLayoutView="85" workbookViewId="0">
      <selection activeCell="N37" sqref="N37"/>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1" t="s">
        <v>1826</v>
      </c>
      <c r="C1" s="1218" t="s">
        <v>1662</v>
      </c>
      <c r="D1" s="1219" t="s">
        <v>3453</v>
      </c>
      <c r="E1" s="3427" t="s">
        <v>3412</v>
      </c>
      <c r="F1" s="1873" t="s">
        <v>3413</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685</v>
      </c>
      <c r="B2" s="1158">
        <f>IF(E1="项目模式",IF(C2="——",ROUND(C43*D3/10000,0),ROUND(C43*D3/10000,0)-D2),IF(E1="单套模式",IF(C2="——",ROUND(C43*D3/10000,4),ROUND(C43*D3/10000,4)-D2)))</f>
        <v>0</v>
      </c>
      <c r="C2" s="1875" t="s">
        <v>43</v>
      </c>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6"/>
      <c r="Q2" s="696"/>
      <c r="R2" s="696"/>
      <c r="S2" s="696"/>
      <c r="T2" s="696"/>
      <c r="U2" s="696"/>
      <c r="V2" s="696"/>
      <c r="W2" s="696"/>
      <c r="X2" s="696"/>
      <c r="Y2" s="696"/>
      <c r="Z2" s="696"/>
      <c r="AA2" s="696"/>
      <c r="AB2" s="696"/>
      <c r="AC2" s="710"/>
    </row>
    <row r="3" spans="1:29" s="349" customFormat="1" ht="28.5" customHeight="1" thickBot="1">
      <c r="A3" s="200" t="s">
        <v>686</v>
      </c>
      <c r="B3" s="555">
        <f>IF(C2="——",C43,ROUND(B2*10000/D3,0))</f>
        <v>2.6</v>
      </c>
      <c r="C3" s="351" t="s">
        <v>1665</v>
      </c>
      <c r="D3" s="350">
        <f>IF(D1="",'数据-汇总表'!E3,SUMIF('数据-汇总表'!$C19:$C33,D1,'数据-汇总表'!$E19:$E33))</f>
        <v>0</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2" t="s">
        <v>1666</v>
      </c>
      <c r="B4" s="353"/>
      <c r="C4" s="3728" t="s">
        <v>1667</v>
      </c>
      <c r="D4" s="3729"/>
      <c r="E4" s="3730" t="s">
        <v>1668</v>
      </c>
      <c r="F4" s="3731"/>
      <c r="G4" s="3728" t="s">
        <v>1669</v>
      </c>
      <c r="H4" s="3729"/>
      <c r="I4" s="3728" t="s">
        <v>1670</v>
      </c>
      <c r="J4" s="3729"/>
      <c r="K4" s="556" t="s">
        <v>1671</v>
      </c>
      <c r="L4" s="907"/>
      <c r="M4" s="908"/>
      <c r="N4" s="908"/>
      <c r="O4" s="908"/>
      <c r="P4" s="3732" t="s">
        <v>1672</v>
      </c>
      <c r="Q4" s="3733"/>
      <c r="R4" s="3715" t="s">
        <v>1668</v>
      </c>
      <c r="S4" s="3716"/>
      <c r="T4" s="3715" t="s">
        <v>1669</v>
      </c>
      <c r="U4" s="3716"/>
      <c r="V4" s="3740" t="s">
        <v>1670</v>
      </c>
      <c r="W4" s="3740"/>
      <c r="X4" s="3461"/>
      <c r="Y4" s="3715" t="s">
        <v>1672</v>
      </c>
      <c r="Z4" s="3716"/>
      <c r="AA4" s="3710" t="s">
        <v>1668</v>
      </c>
      <c r="AB4" s="3711" t="s">
        <v>1669</v>
      </c>
      <c r="AC4" s="3710" t="s">
        <v>1670</v>
      </c>
    </row>
    <row r="5" spans="1:29" ht="15">
      <c r="A5" s="355"/>
      <c r="B5" s="356"/>
      <c r="C5" s="3721" t="s">
        <v>1673</v>
      </c>
      <c r="D5" s="3722"/>
      <c r="E5" s="3824" t="s">
        <v>3455</v>
      </c>
      <c r="F5" s="3720"/>
      <c r="G5" s="3825" t="s">
        <v>3438</v>
      </c>
      <c r="H5" s="3722"/>
      <c r="I5" s="3825" t="s">
        <v>3439</v>
      </c>
      <c r="J5" s="3722"/>
      <c r="K5" s="556"/>
      <c r="L5" s="907"/>
      <c r="M5" s="908"/>
      <c r="N5" s="908"/>
      <c r="O5" s="908"/>
      <c r="P5" s="3734"/>
      <c r="Q5" s="3735"/>
      <c r="R5" s="3717"/>
      <c r="S5" s="3718"/>
      <c r="T5" s="3717"/>
      <c r="U5" s="3718"/>
      <c r="V5" s="3740"/>
      <c r="W5" s="3740"/>
      <c r="X5" s="3461"/>
      <c r="Y5" s="3717"/>
      <c r="Z5" s="3718"/>
      <c r="AA5" s="3711"/>
      <c r="AB5" s="3711"/>
      <c r="AC5" s="3711"/>
    </row>
    <row r="6" spans="1:29" ht="15.75" thickBot="1">
      <c r="A6" s="357"/>
      <c r="B6" s="358"/>
      <c r="C6" s="3723" t="s">
        <v>1677</v>
      </c>
      <c r="D6" s="3724"/>
      <c r="E6" s="3725" t="s">
        <v>1677</v>
      </c>
      <c r="F6" s="3726"/>
      <c r="G6" s="3723" t="s">
        <v>1677</v>
      </c>
      <c r="H6" s="3724"/>
      <c r="I6" s="3723" t="s">
        <v>1677</v>
      </c>
      <c r="J6" s="3724"/>
      <c r="K6" s="556" t="s">
        <v>1678</v>
      </c>
      <c r="L6" s="907"/>
      <c r="M6" s="908"/>
      <c r="N6" s="908"/>
      <c r="O6" s="908"/>
      <c r="P6" s="3736"/>
      <c r="Q6" s="3737"/>
      <c r="R6" s="3717"/>
      <c r="S6" s="3718"/>
      <c r="T6" s="3738"/>
      <c r="U6" s="3739"/>
      <c r="V6" s="3740"/>
      <c r="W6" s="3740"/>
      <c r="X6" s="3461"/>
      <c r="Y6" s="3738"/>
      <c r="Z6" s="3739"/>
      <c r="AA6" s="3712"/>
      <c r="AB6" s="3712"/>
      <c r="AC6" s="3712"/>
    </row>
    <row r="7" spans="1:29" s="105" customFormat="1" ht="15.75" thickBot="1">
      <c r="A7" s="359" t="s">
        <v>1679</v>
      </c>
      <c r="B7" s="360"/>
      <c r="C7" s="361">
        <f>'数据-取费表'!B2</f>
        <v>45539</v>
      </c>
      <c r="D7" s="362">
        <v>100</v>
      </c>
      <c r="E7" s="363">
        <f>C7</f>
        <v>45539</v>
      </c>
      <c r="F7" s="364">
        <f>SUMIF(52:52,YEAR(E7)&amp;"-"&amp;MONTH(E7),53:53)</f>
        <v>100</v>
      </c>
      <c r="G7" s="363">
        <f>C7</f>
        <v>45539</v>
      </c>
      <c r="H7" s="362">
        <f>SUMIF(52:52,YEAR(G7)&amp;"-"&amp;MONTH(G7),53:53)</f>
        <v>100</v>
      </c>
      <c r="I7" s="363">
        <f>C7</f>
        <v>45539</v>
      </c>
      <c r="J7" s="362">
        <f>SUMIF(52:52,YEAR(I7)&amp;"-"&amp;MONTH(I7),53:53)</f>
        <v>100</v>
      </c>
      <c r="K7" s="557"/>
      <c r="L7" s="909"/>
      <c r="M7" s="910"/>
      <c r="N7" s="910"/>
      <c r="O7" s="910"/>
      <c r="P7" s="3713" t="s">
        <v>1680</v>
      </c>
      <c r="Q7" s="3741"/>
      <c r="R7" s="698" t="s">
        <v>14</v>
      </c>
      <c r="S7" s="699">
        <f t="shared" ref="S7:S15" si="0">F7</f>
        <v>100</v>
      </c>
      <c r="T7" s="698" t="s">
        <v>14</v>
      </c>
      <c r="U7" s="699">
        <f t="shared" ref="U7:U15" si="1">H7</f>
        <v>100</v>
      </c>
      <c r="V7" s="698" t="s">
        <v>14</v>
      </c>
      <c r="W7" s="699">
        <f t="shared" ref="W7:W15" si="2">J7</f>
        <v>100</v>
      </c>
      <c r="X7" s="700"/>
      <c r="Y7" s="3713" t="s">
        <v>1680</v>
      </c>
      <c r="Z7" s="3714"/>
      <c r="AA7" s="701">
        <f>D7/F7</f>
        <v>1</v>
      </c>
      <c r="AB7" s="701">
        <f>D7/H7</f>
        <v>1</v>
      </c>
      <c r="AC7" s="701">
        <f>D7/J7</f>
        <v>1</v>
      </c>
    </row>
    <row r="8" spans="1:29" s="105" customFormat="1" ht="15.75" thickBot="1">
      <c r="A8" s="359" t="s">
        <v>1681</v>
      </c>
      <c r="B8" s="360"/>
      <c r="C8" s="365" t="s">
        <v>3440</v>
      </c>
      <c r="D8" s="362">
        <v>100</v>
      </c>
      <c r="E8" s="365" t="s">
        <v>3441</v>
      </c>
      <c r="F8" s="364">
        <f>SUMIF(55:55,E8,56:56)-SUMIF(55:55,C8,56:56)+100</f>
        <v>105</v>
      </c>
      <c r="G8" s="365" t="s">
        <v>3441</v>
      </c>
      <c r="H8" s="362">
        <f>SUMIF(55:55,G8,56:56)-SUMIF(55:55,C8,56:56)+100</f>
        <v>105</v>
      </c>
      <c r="I8" s="365" t="s">
        <v>3441</v>
      </c>
      <c r="J8" s="362">
        <f>SUMIF(55:55,I8,56:56)-SUMIF(55:55,C8,56:56)+100</f>
        <v>105</v>
      </c>
      <c r="K8" s="557"/>
      <c r="L8" s="909"/>
      <c r="M8" s="910"/>
      <c r="N8" s="910"/>
      <c r="O8" s="910"/>
      <c r="P8" s="3713" t="s">
        <v>1683</v>
      </c>
      <c r="Q8" s="3714"/>
      <c r="R8" s="698" t="s">
        <v>14</v>
      </c>
      <c r="S8" s="699">
        <f t="shared" si="0"/>
        <v>105</v>
      </c>
      <c r="T8" s="698" t="s">
        <v>14</v>
      </c>
      <c r="U8" s="699">
        <f t="shared" si="1"/>
        <v>105</v>
      </c>
      <c r="V8" s="698" t="s">
        <v>14</v>
      </c>
      <c r="W8" s="699">
        <f t="shared" si="2"/>
        <v>105</v>
      </c>
      <c r="X8" s="700"/>
      <c r="Y8" s="3713" t="s">
        <v>1683</v>
      </c>
      <c r="Z8" s="3714"/>
      <c r="AA8" s="701">
        <f t="shared" ref="AA8:AA40" si="3">D8/F8</f>
        <v>0.95238095238095233</v>
      </c>
      <c r="AB8" s="701">
        <f t="shared" ref="AB8:AB40" si="4">D8/H8</f>
        <v>0.95238095238095233</v>
      </c>
      <c r="AC8" s="701">
        <f t="shared" ref="AC8:AC40" si="5">D8/J8</f>
        <v>0.95238095238095233</v>
      </c>
    </row>
    <row r="9" spans="1:29" s="105" customFormat="1">
      <c r="A9" s="366" t="s">
        <v>1684</v>
      </c>
      <c r="B9" s="63" t="s">
        <v>1685</v>
      </c>
      <c r="C9" s="3483" t="s">
        <v>3443</v>
      </c>
      <c r="D9" s="123">
        <v>100</v>
      </c>
      <c r="E9" s="370" t="s">
        <v>3442</v>
      </c>
      <c r="F9" s="123">
        <f>SUMIF(57:57,E9,58:58)-SUMIF(57:57,C9,58:58)+100</f>
        <v>100</v>
      </c>
      <c r="G9" s="368" t="s">
        <v>3442</v>
      </c>
      <c r="H9" s="123">
        <f>SUMIF(57:57,G9,58:58)-SUMIF(57:57,C9,58:58)+100</f>
        <v>100</v>
      </c>
      <c r="I9" s="368" t="s">
        <v>3442</v>
      </c>
      <c r="J9" s="123">
        <f>SUMIF(57:57,I9,58:58)-SUMIF(57:57,C9,58:58)+100</f>
        <v>100</v>
      </c>
      <c r="K9" s="557"/>
      <c r="L9" s="909"/>
      <c r="M9" s="910"/>
      <c r="N9" s="910"/>
      <c r="O9" s="911"/>
      <c r="P9" s="3745" t="s">
        <v>1686</v>
      </c>
      <c r="Q9" s="3459" t="str">
        <f t="shared" ref="Q9:Q15" si="6">B9</f>
        <v>用途</v>
      </c>
      <c r="R9" s="698" t="s">
        <v>14</v>
      </c>
      <c r="S9" s="699">
        <f t="shared" si="0"/>
        <v>100</v>
      </c>
      <c r="T9" s="698" t="s">
        <v>14</v>
      </c>
      <c r="U9" s="699">
        <f t="shared" si="1"/>
        <v>100</v>
      </c>
      <c r="V9" s="698" t="s">
        <v>14</v>
      </c>
      <c r="W9" s="699">
        <f t="shared" si="2"/>
        <v>100</v>
      </c>
      <c r="X9" s="700"/>
      <c r="Y9" s="3659" t="s">
        <v>1687</v>
      </c>
      <c r="Z9" s="3452" t="str">
        <f t="shared" ref="Z9:Z15" si="7">Q9</f>
        <v>用途</v>
      </c>
      <c r="AA9" s="701">
        <f t="shared" si="3"/>
        <v>1</v>
      </c>
      <c r="AB9" s="701">
        <f t="shared" si="4"/>
        <v>1</v>
      </c>
      <c r="AC9" s="701">
        <f t="shared" si="5"/>
        <v>1</v>
      </c>
    </row>
    <row r="10" spans="1:29" s="375" customFormat="1" ht="27">
      <c r="A10" s="371"/>
      <c r="B10" s="372" t="s">
        <v>1688</v>
      </c>
      <c r="C10" s="3428"/>
      <c r="D10" s="124">
        <v>100</v>
      </c>
      <c r="E10" s="3428"/>
      <c r="F10" s="124">
        <f>SUMIF(59:59,E10,60:60)-SUMIF(59:59,C10,60:60)+100</f>
        <v>100</v>
      </c>
      <c r="G10" s="3429"/>
      <c r="H10" s="124">
        <f>SUMIF(59:59,G10,60:60)-SUMIF(59:59,C10,60:60)+100</f>
        <v>100</v>
      </c>
      <c r="I10" s="3428"/>
      <c r="J10" s="124">
        <f>SUMIF(59:59,I10,60:60)-SUMIF(59:59,C10,60:60)+100</f>
        <v>100</v>
      </c>
      <c r="K10" s="557"/>
      <c r="L10" s="912"/>
      <c r="M10" s="913"/>
      <c r="N10" s="913"/>
      <c r="O10" s="914"/>
      <c r="P10" s="3745"/>
      <c r="Q10" s="3459" t="str">
        <f t="shared" si="6"/>
        <v>土地使用年限（年）</v>
      </c>
      <c r="R10" s="698" t="s">
        <v>14</v>
      </c>
      <c r="S10" s="699">
        <f t="shared" si="0"/>
        <v>100</v>
      </c>
      <c r="T10" s="698" t="s">
        <v>14</v>
      </c>
      <c r="U10" s="699">
        <f t="shared" si="1"/>
        <v>100</v>
      </c>
      <c r="V10" s="698" t="s">
        <v>14</v>
      </c>
      <c r="W10" s="699">
        <f t="shared" si="2"/>
        <v>100</v>
      </c>
      <c r="X10" s="700"/>
      <c r="Y10" s="3659"/>
      <c r="Z10" s="3452" t="str">
        <f t="shared" si="7"/>
        <v>土地使用年限（年）</v>
      </c>
      <c r="AA10" s="701">
        <f t="shared" si="3"/>
        <v>1</v>
      </c>
      <c r="AB10" s="701">
        <f t="shared" si="4"/>
        <v>1</v>
      </c>
      <c r="AC10" s="701">
        <f t="shared" si="5"/>
        <v>1</v>
      </c>
    </row>
    <row r="11" spans="1:29" ht="15.75" thickBot="1">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v>2</v>
      </c>
      <c r="L11" s="915"/>
      <c r="M11" s="908"/>
      <c r="N11" s="908"/>
      <c r="O11" s="916"/>
      <c r="P11" s="3745"/>
      <c r="Q11" s="3459" t="str">
        <f t="shared" si="6"/>
        <v>容积率</v>
      </c>
      <c r="R11" s="698" t="s">
        <v>14</v>
      </c>
      <c r="S11" s="699">
        <f t="shared" si="0"/>
        <v>100</v>
      </c>
      <c r="T11" s="698" t="s">
        <v>14</v>
      </c>
      <c r="U11" s="699">
        <f t="shared" si="1"/>
        <v>100</v>
      </c>
      <c r="V11" s="698" t="s">
        <v>14</v>
      </c>
      <c r="W11" s="699">
        <f t="shared" si="2"/>
        <v>100</v>
      </c>
      <c r="X11" s="700"/>
      <c r="Y11" s="3659"/>
      <c r="Z11" s="3452" t="str">
        <f t="shared" si="7"/>
        <v>容积率</v>
      </c>
      <c r="AA11" s="701">
        <f t="shared" si="3"/>
        <v>1</v>
      </c>
      <c r="AB11" s="701">
        <f t="shared" si="4"/>
        <v>1</v>
      </c>
      <c r="AC11" s="701">
        <f t="shared" si="5"/>
        <v>1</v>
      </c>
    </row>
    <row r="12" spans="1:29" s="105" customFormat="1" ht="15.75" hidden="1" thickBot="1">
      <c r="A12" s="379"/>
      <c r="B12" s="1887">
        <v>111</v>
      </c>
      <c r="C12" s="380"/>
      <c r="D12" s="381">
        <v>100</v>
      </c>
      <c r="E12" s="382"/>
      <c r="F12" s="124">
        <f>SUMIF(64:64,E12,65:65)-SUMIF(64:64,C12,65:65)+100</f>
        <v>100</v>
      </c>
      <c r="G12" s="1964"/>
      <c r="H12" s="124">
        <f>SUMIF(64:64,G12,65:65)-SUMIF(64:64,C12,65:65)+100</f>
        <v>100</v>
      </c>
      <c r="I12" s="417"/>
      <c r="J12" s="124">
        <f>SUMIF(64:64,I12,65:65)-SUMIF(64:64,C12,65:65)+100</f>
        <v>100</v>
      </c>
      <c r="K12" s="559"/>
      <c r="L12" s="909"/>
      <c r="M12" s="910"/>
      <c r="N12" s="910"/>
      <c r="O12" s="911"/>
      <c r="P12" s="3745"/>
      <c r="Q12" s="3459">
        <f t="shared" si="6"/>
        <v>111</v>
      </c>
      <c r="R12" s="698" t="s">
        <v>14</v>
      </c>
      <c r="S12" s="699">
        <f t="shared" si="0"/>
        <v>100</v>
      </c>
      <c r="T12" s="698" t="s">
        <v>14</v>
      </c>
      <c r="U12" s="699">
        <f t="shared" si="1"/>
        <v>100</v>
      </c>
      <c r="V12" s="698" t="s">
        <v>14</v>
      </c>
      <c r="W12" s="699">
        <f t="shared" si="2"/>
        <v>100</v>
      </c>
      <c r="X12" s="700"/>
      <c r="Y12" s="3659"/>
      <c r="Z12" s="3452">
        <f t="shared" si="7"/>
        <v>111</v>
      </c>
      <c r="AA12" s="701">
        <f>D12/F12</f>
        <v>1</v>
      </c>
      <c r="AB12" s="701">
        <f>D12/H12</f>
        <v>1</v>
      </c>
      <c r="AC12" s="701">
        <f>D12/J12</f>
        <v>1</v>
      </c>
    </row>
    <row r="13" spans="1:29" ht="15.75" hidden="1" thickBot="1">
      <c r="A13" s="376"/>
      <c r="B13" s="1887">
        <v>111</v>
      </c>
      <c r="C13" s="382"/>
      <c r="D13" s="383">
        <v>100</v>
      </c>
      <c r="E13" s="382"/>
      <c r="F13" s="124">
        <f>SUMIF(66:66,E13,67:67)-SUMIF(66:66,C13,67:67)+100</f>
        <v>100</v>
      </c>
      <c r="G13" s="1964"/>
      <c r="H13" s="383">
        <f>SUMIF(66:66,G13,67:67)-SUMIF(66:66,C13,67:67)+100</f>
        <v>100</v>
      </c>
      <c r="I13" s="417"/>
      <c r="J13" s="383">
        <f>SUMIF(66:66,I13,67:67)-SUMIF(66:66,C13,67:67)+100</f>
        <v>100</v>
      </c>
      <c r="K13" s="559"/>
      <c r="L13" s="917"/>
      <c r="M13" s="908"/>
      <c r="N13" s="908"/>
      <c r="O13" s="916"/>
      <c r="P13" s="3745"/>
      <c r="Q13" s="3459">
        <f t="shared" si="6"/>
        <v>111</v>
      </c>
      <c r="R13" s="698" t="s">
        <v>14</v>
      </c>
      <c r="S13" s="699">
        <f t="shared" si="0"/>
        <v>100</v>
      </c>
      <c r="T13" s="698" t="s">
        <v>14</v>
      </c>
      <c r="U13" s="699">
        <f t="shared" si="1"/>
        <v>100</v>
      </c>
      <c r="V13" s="698" t="s">
        <v>14</v>
      </c>
      <c r="W13" s="699">
        <f t="shared" si="2"/>
        <v>100</v>
      </c>
      <c r="X13" s="700"/>
      <c r="Y13" s="3659"/>
      <c r="Z13" s="3452">
        <f t="shared" si="7"/>
        <v>111</v>
      </c>
      <c r="AA13" s="701">
        <f t="shared" si="3"/>
        <v>1</v>
      </c>
      <c r="AB13" s="701">
        <f t="shared" si="4"/>
        <v>1</v>
      </c>
      <c r="AC13" s="701">
        <f t="shared" si="5"/>
        <v>1</v>
      </c>
    </row>
    <row r="14" spans="1:29" ht="15.75" hidden="1" thickBot="1">
      <c r="A14" s="384"/>
      <c r="B14" s="1889">
        <v>111</v>
      </c>
      <c r="C14" s="385"/>
      <c r="D14" s="386">
        <v>100</v>
      </c>
      <c r="E14" s="385"/>
      <c r="F14" s="386">
        <f>SUMIF(68:68,E14,69:69)-SUMIF(68:68,C14,69:69)+100</f>
        <v>100</v>
      </c>
      <c r="G14" s="1964"/>
      <c r="H14" s="386">
        <f>SUMIF(68:68,G14,69:69)-SUMIF(68:68,C14,69:69)+100</f>
        <v>100</v>
      </c>
      <c r="I14" s="417"/>
      <c r="J14" s="386">
        <f>SUMIF(68:68,I14,69:69)-SUMIF(68:68,C14,69:69)+100</f>
        <v>100</v>
      </c>
      <c r="K14" s="559"/>
      <c r="L14" s="917"/>
      <c r="M14" s="908"/>
      <c r="N14" s="908"/>
      <c r="O14" s="916"/>
      <c r="P14" s="3745"/>
      <c r="Q14" s="3459">
        <f t="shared" si="6"/>
        <v>111</v>
      </c>
      <c r="R14" s="698" t="s">
        <v>14</v>
      </c>
      <c r="S14" s="699">
        <f t="shared" si="0"/>
        <v>100</v>
      </c>
      <c r="T14" s="698" t="s">
        <v>14</v>
      </c>
      <c r="U14" s="699">
        <f t="shared" si="1"/>
        <v>100</v>
      </c>
      <c r="V14" s="698" t="s">
        <v>14</v>
      </c>
      <c r="W14" s="699">
        <f t="shared" si="2"/>
        <v>100</v>
      </c>
      <c r="X14" s="700"/>
      <c r="Y14" s="3659"/>
      <c r="Z14" s="3452">
        <f t="shared" si="7"/>
        <v>111</v>
      </c>
      <c r="AA14" s="701">
        <f t="shared" si="3"/>
        <v>1</v>
      </c>
      <c r="AB14" s="701">
        <f t="shared" si="4"/>
        <v>1</v>
      </c>
      <c r="AC14" s="701">
        <f t="shared" si="5"/>
        <v>1</v>
      </c>
    </row>
    <row r="15" spans="1:29" ht="15">
      <c r="A15" s="388" t="s">
        <v>1690</v>
      </c>
      <c r="B15" s="61" t="s">
        <v>1827</v>
      </c>
      <c r="C15" s="1965">
        <f>估价对象房地状况!G3</f>
        <v>0</v>
      </c>
      <c r="D15" s="389">
        <v>100</v>
      </c>
      <c r="E15" s="390"/>
      <c r="F15" s="391">
        <f>SUMIF(70:70,E16,71:71)-SUMIF(70:70,C16,71:71)+100</f>
        <v>100</v>
      </c>
      <c r="G15" s="392"/>
      <c r="H15" s="389">
        <f>SUMIF(70:70,G16,71:71)-SUMIF(70:70,C16,71:71)+100</f>
        <v>100</v>
      </c>
      <c r="I15" s="390"/>
      <c r="J15" s="389">
        <f>SUMIF(70:70,I16,71:71)-SUMIF(70:70,C16,71:71)+100</f>
        <v>100</v>
      </c>
      <c r="K15" s="560">
        <v>2</v>
      </c>
      <c r="L15" s="917"/>
      <c r="M15" s="908"/>
      <c r="N15" s="908"/>
      <c r="O15" s="916"/>
      <c r="P15" s="3747" t="s">
        <v>1691</v>
      </c>
      <c r="Q15" s="3463" t="str">
        <f t="shared" si="6"/>
        <v>产业集聚程度</v>
      </c>
      <c r="R15" s="702" t="s">
        <v>14</v>
      </c>
      <c r="S15" s="703">
        <f t="shared" si="0"/>
        <v>100</v>
      </c>
      <c r="T15" s="702" t="s">
        <v>14</v>
      </c>
      <c r="U15" s="703">
        <f t="shared" si="1"/>
        <v>100</v>
      </c>
      <c r="V15" s="702" t="s">
        <v>14</v>
      </c>
      <c r="W15" s="703">
        <f t="shared" si="2"/>
        <v>100</v>
      </c>
      <c r="X15" s="3461"/>
      <c r="Y15" s="3747" t="s">
        <v>1691</v>
      </c>
      <c r="Z15" s="3462" t="str">
        <f t="shared" si="7"/>
        <v>产业集聚程度</v>
      </c>
      <c r="AA15" s="3464">
        <f t="shared" si="3"/>
        <v>1</v>
      </c>
      <c r="AB15" s="3464">
        <f t="shared" si="4"/>
        <v>1</v>
      </c>
      <c r="AC15" s="3464">
        <f t="shared" si="5"/>
        <v>1</v>
      </c>
    </row>
    <row r="16" spans="1:29" ht="15">
      <c r="A16" s="376"/>
      <c r="B16" s="394"/>
      <c r="C16" s="395" t="s">
        <v>3400</v>
      </c>
      <c r="D16" s="396"/>
      <c r="E16" s="395" t="s">
        <v>3400</v>
      </c>
      <c r="F16" s="397"/>
      <c r="G16" s="395" t="s">
        <v>3400</v>
      </c>
      <c r="H16" s="398"/>
      <c r="I16" s="395" t="s">
        <v>3400</v>
      </c>
      <c r="J16" s="396"/>
      <c r="K16" s="561"/>
      <c r="L16" s="917"/>
      <c r="M16" s="908"/>
      <c r="N16" s="908"/>
      <c r="O16" s="916"/>
      <c r="P16" s="3748"/>
      <c r="Q16" s="3463"/>
      <c r="R16" s="702"/>
      <c r="S16" s="703"/>
      <c r="T16" s="702"/>
      <c r="U16" s="703"/>
      <c r="V16" s="702"/>
      <c r="W16" s="703"/>
      <c r="X16" s="3461"/>
      <c r="Y16" s="3748"/>
      <c r="Z16" s="3462"/>
      <c r="AA16" s="3464">
        <v>1</v>
      </c>
      <c r="AB16" s="3464">
        <v>1</v>
      </c>
      <c r="AC16" s="3464">
        <v>1</v>
      </c>
    </row>
    <row r="17" spans="1:29" ht="15">
      <c r="A17" s="376"/>
      <c r="B17" s="399" t="s">
        <v>1259</v>
      </c>
      <c r="C17" s="1894">
        <f>估价对象房地状况!G4</f>
        <v>0</v>
      </c>
      <c r="D17" s="398">
        <v>100</v>
      </c>
      <c r="E17" s="400"/>
      <c r="F17" s="401">
        <f>SUMIF(72:72,E18,73:73)-SUMIF(72:72,C18,73:73)+100</f>
        <v>100</v>
      </c>
      <c r="G17" s="402"/>
      <c r="H17" s="403">
        <f>SUMIF(72:72,G18,73:73)-SUMIF(72:72,C18,73:73)+100</f>
        <v>100</v>
      </c>
      <c r="I17" s="400"/>
      <c r="J17" s="403">
        <f>SUMIF(72:72,I18,73:73)-SUMIF(72:72,C18,73:73)+100</f>
        <v>100</v>
      </c>
      <c r="K17" s="560">
        <v>2</v>
      </c>
      <c r="L17" s="917"/>
      <c r="M17" s="908"/>
      <c r="N17" s="908"/>
      <c r="O17" s="916"/>
      <c r="P17" s="3748"/>
      <c r="Q17" s="3463" t="str">
        <f>B17</f>
        <v>交通便捷度</v>
      </c>
      <c r="R17" s="702" t="s">
        <v>14</v>
      </c>
      <c r="S17" s="703">
        <f>F17</f>
        <v>100</v>
      </c>
      <c r="T17" s="702" t="s">
        <v>14</v>
      </c>
      <c r="U17" s="703">
        <f>H17</f>
        <v>100</v>
      </c>
      <c r="V17" s="702" t="s">
        <v>14</v>
      </c>
      <c r="W17" s="703">
        <f>J17</f>
        <v>100</v>
      </c>
      <c r="X17" s="3461"/>
      <c r="Y17" s="3748"/>
      <c r="Z17" s="3462" t="str">
        <f>Q17</f>
        <v>交通便捷度</v>
      </c>
      <c r="AA17" s="3464">
        <f t="shared" si="3"/>
        <v>1</v>
      </c>
      <c r="AB17" s="3464">
        <f t="shared" si="4"/>
        <v>1</v>
      </c>
      <c r="AC17" s="3464">
        <f t="shared" si="5"/>
        <v>1</v>
      </c>
    </row>
    <row r="18" spans="1:29" ht="15">
      <c r="A18" s="376"/>
      <c r="B18" s="404"/>
      <c r="C18" s="395" t="s">
        <v>3400</v>
      </c>
      <c r="D18" s="398"/>
      <c r="E18" s="395" t="s">
        <v>3400</v>
      </c>
      <c r="F18" s="401"/>
      <c r="G18" s="395" t="s">
        <v>3400</v>
      </c>
      <c r="H18" s="396"/>
      <c r="I18" s="395" t="s">
        <v>3400</v>
      </c>
      <c r="J18" s="396"/>
      <c r="K18" s="561"/>
      <c r="L18" s="917"/>
      <c r="M18" s="908"/>
      <c r="N18" s="908"/>
      <c r="O18" s="916"/>
      <c r="P18" s="3748"/>
      <c r="Q18" s="3463"/>
      <c r="R18" s="702"/>
      <c r="S18" s="703"/>
      <c r="T18" s="702"/>
      <c r="U18" s="703"/>
      <c r="V18" s="702"/>
      <c r="W18" s="703"/>
      <c r="X18" s="3461"/>
      <c r="Y18" s="3748"/>
      <c r="Z18" s="3462"/>
      <c r="AA18" s="3464">
        <v>1</v>
      </c>
      <c r="AB18" s="3464">
        <v>1</v>
      </c>
      <c r="AC18" s="3464">
        <v>1</v>
      </c>
    </row>
    <row r="19" spans="1:29" ht="15">
      <c r="A19" s="376"/>
      <c r="B19" s="399" t="s">
        <v>1812</v>
      </c>
      <c r="C19" s="1894">
        <f>估价对象房地状况!G5</f>
        <v>0</v>
      </c>
      <c r="D19" s="403">
        <v>100</v>
      </c>
      <c r="E19" s="405"/>
      <c r="F19" s="406">
        <f>SUMIF(74:74,E20,75:75)-SUMIF(74:74,C20,75:75)+100</f>
        <v>100</v>
      </c>
      <c r="G19" s="407"/>
      <c r="H19" s="398">
        <f>SUMIF(74:74,G20,75:75)-SUMIF(74:74,C20,75:75)+100</f>
        <v>100</v>
      </c>
      <c r="I19" s="405"/>
      <c r="J19" s="398">
        <f>SUMIF(74:74,I20,75:75)-SUMIF(74:74,C20,75:75)+100</f>
        <v>100</v>
      </c>
      <c r="K19" s="560">
        <v>2</v>
      </c>
      <c r="L19" s="917"/>
      <c r="M19" s="908"/>
      <c r="N19" s="908"/>
      <c r="O19" s="916"/>
      <c r="P19" s="3748"/>
      <c r="Q19" s="3463" t="str">
        <f>B19</f>
        <v>公共配套设施</v>
      </c>
      <c r="R19" s="702" t="s">
        <v>14</v>
      </c>
      <c r="S19" s="703">
        <f>F19</f>
        <v>100</v>
      </c>
      <c r="T19" s="702" t="s">
        <v>14</v>
      </c>
      <c r="U19" s="703">
        <f>H19</f>
        <v>100</v>
      </c>
      <c r="V19" s="702" t="s">
        <v>14</v>
      </c>
      <c r="W19" s="703">
        <f>J19</f>
        <v>100</v>
      </c>
      <c r="X19" s="3461"/>
      <c r="Y19" s="3748"/>
      <c r="Z19" s="3462" t="str">
        <f>Q19</f>
        <v>公共配套设施</v>
      </c>
      <c r="AA19" s="3464">
        <f t="shared" si="3"/>
        <v>1</v>
      </c>
      <c r="AB19" s="3464">
        <f t="shared" si="4"/>
        <v>1</v>
      </c>
      <c r="AC19" s="3464">
        <f t="shared" si="5"/>
        <v>1</v>
      </c>
    </row>
    <row r="20" spans="1:29" ht="15">
      <c r="A20" s="376"/>
      <c r="B20" s="404"/>
      <c r="C20" s="395" t="s">
        <v>3400</v>
      </c>
      <c r="D20" s="396"/>
      <c r="E20" s="395" t="s">
        <v>3400</v>
      </c>
      <c r="F20" s="397"/>
      <c r="G20" s="395" t="s">
        <v>3400</v>
      </c>
      <c r="H20" s="396"/>
      <c r="I20" s="395" t="s">
        <v>3400</v>
      </c>
      <c r="J20" s="396"/>
      <c r="K20" s="561"/>
      <c r="L20" s="917"/>
      <c r="M20" s="908"/>
      <c r="N20" s="908"/>
      <c r="O20" s="916"/>
      <c r="P20" s="3748"/>
      <c r="Q20" s="3463"/>
      <c r="R20" s="702"/>
      <c r="S20" s="703"/>
      <c r="T20" s="702"/>
      <c r="U20" s="703"/>
      <c r="V20" s="702"/>
      <c r="W20" s="703"/>
      <c r="X20" s="3461"/>
      <c r="Y20" s="3748"/>
      <c r="Z20" s="3462"/>
      <c r="AA20" s="3464">
        <v>1</v>
      </c>
      <c r="AB20" s="3464">
        <v>1</v>
      </c>
      <c r="AC20" s="3464">
        <v>1</v>
      </c>
    </row>
    <row r="21" spans="1:29" ht="15">
      <c r="A21" s="376"/>
      <c r="B21" s="1125" t="s">
        <v>1813</v>
      </c>
      <c r="C21" s="1894">
        <f>估价对象房地状况!G6</f>
        <v>0</v>
      </c>
      <c r="D21" s="398">
        <v>100</v>
      </c>
      <c r="E21" s="405"/>
      <c r="F21" s="406">
        <f>SUMIF(76:76,E22,77:77)-SUMIF(76:76,C22,77:77)+100</f>
        <v>100</v>
      </c>
      <c r="G21" s="407"/>
      <c r="H21" s="398">
        <f>SUMIF(76:76,G22,77:77)-SUMIF(76:76,C22,77:77)+100</f>
        <v>100</v>
      </c>
      <c r="I21" s="405"/>
      <c r="J21" s="398">
        <f>SUMIF(76:76,I22,77:77)-SUMIF(76:76,C22,77:77)+100</f>
        <v>100</v>
      </c>
      <c r="K21" s="560">
        <v>2</v>
      </c>
      <c r="L21" s="917"/>
      <c r="M21" s="908"/>
      <c r="N21" s="908"/>
      <c r="O21" s="916"/>
      <c r="P21" s="3748"/>
      <c r="Q21" s="3463" t="str">
        <f>B21</f>
        <v>基础设施水平</v>
      </c>
      <c r="R21" s="702" t="s">
        <v>14</v>
      </c>
      <c r="S21" s="703">
        <f>F21</f>
        <v>100</v>
      </c>
      <c r="T21" s="702" t="s">
        <v>14</v>
      </c>
      <c r="U21" s="703">
        <f>H21</f>
        <v>100</v>
      </c>
      <c r="V21" s="702" t="s">
        <v>14</v>
      </c>
      <c r="W21" s="703">
        <f>J21</f>
        <v>100</v>
      </c>
      <c r="X21" s="3461"/>
      <c r="Y21" s="3748"/>
      <c r="Z21" s="3462" t="str">
        <f>Q21</f>
        <v>基础设施水平</v>
      </c>
      <c r="AA21" s="3464">
        <f t="shared" ref="AA21" si="8">D21/F21</f>
        <v>1</v>
      </c>
      <c r="AB21" s="3464">
        <f t="shared" ref="AB21" si="9">D21/H21</f>
        <v>1</v>
      </c>
      <c r="AC21" s="3464">
        <f t="shared" ref="AC21" si="10">D21/J21</f>
        <v>1</v>
      </c>
    </row>
    <row r="22" spans="1:29" ht="15">
      <c r="A22" s="376"/>
      <c r="B22" s="1125"/>
      <c r="C22" s="1895" t="s">
        <v>3444</v>
      </c>
      <c r="D22" s="396"/>
      <c r="E22" s="1895" t="s">
        <v>3444</v>
      </c>
      <c r="F22" s="397"/>
      <c r="G22" s="1895" t="s">
        <v>3444</v>
      </c>
      <c r="H22" s="396"/>
      <c r="I22" s="1895" t="s">
        <v>3444</v>
      </c>
      <c r="J22" s="396"/>
      <c r="K22" s="1124"/>
      <c r="L22" s="917"/>
      <c r="M22" s="908"/>
      <c r="N22" s="908"/>
      <c r="O22" s="916"/>
      <c r="P22" s="3748"/>
      <c r="Q22" s="3463"/>
      <c r="R22" s="702"/>
      <c r="S22" s="703"/>
      <c r="T22" s="702"/>
      <c r="U22" s="703"/>
      <c r="V22" s="702"/>
      <c r="W22" s="703"/>
      <c r="X22" s="3461"/>
      <c r="Y22" s="3748"/>
      <c r="Z22" s="3462"/>
      <c r="AA22" s="3464">
        <v>1</v>
      </c>
      <c r="AB22" s="3464">
        <v>1</v>
      </c>
      <c r="AC22" s="3464">
        <v>1</v>
      </c>
    </row>
    <row r="23" spans="1:29" ht="15">
      <c r="A23" s="376"/>
      <c r="B23" s="399" t="s">
        <v>1814</v>
      </c>
      <c r="C23" s="1894">
        <f>估价对象房地状况!G7</f>
        <v>0</v>
      </c>
      <c r="D23" s="398">
        <v>100</v>
      </c>
      <c r="E23" s="400"/>
      <c r="F23" s="401">
        <f>SUMIF(78:78,E24,79:79)-SUMIF(78:78,C24,79:79)+100</f>
        <v>100</v>
      </c>
      <c r="G23" s="402"/>
      <c r="H23" s="398">
        <f>SUMIF(78:78,G24,79:79)-SUMIF(78:78,C24,79:79)+100</f>
        <v>100</v>
      </c>
      <c r="I23" s="400"/>
      <c r="J23" s="398">
        <f>SUMIF(78:78,I24,79:79)-SUMIF(78:78,C24,79:79)+100</f>
        <v>100</v>
      </c>
      <c r="K23" s="560">
        <v>2</v>
      </c>
      <c r="L23" s="917"/>
      <c r="M23" s="908"/>
      <c r="N23" s="908"/>
      <c r="O23" s="916"/>
      <c r="P23" s="3748"/>
      <c r="Q23" s="3463" t="str">
        <f>B23</f>
        <v>环境质量</v>
      </c>
      <c r="R23" s="702" t="s">
        <v>14</v>
      </c>
      <c r="S23" s="703">
        <f>F23</f>
        <v>100</v>
      </c>
      <c r="T23" s="702" t="s">
        <v>14</v>
      </c>
      <c r="U23" s="703">
        <f>H23</f>
        <v>100</v>
      </c>
      <c r="V23" s="702" t="s">
        <v>14</v>
      </c>
      <c r="W23" s="703">
        <f>J23</f>
        <v>100</v>
      </c>
      <c r="X23" s="3461"/>
      <c r="Y23" s="3748"/>
      <c r="Z23" s="3462" t="str">
        <f>Q23</f>
        <v>环境质量</v>
      </c>
      <c r="AA23" s="3464">
        <f t="shared" si="3"/>
        <v>1</v>
      </c>
      <c r="AB23" s="3464">
        <f t="shared" si="4"/>
        <v>1</v>
      </c>
      <c r="AC23" s="3464">
        <f t="shared" si="5"/>
        <v>1</v>
      </c>
    </row>
    <row r="24" spans="1:29" ht="15.75" thickBot="1">
      <c r="A24" s="376"/>
      <c r="B24" s="1125"/>
      <c r="C24" s="395" t="s">
        <v>3400</v>
      </c>
      <c r="D24" s="396"/>
      <c r="E24" s="395" t="s">
        <v>3400</v>
      </c>
      <c r="F24" s="397"/>
      <c r="G24" s="395" t="s">
        <v>3400</v>
      </c>
      <c r="H24" s="396"/>
      <c r="I24" s="395" t="s">
        <v>3400</v>
      </c>
      <c r="J24" s="396"/>
      <c r="K24" s="561"/>
      <c r="L24" s="917"/>
      <c r="M24" s="908"/>
      <c r="N24" s="908"/>
      <c r="O24" s="916"/>
      <c r="P24" s="3748"/>
      <c r="Q24" s="3463"/>
      <c r="R24" s="702"/>
      <c r="S24" s="703"/>
      <c r="T24" s="702"/>
      <c r="U24" s="703"/>
      <c r="V24" s="702"/>
      <c r="W24" s="703"/>
      <c r="X24" s="3461"/>
      <c r="Y24" s="3748"/>
      <c r="Z24" s="3462"/>
      <c r="AA24" s="3464">
        <v>1</v>
      </c>
      <c r="AB24" s="3464">
        <v>1</v>
      </c>
      <c r="AC24" s="3464">
        <v>1</v>
      </c>
    </row>
    <row r="25" spans="1:29" ht="15.75" hidden="1" thickBot="1">
      <c r="A25" s="355"/>
      <c r="B25" s="1127">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7"/>
      <c r="M25" s="908"/>
      <c r="N25" s="908"/>
      <c r="O25" s="916"/>
      <c r="P25" s="3748"/>
      <c r="Q25" s="3463">
        <f>B25</f>
        <v>111</v>
      </c>
      <c r="R25" s="702" t="s">
        <v>14</v>
      </c>
      <c r="S25" s="703">
        <f>F25</f>
        <v>100</v>
      </c>
      <c r="T25" s="702" t="s">
        <v>14</v>
      </c>
      <c r="U25" s="703">
        <f>H25</f>
        <v>100</v>
      </c>
      <c r="V25" s="702" t="s">
        <v>14</v>
      </c>
      <c r="W25" s="703">
        <f>J25</f>
        <v>100</v>
      </c>
      <c r="X25" s="3461"/>
      <c r="Y25" s="3748"/>
      <c r="Z25" s="3462">
        <f>Q25</f>
        <v>111</v>
      </c>
      <c r="AA25" s="3464">
        <f t="shared" si="3"/>
        <v>1</v>
      </c>
      <c r="AB25" s="3464">
        <f t="shared" si="4"/>
        <v>1</v>
      </c>
      <c r="AC25" s="3464">
        <f t="shared" si="5"/>
        <v>1</v>
      </c>
    </row>
    <row r="26" spans="1:29" ht="15.75" hidden="1" thickBot="1">
      <c r="A26" s="376"/>
      <c r="B26" s="1127">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7"/>
      <c r="M26" s="908"/>
      <c r="N26" s="908"/>
      <c r="O26" s="916"/>
      <c r="P26" s="3748"/>
      <c r="Q26" s="3463">
        <f t="shared" ref="Q26:Q40" si="11">B26</f>
        <v>111</v>
      </c>
      <c r="R26" s="702" t="s">
        <v>14</v>
      </c>
      <c r="S26" s="703">
        <f>F26</f>
        <v>100</v>
      </c>
      <c r="T26" s="702" t="s">
        <v>14</v>
      </c>
      <c r="U26" s="703">
        <f>H26</f>
        <v>100</v>
      </c>
      <c r="V26" s="702" t="s">
        <v>14</v>
      </c>
      <c r="W26" s="703">
        <f>J26</f>
        <v>100</v>
      </c>
      <c r="X26" s="3461"/>
      <c r="Y26" s="3748"/>
      <c r="Z26" s="3462">
        <f>Q26</f>
        <v>111</v>
      </c>
      <c r="AA26" s="3464">
        <f t="shared" si="3"/>
        <v>1</v>
      </c>
      <c r="AB26" s="3464">
        <f t="shared" si="4"/>
        <v>1</v>
      </c>
      <c r="AC26" s="3464">
        <f t="shared" si="5"/>
        <v>1</v>
      </c>
    </row>
    <row r="27" spans="1:29" s="105" customFormat="1" ht="15.75" hidden="1" thickBot="1">
      <c r="A27" s="379"/>
      <c r="B27" s="1127">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9"/>
      <c r="M27" s="910"/>
      <c r="N27" s="910"/>
      <c r="O27" s="911"/>
      <c r="P27" s="3748"/>
      <c r="Q27" s="3459">
        <f t="shared" si="11"/>
        <v>111</v>
      </c>
      <c r="R27" s="698" t="s">
        <v>14</v>
      </c>
      <c r="S27" s="699">
        <f>F27</f>
        <v>100</v>
      </c>
      <c r="T27" s="698" t="s">
        <v>14</v>
      </c>
      <c r="U27" s="699">
        <f>H27</f>
        <v>100</v>
      </c>
      <c r="V27" s="698" t="s">
        <v>14</v>
      </c>
      <c r="W27" s="699">
        <f>J27</f>
        <v>100</v>
      </c>
      <c r="X27" s="700"/>
      <c r="Y27" s="3748"/>
      <c r="Z27" s="3452">
        <f>Q27</f>
        <v>111</v>
      </c>
      <c r="AA27" s="3464">
        <f>D27/F27</f>
        <v>1</v>
      </c>
      <c r="AB27" s="3464">
        <f>D27/H27</f>
        <v>1</v>
      </c>
      <c r="AC27" s="3464">
        <f>D27/J27</f>
        <v>1</v>
      </c>
    </row>
    <row r="28" spans="1:29" ht="15.75" hidden="1" thickBot="1">
      <c r="A28" s="384"/>
      <c r="B28" s="1127">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7"/>
      <c r="M28" s="908"/>
      <c r="N28" s="908"/>
      <c r="O28" s="916"/>
      <c r="P28" s="3748"/>
      <c r="Q28" s="3463">
        <f t="shared" si="11"/>
        <v>111</v>
      </c>
      <c r="R28" s="702" t="s">
        <v>14</v>
      </c>
      <c r="S28" s="703">
        <f t="shared" ref="S28:S40" si="12">F28</f>
        <v>100</v>
      </c>
      <c r="T28" s="702" t="s">
        <v>14</v>
      </c>
      <c r="U28" s="703">
        <f t="shared" ref="U28:U40" si="13">H28</f>
        <v>100</v>
      </c>
      <c r="V28" s="702" t="s">
        <v>14</v>
      </c>
      <c r="W28" s="703">
        <f t="shared" ref="W28:W40" si="14">J28</f>
        <v>100</v>
      </c>
      <c r="X28" s="3461"/>
      <c r="Y28" s="3748"/>
      <c r="Z28" s="3462">
        <f t="shared" ref="Z28:Z40" si="15">Q28</f>
        <v>111</v>
      </c>
      <c r="AA28" s="3464">
        <f t="shared" si="3"/>
        <v>1</v>
      </c>
      <c r="AB28" s="3464">
        <f t="shared" si="4"/>
        <v>1</v>
      </c>
      <c r="AC28" s="3464">
        <f t="shared" si="5"/>
        <v>1</v>
      </c>
    </row>
    <row r="29" spans="1:29" ht="28.5">
      <c r="A29" s="414" t="s">
        <v>1694</v>
      </c>
      <c r="B29" s="63" t="s">
        <v>1817</v>
      </c>
      <c r="C29" s="1961" t="s">
        <v>3445</v>
      </c>
      <c r="D29" s="415">
        <v>100</v>
      </c>
      <c r="E29" s="1961" t="s">
        <v>3445</v>
      </c>
      <c r="F29" s="409">
        <f>SUMIF(88:88,E29,89:89)-SUMIF(88:88,C29,89:89)+100</f>
        <v>100</v>
      </c>
      <c r="G29" s="1961" t="s">
        <v>3445</v>
      </c>
      <c r="H29" s="383">
        <f>SUMIF(88:88,G29,89:89)-SUMIF(88:88,C29,89:89)+100</f>
        <v>100</v>
      </c>
      <c r="I29" s="1961" t="s">
        <v>3445</v>
      </c>
      <c r="J29" s="415">
        <f>SUMIF(88:88,I29,89:89)-SUMIF(88:88,C29,89:89)+100</f>
        <v>100</v>
      </c>
      <c r="K29" s="558">
        <v>10</v>
      </c>
      <c r="L29" s="917"/>
      <c r="M29" s="908"/>
      <c r="N29" s="908"/>
      <c r="O29" s="916"/>
      <c r="P29" s="3756" t="s">
        <v>1696</v>
      </c>
      <c r="Q29" s="3463" t="str">
        <f t="shared" si="11"/>
        <v>建筑类型</v>
      </c>
      <c r="R29" s="702" t="s">
        <v>14</v>
      </c>
      <c r="S29" s="703">
        <f t="shared" si="12"/>
        <v>100</v>
      </c>
      <c r="T29" s="702" t="s">
        <v>14</v>
      </c>
      <c r="U29" s="703">
        <f t="shared" si="13"/>
        <v>100</v>
      </c>
      <c r="V29" s="702" t="s">
        <v>14</v>
      </c>
      <c r="W29" s="703">
        <f t="shared" si="14"/>
        <v>100</v>
      </c>
      <c r="X29" s="3461"/>
      <c r="Y29" s="3752" t="s">
        <v>1696</v>
      </c>
      <c r="Z29" s="3462" t="str">
        <f t="shared" si="15"/>
        <v>建筑类型</v>
      </c>
      <c r="AA29" s="3464">
        <f t="shared" si="3"/>
        <v>1</v>
      </c>
      <c r="AB29" s="3464">
        <f t="shared" si="4"/>
        <v>1</v>
      </c>
      <c r="AC29" s="3464">
        <f t="shared" si="5"/>
        <v>1</v>
      </c>
    </row>
    <row r="30" spans="1:29" s="419" customFormat="1" ht="15">
      <c r="A30" s="416"/>
      <c r="B30" s="372" t="s">
        <v>1697</v>
      </c>
      <c r="C30" s="417">
        <f>'数据-汇总表'!E3</f>
        <v>17747.629999999997</v>
      </c>
      <c r="D30" s="124">
        <v>100</v>
      </c>
      <c r="E30" s="378">
        <v>152.5</v>
      </c>
      <c r="F30" s="373">
        <f>LOOKUP(E30,91:91,92:92)-LOOKUP(C30,91:91,92:92)+100</f>
        <v>100</v>
      </c>
      <c r="G30" s="377">
        <v>119.42</v>
      </c>
      <c r="H30" s="124">
        <f>LOOKUP(G30,91:91,92:92)-LOOKUP(C30,91:91,92:92)+100</f>
        <v>100</v>
      </c>
      <c r="I30" s="377">
        <v>238</v>
      </c>
      <c r="J30" s="124">
        <f>LOOKUP(I30,91:91,92:92)-LOOKUP(C30,91:91,92:92)+100</f>
        <v>100</v>
      </c>
      <c r="K30" s="559"/>
      <c r="L30" s="915"/>
      <c r="M30" s="918"/>
      <c r="N30" s="918"/>
      <c r="O30" s="919"/>
      <c r="P30" s="3752"/>
      <c r="Q30" s="704" t="str">
        <f t="shared" si="11"/>
        <v>项目建筑规模</v>
      </c>
      <c r="R30" s="705" t="s">
        <v>14</v>
      </c>
      <c r="S30" s="706">
        <f t="shared" si="12"/>
        <v>100</v>
      </c>
      <c r="T30" s="705" t="s">
        <v>14</v>
      </c>
      <c r="U30" s="706">
        <f t="shared" si="13"/>
        <v>100</v>
      </c>
      <c r="V30" s="705" t="s">
        <v>14</v>
      </c>
      <c r="W30" s="706">
        <f t="shared" si="14"/>
        <v>100</v>
      </c>
      <c r="X30" s="707"/>
      <c r="Y30" s="3752"/>
      <c r="Z30" s="708" t="str">
        <f t="shared" si="15"/>
        <v>项目建筑规模</v>
      </c>
      <c r="AA30" s="3464">
        <f t="shared" si="3"/>
        <v>1</v>
      </c>
      <c r="AB30" s="3464">
        <f t="shared" si="4"/>
        <v>1</v>
      </c>
      <c r="AC30" s="3464">
        <f t="shared" si="5"/>
        <v>1</v>
      </c>
    </row>
    <row r="31" spans="1:29" ht="15">
      <c r="A31" s="420"/>
      <c r="B31" s="372" t="s">
        <v>1698</v>
      </c>
      <c r="C31" s="408" t="s">
        <v>3406</v>
      </c>
      <c r="D31" s="383">
        <v>100</v>
      </c>
      <c r="E31" s="408" t="s">
        <v>3406</v>
      </c>
      <c r="F31" s="409">
        <f>SUMIF(93:93,E31,94:94)-SUMIF(93:93,C31,94:94)+100</f>
        <v>100</v>
      </c>
      <c r="G31" s="408" t="s">
        <v>3406</v>
      </c>
      <c r="H31" s="383">
        <f>SUMIF(93:93,G31,94:94)-SUMIF(93:93,C31,94:94)+100</f>
        <v>100</v>
      </c>
      <c r="I31" s="408" t="s">
        <v>3406</v>
      </c>
      <c r="J31" s="383">
        <f>SUMIF(93:93,I31,94:94)-SUMIF(93:93,C31,94:94)+100</f>
        <v>100</v>
      </c>
      <c r="K31" s="558">
        <v>1</v>
      </c>
      <c r="L31" s="917"/>
      <c r="M31" s="908"/>
      <c r="N31" s="908"/>
      <c r="O31" s="916"/>
      <c r="P31" s="3752"/>
      <c r="Q31" s="3463" t="str">
        <f t="shared" si="11"/>
        <v>建筑结构</v>
      </c>
      <c r="R31" s="702" t="s">
        <v>14</v>
      </c>
      <c r="S31" s="703">
        <f t="shared" si="12"/>
        <v>100</v>
      </c>
      <c r="T31" s="702" t="s">
        <v>14</v>
      </c>
      <c r="U31" s="703">
        <f t="shared" si="13"/>
        <v>100</v>
      </c>
      <c r="V31" s="702" t="s">
        <v>14</v>
      </c>
      <c r="W31" s="703">
        <f t="shared" si="14"/>
        <v>100</v>
      </c>
      <c r="X31" s="3461"/>
      <c r="Y31" s="3752"/>
      <c r="Z31" s="3462" t="str">
        <f t="shared" si="15"/>
        <v>建筑结构</v>
      </c>
      <c r="AA31" s="3464">
        <f t="shared" si="3"/>
        <v>1</v>
      </c>
      <c r="AB31" s="3464">
        <f t="shared" si="4"/>
        <v>1</v>
      </c>
      <c r="AC31" s="3464">
        <f t="shared" si="5"/>
        <v>1</v>
      </c>
    </row>
    <row r="32" spans="1:29" ht="15">
      <c r="A32" s="420"/>
      <c r="B32" s="372" t="s">
        <v>1785</v>
      </c>
      <c r="C32" s="408" t="s">
        <v>3435</v>
      </c>
      <c r="D32" s="383">
        <v>100</v>
      </c>
      <c r="E32" s="408" t="s">
        <v>3434</v>
      </c>
      <c r="F32" s="409">
        <f>SUMIF(95:95,E32,96:96)-SUMIF(95:95,C32,96:96)+100</f>
        <v>102</v>
      </c>
      <c r="G32" s="408" t="s">
        <v>3434</v>
      </c>
      <c r="H32" s="383">
        <f>SUMIF(95:95,G32,96:96)-SUMIF(95:95,C32,96:96)+100</f>
        <v>102</v>
      </c>
      <c r="I32" s="408" t="s">
        <v>3434</v>
      </c>
      <c r="J32" s="383">
        <f>SUMIF(95:95,I32,96:96)-SUMIF(95:95,C32,96:96)+100</f>
        <v>102</v>
      </c>
      <c r="K32" s="558">
        <v>2</v>
      </c>
      <c r="L32" s="917"/>
      <c r="M32" s="908"/>
      <c r="N32" s="908"/>
      <c r="O32" s="916"/>
      <c r="P32" s="3752"/>
      <c r="Q32" s="3463" t="str">
        <f t="shared" si="11"/>
        <v>公共部分装修</v>
      </c>
      <c r="R32" s="702" t="s">
        <v>14</v>
      </c>
      <c r="S32" s="703">
        <f t="shared" si="12"/>
        <v>102</v>
      </c>
      <c r="T32" s="702" t="s">
        <v>14</v>
      </c>
      <c r="U32" s="703">
        <f t="shared" si="13"/>
        <v>102</v>
      </c>
      <c r="V32" s="702" t="s">
        <v>14</v>
      </c>
      <c r="W32" s="703">
        <f t="shared" si="14"/>
        <v>102</v>
      </c>
      <c r="X32" s="3461"/>
      <c r="Y32" s="3752"/>
      <c r="Z32" s="3462" t="str">
        <f t="shared" si="15"/>
        <v>公共部分装修</v>
      </c>
      <c r="AA32" s="3464">
        <f t="shared" si="3"/>
        <v>0.98039215686274506</v>
      </c>
      <c r="AB32" s="3464">
        <f t="shared" si="4"/>
        <v>0.98039215686274506</v>
      </c>
      <c r="AC32" s="3464">
        <f t="shared" si="5"/>
        <v>0.98039215686274506</v>
      </c>
    </row>
    <row r="33" spans="1:29" ht="15" hidden="1">
      <c r="A33" s="420"/>
      <c r="B33" s="372" t="s">
        <v>1786</v>
      </c>
      <c r="C33" s="422">
        <v>1</v>
      </c>
      <c r="D33" s="383">
        <v>100</v>
      </c>
      <c r="E33" s="422">
        <v>1</v>
      </c>
      <c r="F33" s="409">
        <f>LOOKUP(E33,98:98,99:99)-LOOKUP(C33,98:98,99:99)+100</f>
        <v>100</v>
      </c>
      <c r="G33" s="422">
        <v>1</v>
      </c>
      <c r="H33" s="409">
        <f>LOOKUP(G33,98:98,99:99)-LOOKUP(C33,98:98,99:99)+100</f>
        <v>100</v>
      </c>
      <c r="I33" s="422">
        <v>1</v>
      </c>
      <c r="J33" s="383">
        <f>LOOKUP(I33,98:98,99:99)-LOOKUP(C33,98:98,99:99)+100</f>
        <v>100</v>
      </c>
      <c r="K33" s="558">
        <v>1</v>
      </c>
      <c r="L33" s="917"/>
      <c r="M33" s="908"/>
      <c r="N33" s="908"/>
      <c r="O33" s="916"/>
      <c r="P33" s="3752"/>
      <c r="Q33" s="3463" t="str">
        <f t="shared" si="11"/>
        <v>成新度</v>
      </c>
      <c r="R33" s="702" t="s">
        <v>14</v>
      </c>
      <c r="S33" s="703">
        <f t="shared" si="12"/>
        <v>100</v>
      </c>
      <c r="T33" s="702" t="s">
        <v>14</v>
      </c>
      <c r="U33" s="703">
        <f t="shared" si="13"/>
        <v>100</v>
      </c>
      <c r="V33" s="702" t="s">
        <v>14</v>
      </c>
      <c r="W33" s="703">
        <f t="shared" si="14"/>
        <v>100</v>
      </c>
      <c r="X33" s="3461"/>
      <c r="Y33" s="3752"/>
      <c r="Z33" s="3462" t="str">
        <f t="shared" si="15"/>
        <v>成新度</v>
      </c>
      <c r="AA33" s="3464">
        <f t="shared" si="3"/>
        <v>1</v>
      </c>
      <c r="AB33" s="3464">
        <f t="shared" si="4"/>
        <v>1</v>
      </c>
      <c r="AC33" s="3464">
        <f t="shared" si="5"/>
        <v>1</v>
      </c>
    </row>
    <row r="34" spans="1:29" s="105" customFormat="1" ht="15">
      <c r="A34" s="421"/>
      <c r="B34" s="372" t="s">
        <v>1819</v>
      </c>
      <c r="C34" s="408" t="s">
        <v>3446</v>
      </c>
      <c r="D34" s="124">
        <v>100</v>
      </c>
      <c r="E34" s="408" t="s">
        <v>3446</v>
      </c>
      <c r="F34" s="409">
        <f>SUMIF(100:100,E34,101:101)-SUMIF(100:100,C34,101:101)+100</f>
        <v>100</v>
      </c>
      <c r="G34" s="408" t="s">
        <v>3446</v>
      </c>
      <c r="H34" s="383">
        <f>SUMIF(100:100,G34,101:101)-SUMIF(100:100,C34,101:101)+100</f>
        <v>100</v>
      </c>
      <c r="I34" s="408" t="s">
        <v>3446</v>
      </c>
      <c r="J34" s="383">
        <f>SUMIF(100:100,I34,101:101)-SUMIF(100:100,C34,101:101)+100</f>
        <v>100</v>
      </c>
      <c r="K34" s="558">
        <v>1</v>
      </c>
      <c r="L34" s="909"/>
      <c r="M34" s="910"/>
      <c r="N34" s="910"/>
      <c r="O34" s="911"/>
      <c r="P34" s="3752"/>
      <c r="Q34" s="3459" t="str">
        <f t="shared" si="11"/>
        <v>物业管理</v>
      </c>
      <c r="R34" s="698" t="s">
        <v>14</v>
      </c>
      <c r="S34" s="699">
        <f t="shared" si="12"/>
        <v>100</v>
      </c>
      <c r="T34" s="698" t="s">
        <v>14</v>
      </c>
      <c r="U34" s="699">
        <f t="shared" si="13"/>
        <v>100</v>
      </c>
      <c r="V34" s="698" t="s">
        <v>14</v>
      </c>
      <c r="W34" s="699">
        <f t="shared" si="14"/>
        <v>100</v>
      </c>
      <c r="X34" s="700"/>
      <c r="Y34" s="3752"/>
      <c r="Z34" s="3452" t="str">
        <f t="shared" si="15"/>
        <v>物业管理</v>
      </c>
      <c r="AA34" s="701">
        <f t="shared" si="3"/>
        <v>1</v>
      </c>
      <c r="AB34" s="701">
        <f t="shared" si="4"/>
        <v>1</v>
      </c>
      <c r="AC34" s="701">
        <f t="shared" si="5"/>
        <v>1</v>
      </c>
    </row>
    <row r="35" spans="1:29" ht="15">
      <c r="A35" s="420"/>
      <c r="B35" s="372" t="s">
        <v>1787</v>
      </c>
      <c r="C35" s="408" t="s">
        <v>3447</v>
      </c>
      <c r="D35" s="383">
        <v>100</v>
      </c>
      <c r="E35" s="408" t="s">
        <v>3447</v>
      </c>
      <c r="F35" s="409">
        <f>SUMIF(102:102,E35,103:103)-SUMIF(102:102,C35,103:103)+100</f>
        <v>100</v>
      </c>
      <c r="G35" s="408" t="s">
        <v>3447</v>
      </c>
      <c r="H35" s="383">
        <f>SUMIF(102:102,G35,103:103)-SUMIF(102:102,C35,103:103)+100</f>
        <v>100</v>
      </c>
      <c r="I35" s="408" t="s">
        <v>3447</v>
      </c>
      <c r="J35" s="383">
        <f>SUMIF(102:102,I35,103:103)-SUMIF(102:102,C35,103:103)+100</f>
        <v>100</v>
      </c>
      <c r="K35" s="558">
        <v>1</v>
      </c>
      <c r="L35" s="917"/>
      <c r="M35" s="908"/>
      <c r="N35" s="908"/>
      <c r="O35" s="916"/>
      <c r="P35" s="3752" t="s">
        <v>1696</v>
      </c>
      <c r="Q35" s="3463" t="str">
        <f t="shared" si="11"/>
        <v>市政基础设施</v>
      </c>
      <c r="R35" s="702" t="s">
        <v>14</v>
      </c>
      <c r="S35" s="703">
        <f t="shared" si="12"/>
        <v>100</v>
      </c>
      <c r="T35" s="702" t="s">
        <v>14</v>
      </c>
      <c r="U35" s="703">
        <f t="shared" si="13"/>
        <v>100</v>
      </c>
      <c r="V35" s="702" t="s">
        <v>14</v>
      </c>
      <c r="W35" s="703">
        <f t="shared" si="14"/>
        <v>100</v>
      </c>
      <c r="X35" s="3461"/>
      <c r="Y35" s="3752" t="s">
        <v>1696</v>
      </c>
      <c r="Z35" s="3462" t="str">
        <f t="shared" si="15"/>
        <v>市政基础设施</v>
      </c>
      <c r="AA35" s="3464">
        <f t="shared" si="3"/>
        <v>1</v>
      </c>
      <c r="AB35" s="3464">
        <f t="shared" si="4"/>
        <v>1</v>
      </c>
      <c r="AC35" s="3464">
        <f t="shared" si="5"/>
        <v>1</v>
      </c>
    </row>
    <row r="36" spans="1:29" ht="15">
      <c r="A36" s="420"/>
      <c r="B36" s="372" t="s">
        <v>1792</v>
      </c>
      <c r="C36" s="408" t="s">
        <v>3435</v>
      </c>
      <c r="D36" s="383">
        <v>100</v>
      </c>
      <c r="E36" s="408" t="s">
        <v>3434</v>
      </c>
      <c r="F36" s="409">
        <f>SUMIF(104:104,E36,105:105)-SUMIF(104:104,C36,105:105)+100</f>
        <v>102</v>
      </c>
      <c r="G36" s="408" t="s">
        <v>3434</v>
      </c>
      <c r="H36" s="383">
        <f>SUMIF(104:104,G36,105:105)-SUMIF(104:104,C36,105:105)+100</f>
        <v>102</v>
      </c>
      <c r="I36" s="408" t="s">
        <v>3434</v>
      </c>
      <c r="J36" s="383">
        <f>SUMIF(104:104,I36,105:105)-SUMIF(104:104,C36,105:105)+100</f>
        <v>102</v>
      </c>
      <c r="K36" s="558">
        <v>2</v>
      </c>
      <c r="L36" s="917"/>
      <c r="M36" s="908"/>
      <c r="N36" s="908"/>
      <c r="O36" s="916"/>
      <c r="P36" s="3752"/>
      <c r="Q36" s="3463" t="str">
        <f t="shared" si="11"/>
        <v>内部装修</v>
      </c>
      <c r="R36" s="702" t="s">
        <v>14</v>
      </c>
      <c r="S36" s="703">
        <f t="shared" si="12"/>
        <v>102</v>
      </c>
      <c r="T36" s="702" t="s">
        <v>14</v>
      </c>
      <c r="U36" s="703">
        <f t="shared" si="13"/>
        <v>102</v>
      </c>
      <c r="V36" s="702" t="s">
        <v>14</v>
      </c>
      <c r="W36" s="703">
        <f t="shared" si="14"/>
        <v>102</v>
      </c>
      <c r="X36" s="3461"/>
      <c r="Y36" s="3752"/>
      <c r="Z36" s="3462" t="str">
        <f t="shared" si="15"/>
        <v>内部装修</v>
      </c>
      <c r="AA36" s="3464">
        <f t="shared" si="3"/>
        <v>0.98039215686274506</v>
      </c>
      <c r="AB36" s="3464">
        <f t="shared" si="4"/>
        <v>0.98039215686274506</v>
      </c>
      <c r="AC36" s="3464">
        <f t="shared" si="5"/>
        <v>0.98039215686274506</v>
      </c>
    </row>
    <row r="37" spans="1:29" ht="15">
      <c r="A37" s="420"/>
      <c r="B37" s="372" t="s">
        <v>1828</v>
      </c>
      <c r="C37" s="562" t="s">
        <v>3400</v>
      </c>
      <c r="D37" s="383">
        <v>100</v>
      </c>
      <c r="E37" s="562" t="s">
        <v>3400</v>
      </c>
      <c r="F37" s="409">
        <f>SUMIF(106:106,E37,107:107)-SUMIF(106:106,C37,107:107)+100</f>
        <v>100</v>
      </c>
      <c r="G37" s="562" t="s">
        <v>3400</v>
      </c>
      <c r="H37" s="383">
        <f>SUMIF(106:106,G37,107:107)-SUMIF(106:106,C37,107:107)+100</f>
        <v>100</v>
      </c>
      <c r="I37" s="562" t="s">
        <v>3400</v>
      </c>
      <c r="J37" s="383">
        <f>SUMIF(106:106,I37,107:107)-SUMIF(106:106,C37,107:107)+100</f>
        <v>100</v>
      </c>
      <c r="K37" s="558">
        <v>1</v>
      </c>
      <c r="L37" s="917"/>
      <c r="M37" s="908"/>
      <c r="N37" s="908"/>
      <c r="O37" s="916"/>
      <c r="P37" s="3752"/>
      <c r="Q37" s="3463" t="str">
        <f t="shared" si="11"/>
        <v>内部装修状况</v>
      </c>
      <c r="R37" s="702" t="s">
        <v>14</v>
      </c>
      <c r="S37" s="703">
        <f t="shared" si="12"/>
        <v>100</v>
      </c>
      <c r="T37" s="702" t="s">
        <v>14</v>
      </c>
      <c r="U37" s="703">
        <f t="shared" si="13"/>
        <v>100</v>
      </c>
      <c r="V37" s="702" t="s">
        <v>14</v>
      </c>
      <c r="W37" s="703">
        <f t="shared" si="14"/>
        <v>100</v>
      </c>
      <c r="X37" s="3461"/>
      <c r="Y37" s="3752"/>
      <c r="Z37" s="3462" t="str">
        <f t="shared" si="15"/>
        <v>内部装修状况</v>
      </c>
      <c r="AA37" s="3464">
        <f t="shared" si="3"/>
        <v>1</v>
      </c>
      <c r="AB37" s="3464">
        <f t="shared" si="4"/>
        <v>1</v>
      </c>
      <c r="AC37" s="3464">
        <f t="shared" si="5"/>
        <v>1</v>
      </c>
    </row>
    <row r="38" spans="1:29" s="419" customFormat="1" ht="15.75" thickBot="1">
      <c r="A38" s="416"/>
      <c r="B38" s="3482" t="s">
        <v>3457</v>
      </c>
      <c r="C38" s="3486" t="s">
        <v>3471</v>
      </c>
      <c r="D38" s="383">
        <v>100</v>
      </c>
      <c r="E38" s="3487" t="s">
        <v>3464</v>
      </c>
      <c r="F38" s="409">
        <f>SUMIF(108:108,E38,109:109)-SUMIF(108:108,C38,109:109)+100</f>
        <v>102</v>
      </c>
      <c r="G38" s="3486" t="s">
        <v>3463</v>
      </c>
      <c r="H38" s="383">
        <f>SUMIF(108:108,G38,109:109)-SUMIF(108:108,C38,109:109)+100</f>
        <v>104</v>
      </c>
      <c r="I38" s="3486" t="s">
        <v>3464</v>
      </c>
      <c r="J38" s="383">
        <f>SUMIF(108:108,I38,109:1038)-SUMIF(108:108,C38,109:109)+100</f>
        <v>102</v>
      </c>
      <c r="K38" s="559"/>
      <c r="L38" s="915"/>
      <c r="M38" s="918"/>
      <c r="N38" s="918"/>
      <c r="O38" s="919"/>
      <c r="P38" s="3752"/>
      <c r="Q38" s="704" t="str">
        <f t="shared" si="11"/>
        <v>建筑档次</v>
      </c>
      <c r="R38" s="705" t="s">
        <v>14</v>
      </c>
      <c r="S38" s="706">
        <f t="shared" si="12"/>
        <v>102</v>
      </c>
      <c r="T38" s="705" t="s">
        <v>14</v>
      </c>
      <c r="U38" s="706">
        <f t="shared" si="13"/>
        <v>104</v>
      </c>
      <c r="V38" s="705" t="s">
        <v>14</v>
      </c>
      <c r="W38" s="706">
        <f t="shared" si="14"/>
        <v>102</v>
      </c>
      <c r="X38" s="707"/>
      <c r="Y38" s="3752"/>
      <c r="Z38" s="708" t="str">
        <f t="shared" si="15"/>
        <v>建筑档次</v>
      </c>
      <c r="AA38" s="3464">
        <f t="shared" si="3"/>
        <v>0.98039215686274506</v>
      </c>
      <c r="AB38" s="3464">
        <f t="shared" si="4"/>
        <v>0.96153846153846156</v>
      </c>
      <c r="AC38" s="3464">
        <f t="shared" si="5"/>
        <v>0.98039215686274506</v>
      </c>
    </row>
    <row r="39" spans="1:29" ht="15.75" hidden="1" thickBot="1">
      <c r="A39" s="420"/>
      <c r="B39" s="1127">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7"/>
      <c r="M39" s="908"/>
      <c r="N39" s="908"/>
      <c r="O39" s="916"/>
      <c r="P39" s="3752"/>
      <c r="Q39" s="3463">
        <f t="shared" si="11"/>
        <v>111</v>
      </c>
      <c r="R39" s="702" t="s">
        <v>14</v>
      </c>
      <c r="S39" s="703">
        <f t="shared" si="12"/>
        <v>100</v>
      </c>
      <c r="T39" s="702" t="s">
        <v>14</v>
      </c>
      <c r="U39" s="703">
        <f t="shared" si="13"/>
        <v>100</v>
      </c>
      <c r="V39" s="702" t="s">
        <v>14</v>
      </c>
      <c r="W39" s="703">
        <f t="shared" si="14"/>
        <v>100</v>
      </c>
      <c r="X39" s="3461"/>
      <c r="Y39" s="3752"/>
      <c r="Z39" s="3462">
        <f t="shared" si="15"/>
        <v>111</v>
      </c>
      <c r="AA39" s="3464">
        <f t="shared" si="3"/>
        <v>1</v>
      </c>
      <c r="AB39" s="3464">
        <f t="shared" si="4"/>
        <v>1</v>
      </c>
      <c r="AC39" s="3464">
        <f t="shared" si="5"/>
        <v>1</v>
      </c>
    </row>
    <row r="40" spans="1:29" ht="15.75" hidden="1" thickBot="1">
      <c r="A40" s="426"/>
      <c r="B40" s="1889">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7"/>
      <c r="M40" s="908"/>
      <c r="N40" s="908"/>
      <c r="O40" s="916"/>
      <c r="P40" s="3753"/>
      <c r="Q40" s="3463">
        <f t="shared" si="11"/>
        <v>111</v>
      </c>
      <c r="R40" s="702" t="s">
        <v>14</v>
      </c>
      <c r="S40" s="703">
        <f t="shared" si="12"/>
        <v>100</v>
      </c>
      <c r="T40" s="702" t="s">
        <v>14</v>
      </c>
      <c r="U40" s="703">
        <f t="shared" si="13"/>
        <v>100</v>
      </c>
      <c r="V40" s="702" t="s">
        <v>14</v>
      </c>
      <c r="W40" s="703">
        <f t="shared" si="14"/>
        <v>100</v>
      </c>
      <c r="X40" s="3461"/>
      <c r="Y40" s="3753"/>
      <c r="Z40" s="3462">
        <f t="shared" si="15"/>
        <v>111</v>
      </c>
      <c r="AA40" s="3464">
        <f t="shared" si="3"/>
        <v>1</v>
      </c>
      <c r="AB40" s="3464">
        <f t="shared" si="4"/>
        <v>1</v>
      </c>
      <c r="AC40" s="3464">
        <f t="shared" si="5"/>
        <v>1</v>
      </c>
    </row>
    <row r="41" spans="1:29" ht="15">
      <c r="A41" s="427" t="s">
        <v>1708</v>
      </c>
      <c r="B41" s="428"/>
      <c r="C41" s="1148" t="s">
        <v>0</v>
      </c>
      <c r="D41" s="1149"/>
      <c r="E41" s="1150">
        <v>3</v>
      </c>
      <c r="F41" s="1151"/>
      <c r="G41" s="1152">
        <v>2.7</v>
      </c>
      <c r="H41" s="1153"/>
      <c r="I41" s="1150">
        <v>3</v>
      </c>
      <c r="J41" s="1153"/>
      <c r="K41" s="711"/>
      <c r="L41" s="920"/>
      <c r="M41" s="921"/>
      <c r="N41" s="908"/>
      <c r="O41" s="921"/>
      <c r="P41" s="3745" t="str">
        <f>A41</f>
        <v>成交单价（元/平方米）</v>
      </c>
      <c r="Q41" s="3745"/>
      <c r="R41" s="3746">
        <f>E41</f>
        <v>3</v>
      </c>
      <c r="S41" s="3746"/>
      <c r="T41" s="3746">
        <f>G41</f>
        <v>2.7</v>
      </c>
      <c r="U41" s="3746"/>
      <c r="V41" s="3746">
        <f>I41</f>
        <v>3</v>
      </c>
      <c r="W41" s="3746"/>
      <c r="X41" s="687"/>
      <c r="Y41" s="709"/>
      <c r="Z41" s="687"/>
      <c r="AA41" s="687"/>
      <c r="AB41" s="687"/>
      <c r="AC41" s="687"/>
    </row>
    <row r="42" spans="1:29" ht="15.75" thickBot="1">
      <c r="A42" s="434" t="s">
        <v>1709</v>
      </c>
      <c r="B42" s="435"/>
      <c r="C42" s="1154">
        <f>R43</f>
        <v>2.6</v>
      </c>
      <c r="D42" s="2311" t="s">
        <v>2138</v>
      </c>
      <c r="E42" s="1155">
        <f>R42</f>
        <v>2.7</v>
      </c>
      <c r="F42" s="2312"/>
      <c r="G42" s="1154">
        <f>T42</f>
        <v>2.4</v>
      </c>
      <c r="H42" s="2312"/>
      <c r="I42" s="1155">
        <f>V42</f>
        <v>2.7</v>
      </c>
      <c r="J42" s="2312"/>
      <c r="K42" s="2314">
        <f>F42+H42+J42</f>
        <v>0</v>
      </c>
      <c r="L42" s="920"/>
      <c r="M42" s="921"/>
      <c r="N42" s="908"/>
      <c r="O42" s="921"/>
      <c r="P42" s="3745" t="str">
        <f>A42</f>
        <v>比较价值（元/平方米）</v>
      </c>
      <c r="Q42" s="3745"/>
      <c r="R42" s="3746">
        <f>IF(F1="售价",ROUND(PRODUCT(R41,AA7:AA40),0),ROUND(PRODUCT(R41,AA7:AA40),1))</f>
        <v>2.7</v>
      </c>
      <c r="S42" s="3746"/>
      <c r="T42" s="3746">
        <f>IF(F1="售价",ROUND(PRODUCT(T41,AB7:AB40),0),ROUND(PRODUCT(T41,AB7:AB40),1))</f>
        <v>2.4</v>
      </c>
      <c r="U42" s="3746"/>
      <c r="V42" s="3746">
        <f>IF(F1="售价",ROUND(PRODUCT(V41,AC7:AC40),0),ROUND(PRODUCT(V41,AC7:AC40),1))</f>
        <v>2.7</v>
      </c>
      <c r="W42" s="3746"/>
      <c r="X42" s="687"/>
      <c r="Y42" s="687"/>
      <c r="Z42" s="687"/>
      <c r="AA42" s="687"/>
      <c r="AB42" s="687"/>
      <c r="AC42" s="687"/>
    </row>
    <row r="43" spans="1:29" ht="15.75" thickBot="1">
      <c r="A43" s="438" t="s">
        <v>1710</v>
      </c>
      <c r="B43" s="439"/>
      <c r="C43" s="1157">
        <f>R43</f>
        <v>2.6</v>
      </c>
      <c r="D43" s="1157"/>
      <c r="E43" s="1157"/>
      <c r="F43" s="1157"/>
      <c r="G43" s="1157"/>
      <c r="H43" s="1157"/>
      <c r="I43" s="1157"/>
      <c r="J43" s="1157"/>
      <c r="K43" s="712"/>
      <c r="L43" s="920"/>
      <c r="M43" s="921"/>
      <c r="N43" s="921"/>
      <c r="O43" s="921"/>
      <c r="P43" s="3742" t="str">
        <f>A43</f>
        <v>估价对象XX用房的比较价值（楼面单价，元/平方米）</v>
      </c>
      <c r="Q43" s="3743"/>
      <c r="R43" s="3744">
        <f>IF(F1="售价",ROUND(IF(D42="简单平均",AVERAGE(R42:V42),R42*F42+T42*H42+V42*J42),0),ROUND(IF(D42="简单平均",AVERAGE(R42:V42),R42*F42+T42*H42+V42*J42),1))</f>
        <v>2.6</v>
      </c>
      <c r="S43" s="3744"/>
      <c r="T43" s="3744"/>
      <c r="U43" s="3744"/>
      <c r="V43" s="3744"/>
      <c r="W43" s="3744"/>
      <c r="X43" s="687"/>
      <c r="Y43" s="687"/>
      <c r="Z43" s="687"/>
      <c r="AA43" s="687"/>
      <c r="AB43" s="687"/>
      <c r="AC43" s="687"/>
    </row>
    <row r="44" spans="1:29">
      <c r="A44" s="3489"/>
      <c r="B44" s="348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3" t="s">
        <v>1711</v>
      </c>
      <c r="D46" s="444"/>
      <c r="E46" s="445">
        <f>IF(E41&lt;E42,E42/E41-1,E41/E42-1)</f>
        <v>0.11111111111111094</v>
      </c>
      <c r="F46" s="446" t="str">
        <f>IF(OR(E46&gt;=0.3,E46&lt;=-0.3),"超过30%","")</f>
        <v/>
      </c>
      <c r="G46" s="445">
        <f>IF(G41&lt;G42,G42/G41-1,G41/G42-1)</f>
        <v>0.12500000000000022</v>
      </c>
      <c r="H46" s="446" t="str">
        <f>IF(OR(G46&gt;=0.3,G46&lt;=-0.3),"超过30%","")</f>
        <v/>
      </c>
      <c r="I46" s="445">
        <f>IF(I41&lt;I42,I42/I41-1,I41/I42-1)</f>
        <v>0.11111111111111094</v>
      </c>
      <c r="J46" s="446" t="str">
        <f>IF(OR(I46&gt;=0.3,I46&lt;=-0.3),"超过30%","")</f>
        <v/>
      </c>
      <c r="K46" s="2724"/>
      <c r="L46" s="883"/>
      <c r="M46" s="921"/>
      <c r="N46" s="921"/>
      <c r="O46" s="921"/>
    </row>
    <row r="47" spans="1:29" ht="13.5" customHeight="1">
      <c r="A47" s="2719"/>
      <c r="B47" s="2719"/>
      <c r="C47" s="443" t="s">
        <v>1712</v>
      </c>
      <c r="D47" s="447"/>
      <c r="E47" s="445">
        <f>IF(E42&lt;G42,G42/E42-1,E42/G42-1)</f>
        <v>0.12500000000000022</v>
      </c>
      <c r="F47" s="446" t="str">
        <f>IF(OR(E47&gt;=0.2,E47&lt;=-0.2),"超过20%","")</f>
        <v/>
      </c>
      <c r="G47" s="445">
        <f>IF(G42&lt;I42,I42/G42-1,G42/I42-1)</f>
        <v>0.12500000000000022</v>
      </c>
      <c r="H47" s="446" t="str">
        <f>IF(OR(G47&gt;=0.2,G47&lt;=-0.2),"超过20%","")</f>
        <v/>
      </c>
      <c r="I47" s="445">
        <f>IF(I42&lt;E42,E42/I42-1,I42/E42-1)</f>
        <v>0</v>
      </c>
      <c r="J47" s="446" t="str">
        <f>IF(OR(I47&gt;=0.2,I47&lt;=-0.2),"超过20%","")</f>
        <v/>
      </c>
      <c r="K47" s="2724"/>
      <c r="L47" s="883"/>
      <c r="M47" s="921"/>
      <c r="N47" s="921"/>
      <c r="O47" s="921"/>
    </row>
    <row r="48" spans="1:29" s="448" customFormat="1" ht="13.5" customHeight="1">
      <c r="A48" s="2722"/>
      <c r="B48" s="2722"/>
      <c r="C48" s="443" t="s">
        <v>1713</v>
      </c>
      <c r="D48" s="447"/>
      <c r="E48" s="445">
        <f>IF(E41&lt;G41,G41/E41-1,E41/G41-1)</f>
        <v>0.11111111111111094</v>
      </c>
      <c r="F48" s="446" t="str">
        <f>IF(OR(E48&gt;=0.3,E48&lt;=-0.3),"超过30%","")</f>
        <v/>
      </c>
      <c r="G48" s="445">
        <f>IF(G41&lt;I41,I41/G41-1,G41/I41-1)</f>
        <v>0.11111111111111094</v>
      </c>
      <c r="H48" s="446" t="str">
        <f>IF(OR(G48&gt;=0.3,G48&lt;=-0.3),"超过30%","")</f>
        <v/>
      </c>
      <c r="I48" s="445">
        <f>IF(I41&lt;E41,E41/I41-1,I41/E41-1)</f>
        <v>0</v>
      </c>
      <c r="J48" s="446" t="str">
        <f>IF(OR(I48&gt;=0.3,I48&lt;=-0.3),"超过30%","")</f>
        <v/>
      </c>
      <c r="K48" s="2727"/>
      <c r="L48" s="924"/>
      <c r="M48" s="922"/>
      <c r="N48" s="922"/>
      <c r="O48" s="922"/>
    </row>
    <row r="49" spans="1:17" s="448"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91" t="s">
        <v>1714</v>
      </c>
      <c r="B51" s="687"/>
      <c r="C51" s="692"/>
      <c r="D51" s="692"/>
      <c r="E51" s="692"/>
      <c r="F51" s="693"/>
      <c r="G51" s="693"/>
      <c r="H51" s="692"/>
      <c r="I51" s="692"/>
      <c r="J51" s="692"/>
      <c r="K51" s="935"/>
      <c r="L51" s="936"/>
      <c r="M51" s="934"/>
      <c r="N51" s="934"/>
      <c r="O51" s="934"/>
      <c r="P51" s="449"/>
      <c r="Q51" s="450"/>
    </row>
    <row r="52" spans="1:17" s="454" customFormat="1" ht="15">
      <c r="A52" s="451" t="s">
        <v>1679</v>
      </c>
      <c r="B52" s="452"/>
      <c r="C52" s="1178" t="str">
        <f>YEAR(C7)&amp;"-"&amp;MONTH(C7)</f>
        <v>2024-9</v>
      </c>
      <c r="D52" s="1179">
        <f>EDATE(C52,-1)</f>
        <v>45505</v>
      </c>
      <c r="E52" s="1179">
        <f t="shared" ref="E52:O52" si="16">EDATE(D52,-1)</f>
        <v>45474</v>
      </c>
      <c r="F52" s="1179">
        <f t="shared" si="16"/>
        <v>45444</v>
      </c>
      <c r="G52" s="1179">
        <f t="shared" si="16"/>
        <v>45413</v>
      </c>
      <c r="H52" s="1179">
        <f t="shared" si="16"/>
        <v>45383</v>
      </c>
      <c r="I52" s="1179">
        <f t="shared" si="16"/>
        <v>45352</v>
      </c>
      <c r="J52" s="1179">
        <f t="shared" si="16"/>
        <v>45323</v>
      </c>
      <c r="K52" s="1179">
        <f t="shared" si="16"/>
        <v>45292</v>
      </c>
      <c r="L52" s="1179">
        <f t="shared" si="16"/>
        <v>45261</v>
      </c>
      <c r="M52" s="1179">
        <f t="shared" si="16"/>
        <v>45231</v>
      </c>
      <c r="N52" s="1179">
        <f t="shared" si="16"/>
        <v>45200</v>
      </c>
      <c r="O52" s="1179">
        <f t="shared" si="16"/>
        <v>45170</v>
      </c>
      <c r="P52" s="453"/>
    </row>
    <row r="53" spans="1:17" s="105" customFormat="1" ht="15">
      <c r="A53" s="455"/>
      <c r="B53" s="456"/>
      <c r="C53" s="1177">
        <v>100</v>
      </c>
      <c r="D53" s="458"/>
      <c r="E53" s="458"/>
      <c r="F53" s="458"/>
      <c r="G53" s="458"/>
      <c r="H53" s="458"/>
      <c r="I53" s="458"/>
      <c r="J53" s="458"/>
      <c r="K53" s="458"/>
      <c r="L53" s="458"/>
      <c r="M53" s="459"/>
      <c r="N53" s="458"/>
      <c r="O53" s="460"/>
      <c r="P53" s="450"/>
    </row>
    <row r="54" spans="1:17" s="105" customFormat="1" ht="15.75" thickBot="1">
      <c r="A54" s="461" t="s">
        <v>1716</v>
      </c>
      <c r="B54" s="462"/>
      <c r="C54" s="463"/>
      <c r="D54" s="464"/>
      <c r="E54" s="464"/>
      <c r="F54" s="464"/>
      <c r="G54" s="464"/>
      <c r="H54" s="464"/>
      <c r="I54" s="464"/>
      <c r="J54" s="464"/>
      <c r="K54" s="464"/>
      <c r="L54" s="464"/>
      <c r="M54" s="465"/>
      <c r="N54" s="2764"/>
      <c r="O54" s="2765"/>
      <c r="P54" s="450"/>
      <c r="Q54" s="450"/>
    </row>
    <row r="55" spans="1:17" s="105" customFormat="1" ht="15">
      <c r="A55" s="467" t="s">
        <v>1681</v>
      </c>
      <c r="B55" s="456"/>
      <c r="C55" s="468" t="s">
        <v>1718</v>
      </c>
      <c r="D55" s="3477" t="s">
        <v>3425</v>
      </c>
      <c r="E55" s="469"/>
      <c r="F55" s="469"/>
      <c r="G55" s="469"/>
      <c r="H55" s="469"/>
      <c r="I55" s="469"/>
      <c r="J55" s="469"/>
      <c r="K55" s="469"/>
      <c r="L55" s="470"/>
      <c r="M55" s="471"/>
      <c r="N55" s="926"/>
      <c r="O55" s="926"/>
      <c r="P55" s="472"/>
      <c r="Q55" s="450"/>
    </row>
    <row r="56" spans="1:17" s="105" customFormat="1" ht="15.75" thickBot="1">
      <c r="A56" s="467"/>
      <c r="B56" s="456"/>
      <c r="C56" s="584">
        <v>100</v>
      </c>
      <c r="D56" s="458">
        <v>105</v>
      </c>
      <c r="E56" s="458"/>
      <c r="F56" s="458"/>
      <c r="G56" s="458"/>
      <c r="H56" s="458"/>
      <c r="I56" s="458"/>
      <c r="J56" s="458"/>
      <c r="K56" s="458"/>
      <c r="L56" s="458"/>
      <c r="M56" s="460"/>
      <c r="N56" s="926"/>
      <c r="O56" s="926"/>
      <c r="P56" s="450"/>
      <c r="Q56" s="450"/>
    </row>
    <row r="57" spans="1:17">
      <c r="A57" s="473" t="s">
        <v>1719</v>
      </c>
      <c r="B57" s="474" t="s">
        <v>1685</v>
      </c>
      <c r="C57" s="475" t="str">
        <f>C9</f>
        <v>工业研发</v>
      </c>
      <c r="D57" s="476"/>
      <c r="E57" s="476"/>
      <c r="F57" s="476"/>
      <c r="G57" s="476"/>
      <c r="H57" s="476"/>
      <c r="I57" s="476"/>
      <c r="J57" s="476"/>
      <c r="K57" s="477"/>
      <c r="L57" s="478"/>
      <c r="M57" s="479"/>
      <c r="N57" s="927"/>
      <c r="O57" s="927"/>
      <c r="P57" s="42"/>
      <c r="Q57" s="450"/>
    </row>
    <row r="58" spans="1:17" ht="15.75" thickBot="1">
      <c r="A58" s="480"/>
      <c r="B58" s="481"/>
      <c r="C58" s="482">
        <v>100</v>
      </c>
      <c r="D58" s="482"/>
      <c r="E58" s="482"/>
      <c r="F58" s="482"/>
      <c r="G58" s="482"/>
      <c r="H58" s="482"/>
      <c r="I58" s="482"/>
      <c r="J58" s="482"/>
      <c r="K58" s="482"/>
      <c r="L58" s="482"/>
      <c r="M58" s="483"/>
      <c r="N58" s="928"/>
      <c r="O58" s="928"/>
      <c r="P58" s="42"/>
      <c r="Q58" s="450"/>
    </row>
    <row r="59" spans="1:17" ht="27.75" thickTop="1">
      <c r="A59" s="480"/>
      <c r="B59" s="484" t="s">
        <v>1688</v>
      </c>
      <c r="C59" s="529"/>
      <c r="D59" s="529"/>
      <c r="E59" s="529"/>
      <c r="F59" s="529"/>
      <c r="G59" s="529"/>
      <c r="H59" s="529"/>
      <c r="I59" s="529"/>
      <c r="J59" s="529"/>
      <c r="K59" s="530"/>
      <c r="L59" s="531"/>
      <c r="M59" s="532"/>
      <c r="N59" s="927"/>
      <c r="O59" s="927"/>
      <c r="P59" s="42"/>
      <c r="Q59" s="450"/>
    </row>
    <row r="60" spans="1:17" ht="15.75" thickBot="1">
      <c r="A60" s="480"/>
      <c r="B60" s="489"/>
      <c r="C60" s="482"/>
      <c r="D60" s="482"/>
      <c r="E60" s="482"/>
      <c r="F60" s="482"/>
      <c r="G60" s="482"/>
      <c r="H60" s="482"/>
      <c r="I60" s="482"/>
      <c r="J60" s="482"/>
      <c r="K60" s="482"/>
      <c r="L60" s="482"/>
      <c r="M60" s="483"/>
      <c r="N60" s="928"/>
      <c r="O60" s="928"/>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8"/>
      <c r="O61" s="928"/>
      <c r="P61" s="42"/>
      <c r="Q61" s="450"/>
    </row>
    <row r="62" spans="1:17" ht="15">
      <c r="A62" s="480"/>
      <c r="B62" s="494"/>
      <c r="C62" s="495">
        <v>0</v>
      </c>
      <c r="D62" s="495">
        <v>2</v>
      </c>
      <c r="E62" s="495"/>
      <c r="F62" s="495"/>
      <c r="G62" s="495"/>
      <c r="H62" s="495"/>
      <c r="I62" s="495"/>
      <c r="J62" s="495"/>
      <c r="K62" s="496"/>
      <c r="L62" s="497"/>
      <c r="M62" s="498"/>
      <c r="N62" s="927"/>
      <c r="O62" s="927"/>
      <c r="P62" s="42"/>
      <c r="Q62" s="450"/>
    </row>
    <row r="63" spans="1:17" ht="15.75" thickBot="1">
      <c r="A63" s="480"/>
      <c r="B63" s="481"/>
      <c r="C63" s="490">
        <v>100</v>
      </c>
      <c r="D63" s="490">
        <f t="shared" ref="D63:M63" si="18">C63-$K11</f>
        <v>98</v>
      </c>
      <c r="E63" s="490">
        <f t="shared" si="18"/>
        <v>96</v>
      </c>
      <c r="F63" s="490">
        <f t="shared" si="18"/>
        <v>94</v>
      </c>
      <c r="G63" s="490">
        <f t="shared" si="18"/>
        <v>92</v>
      </c>
      <c r="H63" s="490">
        <f t="shared" si="18"/>
        <v>90</v>
      </c>
      <c r="I63" s="490">
        <f t="shared" si="18"/>
        <v>88</v>
      </c>
      <c r="J63" s="490">
        <f t="shared" si="18"/>
        <v>86</v>
      </c>
      <c r="K63" s="490">
        <f t="shared" si="18"/>
        <v>84</v>
      </c>
      <c r="L63" s="490">
        <f t="shared" si="18"/>
        <v>82</v>
      </c>
      <c r="M63" s="491">
        <f t="shared" si="18"/>
        <v>80</v>
      </c>
      <c r="N63" s="928"/>
      <c r="O63" s="928"/>
      <c r="P63" s="42"/>
      <c r="Q63" s="450"/>
    </row>
    <row r="64" spans="1:17" s="419" customFormat="1" ht="15.75" thickTop="1">
      <c r="A64" s="499"/>
      <c r="B64" s="484">
        <f>B12</f>
        <v>111</v>
      </c>
      <c r="C64" s="500"/>
      <c r="D64" s="500"/>
      <c r="E64" s="500"/>
      <c r="F64" s="500"/>
      <c r="G64" s="500"/>
      <c r="H64" s="501"/>
      <c r="I64" s="501"/>
      <c r="J64" s="501"/>
      <c r="K64" s="501"/>
      <c r="L64" s="502"/>
      <c r="M64" s="503"/>
      <c r="N64" s="929"/>
      <c r="O64" s="929"/>
      <c r="P64" s="504"/>
      <c r="Q64" s="505"/>
    </row>
    <row r="65" spans="1:17" s="419" customFormat="1" ht="15.75" thickBot="1">
      <c r="A65" s="499"/>
      <c r="B65" s="489"/>
      <c r="C65" s="506"/>
      <c r="D65" s="482"/>
      <c r="E65" s="482"/>
      <c r="F65" s="482"/>
      <c r="G65" s="482"/>
      <c r="H65" s="482"/>
      <c r="I65" s="482"/>
      <c r="J65" s="482"/>
      <c r="K65" s="482"/>
      <c r="L65" s="482"/>
      <c r="M65" s="483"/>
      <c r="N65" s="928"/>
      <c r="O65" s="928"/>
      <c r="P65" s="504"/>
      <c r="Q65" s="505"/>
    </row>
    <row r="66" spans="1:17" s="419" customFormat="1" ht="15.75" thickTop="1">
      <c r="A66" s="499"/>
      <c r="B66" s="484">
        <f>B13</f>
        <v>111</v>
      </c>
      <c r="C66" s="500"/>
      <c r="D66" s="500"/>
      <c r="E66" s="500"/>
      <c r="F66" s="500"/>
      <c r="G66" s="500"/>
      <c r="H66" s="501"/>
      <c r="I66" s="501"/>
      <c r="J66" s="501"/>
      <c r="K66" s="501"/>
      <c r="L66" s="502"/>
      <c r="M66" s="503"/>
      <c r="N66" s="929"/>
      <c r="O66" s="929"/>
      <c r="P66" s="418"/>
      <c r="Q66" s="507"/>
    </row>
    <row r="67" spans="1:17" s="419" customFormat="1" ht="15.75" thickBot="1">
      <c r="A67" s="499"/>
      <c r="B67" s="489"/>
      <c r="C67" s="506"/>
      <c r="D67" s="482"/>
      <c r="E67" s="482"/>
      <c r="F67" s="482"/>
      <c r="G67" s="506"/>
      <c r="H67" s="508"/>
      <c r="I67" s="508"/>
      <c r="J67" s="508"/>
      <c r="K67" s="508"/>
      <c r="L67" s="508"/>
      <c r="M67" s="509"/>
      <c r="N67" s="929"/>
      <c r="O67" s="929"/>
      <c r="P67" s="504"/>
      <c r="Q67" s="505"/>
    </row>
    <row r="68" spans="1:17" s="419" customFormat="1" ht="15.75" thickTop="1">
      <c r="A68" s="499"/>
      <c r="B68" s="492">
        <f>B14</f>
        <v>111</v>
      </c>
      <c r="C68" s="469"/>
      <c r="D68" s="469"/>
      <c r="E68" s="469"/>
      <c r="F68" s="469"/>
      <c r="G68" s="469"/>
      <c r="H68" s="510"/>
      <c r="I68" s="510"/>
      <c r="J68" s="510"/>
      <c r="K68" s="510"/>
      <c r="L68" s="511"/>
      <c r="M68" s="512"/>
      <c r="N68" s="929"/>
      <c r="O68" s="929"/>
      <c r="P68" s="513"/>
      <c r="Q68" s="505"/>
    </row>
    <row r="69" spans="1:17" s="419" customFormat="1" ht="15.75" thickBot="1">
      <c r="A69" s="514"/>
      <c r="B69" s="515"/>
      <c r="C69" s="516"/>
      <c r="D69" s="516"/>
      <c r="E69" s="516"/>
      <c r="F69" s="516"/>
      <c r="G69" s="516"/>
      <c r="H69" s="517"/>
      <c r="I69" s="517"/>
      <c r="J69" s="517"/>
      <c r="K69" s="517"/>
      <c r="L69" s="517"/>
      <c r="M69" s="518"/>
      <c r="N69" s="929"/>
      <c r="O69" s="929"/>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7"/>
      <c r="O70" s="927"/>
      <c r="P70" s="523"/>
      <c r="Q70" s="450"/>
    </row>
    <row r="71" spans="1:17" ht="15.75" thickBot="1">
      <c r="A71" s="480"/>
      <c r="B71" s="489"/>
      <c r="C71" s="490">
        <v>100</v>
      </c>
      <c r="D71" s="490">
        <f>C71-$K15</f>
        <v>98</v>
      </c>
      <c r="E71" s="490">
        <f>D71-$K15</f>
        <v>96</v>
      </c>
      <c r="F71" s="490">
        <f>E71-$K15</f>
        <v>94</v>
      </c>
      <c r="G71" s="490">
        <f>F71-$K15</f>
        <v>92</v>
      </c>
      <c r="H71" s="490"/>
      <c r="I71" s="490"/>
      <c r="J71" s="490"/>
      <c r="K71" s="490"/>
      <c r="L71" s="490"/>
      <c r="M71" s="491"/>
      <c r="N71" s="928"/>
      <c r="O71" s="928"/>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7"/>
      <c r="O72" s="927"/>
      <c r="P72" s="42"/>
      <c r="Q72" s="450"/>
    </row>
    <row r="73" spans="1:17" ht="15.75" thickBot="1">
      <c r="A73" s="480"/>
      <c r="B73" s="489"/>
      <c r="C73" s="490">
        <v>100</v>
      </c>
      <c r="D73" s="490">
        <f>C73-$K17</f>
        <v>98</v>
      </c>
      <c r="E73" s="490">
        <f>D73-$K17</f>
        <v>96</v>
      </c>
      <c r="F73" s="490">
        <f>E73-$K17</f>
        <v>94</v>
      </c>
      <c r="G73" s="490">
        <f>F73-$K17</f>
        <v>92</v>
      </c>
      <c r="H73" s="490"/>
      <c r="I73" s="490"/>
      <c r="J73" s="490"/>
      <c r="K73" s="490"/>
      <c r="L73" s="490"/>
      <c r="M73" s="491"/>
      <c r="N73" s="928"/>
      <c r="O73" s="928"/>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7"/>
      <c r="O74" s="927"/>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8"/>
      <c r="O75" s="928"/>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3"/>
      <c r="N76" s="928"/>
      <c r="O76" s="928"/>
      <c r="P76" s="42"/>
      <c r="Q76" s="450"/>
    </row>
    <row r="77" spans="1:17" ht="15.75" thickBot="1">
      <c r="A77" s="480"/>
      <c r="B77" s="492"/>
      <c r="C77" s="490">
        <v>100</v>
      </c>
      <c r="D77" s="490">
        <f>C77-$K21</f>
        <v>98</v>
      </c>
      <c r="E77" s="490">
        <f>D77-$K21</f>
        <v>96</v>
      </c>
      <c r="F77" s="490">
        <f>E77-$K21</f>
        <v>94</v>
      </c>
      <c r="G77" s="490">
        <f>F77-$K21</f>
        <v>92</v>
      </c>
      <c r="H77" s="605"/>
      <c r="I77" s="605"/>
      <c r="J77" s="605"/>
      <c r="K77" s="605"/>
      <c r="L77" s="605"/>
      <c r="M77" s="398"/>
      <c r="N77" s="928"/>
      <c r="O77" s="928"/>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7"/>
      <c r="O78" s="927"/>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8"/>
      <c r="O79" s="928"/>
      <c r="P79" s="42"/>
      <c r="Q79" s="450"/>
    </row>
    <row r="80" spans="1:17" s="105" customFormat="1" ht="15.75" thickTop="1">
      <c r="A80" s="525"/>
      <c r="B80" s="484">
        <f>B25</f>
        <v>111</v>
      </c>
      <c r="C80" s="500"/>
      <c r="D80" s="500"/>
      <c r="E80" s="500"/>
      <c r="F80" s="500"/>
      <c r="G80" s="500"/>
      <c r="H80" s="500"/>
      <c r="I80" s="500"/>
      <c r="J80" s="500"/>
      <c r="K80" s="500"/>
      <c r="L80" s="526"/>
      <c r="M80" s="527"/>
      <c r="N80" s="926"/>
      <c r="O80" s="926"/>
      <c r="P80" s="42"/>
      <c r="Q80" s="450"/>
    </row>
    <row r="81" spans="1:17" s="105" customFormat="1" ht="15.75" thickBot="1">
      <c r="A81" s="525"/>
      <c r="B81" s="489"/>
      <c r="C81" s="506"/>
      <c r="D81" s="482"/>
      <c r="E81" s="482"/>
      <c r="F81" s="482"/>
      <c r="G81" s="482"/>
      <c r="H81" s="482"/>
      <c r="I81" s="482"/>
      <c r="J81" s="482"/>
      <c r="K81" s="482"/>
      <c r="L81" s="482"/>
      <c r="M81" s="483"/>
      <c r="N81" s="928"/>
      <c r="O81" s="928"/>
      <c r="P81" s="42"/>
      <c r="Q81" s="450"/>
    </row>
    <row r="82" spans="1:17" s="105" customFormat="1" ht="15.75" thickTop="1">
      <c r="A82" s="525"/>
      <c r="B82" s="484">
        <f>B26</f>
        <v>111</v>
      </c>
      <c r="C82" s="500"/>
      <c r="D82" s="500"/>
      <c r="E82" s="500"/>
      <c r="F82" s="500"/>
      <c r="G82" s="500"/>
      <c r="H82" s="500"/>
      <c r="I82" s="500"/>
      <c r="J82" s="500"/>
      <c r="K82" s="500"/>
      <c r="L82" s="526"/>
      <c r="M82" s="527"/>
      <c r="N82" s="926"/>
      <c r="O82" s="926"/>
      <c r="P82" s="42"/>
      <c r="Q82" s="450"/>
    </row>
    <row r="83" spans="1:17" s="105" customFormat="1" ht="15.75" thickBot="1">
      <c r="A83" s="525"/>
      <c r="B83" s="489"/>
      <c r="C83" s="506"/>
      <c r="D83" s="482"/>
      <c r="E83" s="482"/>
      <c r="F83" s="482"/>
      <c r="G83" s="482"/>
      <c r="H83" s="482"/>
      <c r="I83" s="482"/>
      <c r="J83" s="482"/>
      <c r="K83" s="482"/>
      <c r="L83" s="482"/>
      <c r="M83" s="483"/>
      <c r="N83" s="928"/>
      <c r="O83" s="928"/>
      <c r="P83" s="42"/>
      <c r="Q83" s="450"/>
    </row>
    <row r="84" spans="1:17" s="419" customFormat="1" ht="15.75" thickTop="1">
      <c r="A84" s="499"/>
      <c r="B84" s="484">
        <f>B27</f>
        <v>111</v>
      </c>
      <c r="C84" s="500"/>
      <c r="D84" s="500"/>
      <c r="E84" s="500"/>
      <c r="F84" s="500"/>
      <c r="G84" s="500"/>
      <c r="H84" s="500"/>
      <c r="I84" s="500"/>
      <c r="J84" s="500"/>
      <c r="K84" s="500"/>
      <c r="L84" s="526"/>
      <c r="M84" s="527"/>
      <c r="N84" s="929"/>
      <c r="O84" s="929"/>
      <c r="P84" s="504"/>
      <c r="Q84" s="505"/>
    </row>
    <row r="85" spans="1:17" s="419" customFormat="1" ht="15.75" thickBot="1">
      <c r="A85" s="499"/>
      <c r="B85" s="489"/>
      <c r="C85" s="506"/>
      <c r="D85" s="482"/>
      <c r="E85" s="482"/>
      <c r="F85" s="482"/>
      <c r="G85" s="482"/>
      <c r="H85" s="482"/>
      <c r="I85" s="482"/>
      <c r="J85" s="482"/>
      <c r="K85" s="482"/>
      <c r="L85" s="482"/>
      <c r="M85" s="483"/>
      <c r="N85" s="929"/>
      <c r="O85" s="929"/>
      <c r="P85" s="504"/>
      <c r="Q85" s="505"/>
    </row>
    <row r="86" spans="1:17" ht="15.75" thickTop="1">
      <c r="A86" s="480"/>
      <c r="B86" s="492">
        <f>B28</f>
        <v>111</v>
      </c>
      <c r="C86" s="469"/>
      <c r="D86" s="469"/>
      <c r="E86" s="469"/>
      <c r="F86" s="469"/>
      <c r="G86" s="533"/>
      <c r="H86" s="533"/>
      <c r="I86" s="533"/>
      <c r="J86" s="533"/>
      <c r="K86" s="534"/>
      <c r="L86" s="535"/>
      <c r="M86" s="536"/>
      <c r="N86" s="927"/>
      <c r="O86" s="927"/>
      <c r="P86" s="42"/>
      <c r="Q86" s="450"/>
    </row>
    <row r="87" spans="1:17" ht="15.75" thickBot="1">
      <c r="A87" s="1922"/>
      <c r="B87" s="515"/>
      <c r="C87" s="516"/>
      <c r="D87" s="516"/>
      <c r="E87" s="516"/>
      <c r="F87" s="516"/>
      <c r="G87" s="537"/>
      <c r="H87" s="537"/>
      <c r="I87" s="537"/>
      <c r="J87" s="537"/>
      <c r="K87" s="537"/>
      <c r="L87" s="537"/>
      <c r="M87" s="538"/>
      <c r="N87" s="928"/>
      <c r="O87" s="928"/>
      <c r="P87" s="42"/>
      <c r="Q87" s="450"/>
    </row>
    <row r="88" spans="1:17">
      <c r="A88" s="473" t="s">
        <v>1694</v>
      </c>
      <c r="B88" s="474" t="s">
        <v>1736</v>
      </c>
      <c r="C88" s="3478" t="s">
        <v>3426</v>
      </c>
      <c r="D88" s="476"/>
      <c r="E88" s="476"/>
      <c r="F88" s="476"/>
      <c r="G88" s="476"/>
      <c r="H88" s="476"/>
      <c r="I88" s="476"/>
      <c r="J88" s="476"/>
      <c r="K88" s="477"/>
      <c r="L88" s="478"/>
      <c r="M88" s="479"/>
      <c r="N88" s="927"/>
      <c r="O88" s="927"/>
      <c r="P88" s="42"/>
      <c r="Q88" s="450"/>
    </row>
    <row r="89" spans="1:17" ht="15.75" thickBot="1">
      <c r="A89" s="480"/>
      <c r="B89" s="489"/>
      <c r="C89" s="490">
        <v>100</v>
      </c>
      <c r="D89" s="490">
        <f t="shared" ref="D89:M89" si="19">C89-$K29</f>
        <v>90</v>
      </c>
      <c r="E89" s="490">
        <f t="shared" si="19"/>
        <v>80</v>
      </c>
      <c r="F89" s="490">
        <f t="shared" si="19"/>
        <v>70</v>
      </c>
      <c r="G89" s="490">
        <f t="shared" si="19"/>
        <v>60</v>
      </c>
      <c r="H89" s="490">
        <f t="shared" si="19"/>
        <v>50</v>
      </c>
      <c r="I89" s="490">
        <f t="shared" si="19"/>
        <v>40</v>
      </c>
      <c r="J89" s="490">
        <f t="shared" si="19"/>
        <v>30</v>
      </c>
      <c r="K89" s="490">
        <f t="shared" si="19"/>
        <v>20</v>
      </c>
      <c r="L89" s="490">
        <f t="shared" si="19"/>
        <v>10</v>
      </c>
      <c r="M89" s="491">
        <f t="shared" si="19"/>
        <v>0</v>
      </c>
      <c r="N89" s="928"/>
      <c r="O89" s="928"/>
      <c r="P89" s="42"/>
      <c r="Q89" s="450"/>
    </row>
    <row r="90" spans="1:17" ht="29.25" thickTop="1">
      <c r="A90" s="480"/>
      <c r="B90" s="484" t="s">
        <v>1737</v>
      </c>
      <c r="C90" s="524" t="str">
        <f>C91&amp;"(含)"&amp;"-"&amp;D91</f>
        <v>0(含)-2000</v>
      </c>
      <c r="D90" s="524" t="str">
        <f t="shared" ref="D90:L90" si="20">D91&amp;"(含)"&amp;"-"&amp;E91</f>
        <v>2000(含)-4000</v>
      </c>
      <c r="E90" s="524" t="str">
        <f t="shared" si="20"/>
        <v>4000(含)-6000</v>
      </c>
      <c r="F90" s="524" t="str">
        <f t="shared" si="20"/>
        <v>6000(含)-8000</v>
      </c>
      <c r="G90" s="524" t="str">
        <f t="shared" si="20"/>
        <v>8000(含)-10000</v>
      </c>
      <c r="H90" s="524" t="str">
        <f t="shared" si="20"/>
        <v>10000(含)-12000</v>
      </c>
      <c r="I90" s="524" t="str">
        <f t="shared" si="20"/>
        <v>12000(含)-</v>
      </c>
      <c r="J90" s="524" t="str">
        <f t="shared" si="20"/>
        <v>(含)-</v>
      </c>
      <c r="K90" s="524" t="str">
        <f t="shared" si="20"/>
        <v>(含)-</v>
      </c>
      <c r="L90" s="524" t="str">
        <f t="shared" si="20"/>
        <v>(含)-</v>
      </c>
      <c r="M90" s="567" t="str">
        <f>M91&amp;"(含)"&amp;"-"&amp;P91</f>
        <v>(含)-</v>
      </c>
      <c r="N90" s="926"/>
      <c r="O90" s="926"/>
      <c r="P90" s="42"/>
      <c r="Q90" s="450"/>
    </row>
    <row r="91" spans="1:17" s="419" customFormat="1">
      <c r="A91" s="539"/>
      <c r="B91" s="540"/>
      <c r="C91" s="541">
        <v>0</v>
      </c>
      <c r="D91" s="541">
        <v>2000</v>
      </c>
      <c r="E91" s="541">
        <v>4000</v>
      </c>
      <c r="F91" s="541">
        <v>6000</v>
      </c>
      <c r="G91" s="541">
        <v>8000</v>
      </c>
      <c r="H91" s="541">
        <v>10000</v>
      </c>
      <c r="I91" s="541">
        <v>12000</v>
      </c>
      <c r="J91" s="542"/>
      <c r="K91" s="542"/>
      <c r="L91" s="543"/>
      <c r="M91" s="544"/>
      <c r="N91" s="929"/>
      <c r="O91" s="929"/>
      <c r="P91" s="504"/>
      <c r="Q91" s="505"/>
    </row>
    <row r="92" spans="1:17" s="419" customFormat="1" ht="15.75" thickBot="1">
      <c r="A92" s="499"/>
      <c r="B92" s="489"/>
      <c r="C92" s="506">
        <v>100</v>
      </c>
      <c r="D92" s="506">
        <v>100</v>
      </c>
      <c r="E92" s="506">
        <v>100</v>
      </c>
      <c r="F92" s="506">
        <v>100</v>
      </c>
      <c r="G92" s="506">
        <v>100</v>
      </c>
      <c r="H92" s="506">
        <v>100</v>
      </c>
      <c r="I92" s="506">
        <v>100</v>
      </c>
      <c r="J92" s="482"/>
      <c r="K92" s="482"/>
      <c r="L92" s="482"/>
      <c r="M92" s="483"/>
      <c r="N92" s="928"/>
      <c r="O92" s="928"/>
      <c r="P92" s="504"/>
      <c r="Q92" s="505"/>
    </row>
    <row r="93" spans="1:17" ht="15" thickTop="1">
      <c r="A93" s="545"/>
      <c r="B93" s="484" t="s">
        <v>1738</v>
      </c>
      <c r="C93" s="3479" t="s">
        <v>3427</v>
      </c>
      <c r="D93" s="500"/>
      <c r="E93" s="529"/>
      <c r="F93" s="529"/>
      <c r="G93" s="529"/>
      <c r="H93" s="529"/>
      <c r="I93" s="529"/>
      <c r="J93" s="529"/>
      <c r="K93" s="530"/>
      <c r="L93" s="531"/>
      <c r="M93" s="532"/>
      <c r="N93" s="927"/>
      <c r="O93" s="927"/>
      <c r="P93" s="42"/>
      <c r="Q93" s="450"/>
    </row>
    <row r="94" spans="1:17" ht="15.75" thickBot="1">
      <c r="A94" s="480"/>
      <c r="B94" s="489"/>
      <c r="C94" s="490">
        <v>100</v>
      </c>
      <c r="D94" s="490">
        <f t="shared" ref="D94:M94" si="21">C94-$K31</f>
        <v>99</v>
      </c>
      <c r="E94" s="490">
        <f t="shared" si="21"/>
        <v>98</v>
      </c>
      <c r="F94" s="490">
        <f t="shared" si="21"/>
        <v>97</v>
      </c>
      <c r="G94" s="490">
        <f t="shared" si="21"/>
        <v>96</v>
      </c>
      <c r="H94" s="490">
        <f t="shared" si="21"/>
        <v>95</v>
      </c>
      <c r="I94" s="490">
        <f t="shared" si="21"/>
        <v>94</v>
      </c>
      <c r="J94" s="490">
        <f t="shared" si="21"/>
        <v>93</v>
      </c>
      <c r="K94" s="490">
        <f t="shared" si="21"/>
        <v>92</v>
      </c>
      <c r="L94" s="490">
        <f t="shared" si="21"/>
        <v>91</v>
      </c>
      <c r="M94" s="491">
        <f t="shared" si="21"/>
        <v>90</v>
      </c>
      <c r="N94" s="928"/>
      <c r="O94" s="928"/>
      <c r="P94" s="42"/>
      <c r="Q94" s="450"/>
    </row>
    <row r="95" spans="1:17" ht="15" thickTop="1">
      <c r="A95" s="545"/>
      <c r="B95" s="484" t="s">
        <v>1740</v>
      </c>
      <c r="C95" s="3479" t="s">
        <v>3428</v>
      </c>
      <c r="D95" s="3479" t="s">
        <v>3429</v>
      </c>
      <c r="E95" s="3479" t="s">
        <v>3456</v>
      </c>
      <c r="F95" s="3490" t="s">
        <v>3470</v>
      </c>
      <c r="G95" s="529"/>
      <c r="H95" s="529"/>
      <c r="I95" s="529"/>
      <c r="J95" s="529"/>
      <c r="K95" s="530"/>
      <c r="L95" s="531"/>
      <c r="M95" s="532"/>
      <c r="N95" s="927"/>
      <c r="O95" s="927"/>
      <c r="P95" s="42"/>
      <c r="Q95" s="450"/>
    </row>
    <row r="96" spans="1:17" ht="15.75" thickBot="1">
      <c r="A96" s="480"/>
      <c r="B96" s="489"/>
      <c r="C96" s="490">
        <v>100</v>
      </c>
      <c r="D96" s="490">
        <f t="shared" ref="D96:M96" si="22">C96-$K32</f>
        <v>98</v>
      </c>
      <c r="E96" s="490">
        <f t="shared" si="22"/>
        <v>96</v>
      </c>
      <c r="F96" s="490">
        <f t="shared" si="22"/>
        <v>94</v>
      </c>
      <c r="G96" s="490">
        <f t="shared" si="22"/>
        <v>92</v>
      </c>
      <c r="H96" s="490">
        <f t="shared" si="22"/>
        <v>90</v>
      </c>
      <c r="I96" s="490">
        <f t="shared" si="22"/>
        <v>88</v>
      </c>
      <c r="J96" s="490">
        <f t="shared" si="22"/>
        <v>86</v>
      </c>
      <c r="K96" s="490">
        <f t="shared" si="22"/>
        <v>84</v>
      </c>
      <c r="L96" s="490">
        <f t="shared" si="22"/>
        <v>82</v>
      </c>
      <c r="M96" s="491">
        <f t="shared" si="22"/>
        <v>80</v>
      </c>
      <c r="N96" s="928"/>
      <c r="O96" s="928"/>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7"/>
      <c r="O97" s="927"/>
      <c r="P97" s="42"/>
      <c r="Q97" s="450"/>
    </row>
    <row r="98" spans="1:17">
      <c r="A98" s="545"/>
      <c r="B98" s="492"/>
      <c r="C98" s="549">
        <v>0.5</v>
      </c>
      <c r="D98" s="549">
        <v>0.6</v>
      </c>
      <c r="E98" s="549">
        <v>0.7</v>
      </c>
      <c r="F98" s="549">
        <v>0.8</v>
      </c>
      <c r="G98" s="549">
        <v>0.9</v>
      </c>
      <c r="H98" s="549">
        <v>1.0001</v>
      </c>
      <c r="I98" s="568"/>
      <c r="J98" s="568"/>
      <c r="K98" s="569"/>
      <c r="L98" s="570"/>
      <c r="M98" s="571"/>
      <c r="N98" s="927"/>
      <c r="O98" s="927"/>
      <c r="P98" s="42"/>
      <c r="Q98" s="450"/>
    </row>
    <row r="99" spans="1:17" ht="15.75" thickBot="1">
      <c r="A99" s="480"/>
      <c r="B99" s="489"/>
      <c r="C99" s="528">
        <v>100</v>
      </c>
      <c r="D99" s="490">
        <f>C99+$K33</f>
        <v>101</v>
      </c>
      <c r="E99" s="490">
        <f t="shared" ref="E99:M99" si="23">D99+$K33</f>
        <v>102</v>
      </c>
      <c r="F99" s="490">
        <f t="shared" si="23"/>
        <v>103</v>
      </c>
      <c r="G99" s="490">
        <f t="shared" si="23"/>
        <v>104</v>
      </c>
      <c r="H99" s="490">
        <f t="shared" si="23"/>
        <v>105</v>
      </c>
      <c r="I99" s="490">
        <f t="shared" si="23"/>
        <v>106</v>
      </c>
      <c r="J99" s="490">
        <f t="shared" si="23"/>
        <v>107</v>
      </c>
      <c r="K99" s="490">
        <f t="shared" si="23"/>
        <v>108</v>
      </c>
      <c r="L99" s="490">
        <f t="shared" si="23"/>
        <v>109</v>
      </c>
      <c r="M99" s="490">
        <f t="shared" si="23"/>
        <v>110</v>
      </c>
      <c r="N99" s="928"/>
      <c r="O99" s="928"/>
      <c r="P99" s="42"/>
      <c r="Q99" s="450"/>
    </row>
    <row r="100" spans="1:17" s="419" customFormat="1" ht="15" thickTop="1">
      <c r="A100" s="539"/>
      <c r="B100" s="484" t="s">
        <v>1741</v>
      </c>
      <c r="C100" s="3479" t="s">
        <v>3430</v>
      </c>
      <c r="D100" s="3479" t="s">
        <v>3431</v>
      </c>
      <c r="E100" s="500"/>
      <c r="F100" s="500"/>
      <c r="G100" s="500"/>
      <c r="H100" s="529"/>
      <c r="I100" s="529"/>
      <c r="J100" s="529"/>
      <c r="K100" s="530"/>
      <c r="L100" s="531"/>
      <c r="M100" s="532"/>
      <c r="N100" s="929"/>
      <c r="O100" s="929"/>
      <c r="P100" s="504"/>
      <c r="Q100" s="505"/>
    </row>
    <row r="101" spans="1:17" s="419" customFormat="1" ht="15.75" thickBot="1">
      <c r="A101" s="499"/>
      <c r="B101" s="489"/>
      <c r="C101" s="490">
        <v>100</v>
      </c>
      <c r="D101" s="490">
        <f>C101-$K34</f>
        <v>99</v>
      </c>
      <c r="E101" s="490">
        <f t="shared" ref="E101:M101" si="24">D101-$K34</f>
        <v>98</v>
      </c>
      <c r="F101" s="490">
        <f t="shared" si="24"/>
        <v>97</v>
      </c>
      <c r="G101" s="490">
        <f t="shared" si="24"/>
        <v>96</v>
      </c>
      <c r="H101" s="490">
        <f t="shared" si="24"/>
        <v>95</v>
      </c>
      <c r="I101" s="490">
        <f t="shared" si="24"/>
        <v>94</v>
      </c>
      <c r="J101" s="490">
        <f t="shared" si="24"/>
        <v>93</v>
      </c>
      <c r="K101" s="490">
        <f t="shared" si="24"/>
        <v>92</v>
      </c>
      <c r="L101" s="490">
        <f t="shared" si="24"/>
        <v>91</v>
      </c>
      <c r="M101" s="490">
        <f t="shared" si="24"/>
        <v>90</v>
      </c>
      <c r="N101" s="929"/>
      <c r="O101" s="929"/>
      <c r="P101" s="504"/>
      <c r="Q101" s="505"/>
    </row>
    <row r="102" spans="1:17" ht="15" thickTop="1">
      <c r="A102" s="545"/>
      <c r="B102" s="484" t="s">
        <v>1742</v>
      </c>
      <c r="C102" s="3479" t="s">
        <v>3432</v>
      </c>
      <c r="D102" s="500"/>
      <c r="E102" s="500"/>
      <c r="F102" s="500"/>
      <c r="G102" s="500"/>
      <c r="H102" s="529"/>
      <c r="I102" s="529"/>
      <c r="J102" s="529"/>
      <c r="K102" s="530"/>
      <c r="L102" s="531"/>
      <c r="M102" s="532"/>
      <c r="N102" s="927"/>
      <c r="O102" s="927"/>
      <c r="P102" s="42"/>
      <c r="Q102" s="450"/>
    </row>
    <row r="103" spans="1:17" ht="15.75" thickBot="1">
      <c r="A103" s="480"/>
      <c r="B103" s="489"/>
      <c r="C103" s="490">
        <v>100</v>
      </c>
      <c r="D103" s="490">
        <f t="shared" ref="D103:M103" si="25">C103-$K35</f>
        <v>99</v>
      </c>
      <c r="E103" s="490">
        <f t="shared" si="25"/>
        <v>98</v>
      </c>
      <c r="F103" s="490">
        <f t="shared" si="25"/>
        <v>97</v>
      </c>
      <c r="G103" s="490">
        <f t="shared" si="25"/>
        <v>96</v>
      </c>
      <c r="H103" s="490">
        <f t="shared" si="25"/>
        <v>95</v>
      </c>
      <c r="I103" s="490">
        <f t="shared" si="25"/>
        <v>94</v>
      </c>
      <c r="J103" s="490">
        <f t="shared" si="25"/>
        <v>93</v>
      </c>
      <c r="K103" s="490">
        <f t="shared" si="25"/>
        <v>92</v>
      </c>
      <c r="L103" s="490">
        <f t="shared" si="25"/>
        <v>91</v>
      </c>
      <c r="M103" s="491">
        <f t="shared" si="25"/>
        <v>90</v>
      </c>
      <c r="N103" s="928"/>
      <c r="O103" s="928"/>
      <c r="P103" s="42"/>
      <c r="Q103" s="450"/>
    </row>
    <row r="104" spans="1:17" ht="15" thickTop="1">
      <c r="A104" s="545"/>
      <c r="B104" s="484" t="s">
        <v>1744</v>
      </c>
      <c r="C104" s="3480" t="s">
        <v>3433</v>
      </c>
      <c r="D104" s="3480" t="s">
        <v>3434</v>
      </c>
      <c r="E104" s="3480" t="s">
        <v>3435</v>
      </c>
      <c r="F104" s="3481" t="s">
        <v>3436</v>
      </c>
      <c r="G104" s="500" t="s">
        <v>3437</v>
      </c>
      <c r="H104" s="529"/>
      <c r="I104" s="529"/>
      <c r="J104" s="529"/>
      <c r="K104" s="530"/>
      <c r="L104" s="531"/>
      <c r="M104" s="532"/>
      <c r="N104" s="927"/>
      <c r="O104" s="927"/>
      <c r="P104" s="42"/>
      <c r="Q104" s="450"/>
    </row>
    <row r="105" spans="1:17" ht="15.75" thickBot="1">
      <c r="A105" s="480"/>
      <c r="B105" s="489"/>
      <c r="C105" s="490">
        <v>100</v>
      </c>
      <c r="D105" s="490">
        <f>C105-$K36</f>
        <v>98</v>
      </c>
      <c r="E105" s="490">
        <f>D105-$K36</f>
        <v>96</v>
      </c>
      <c r="F105" s="490">
        <f>E105-$K36</f>
        <v>94</v>
      </c>
      <c r="G105" s="490">
        <f>F105-$K36</f>
        <v>92</v>
      </c>
      <c r="H105" s="490"/>
      <c r="I105" s="490"/>
      <c r="J105" s="490"/>
      <c r="K105" s="490"/>
      <c r="L105" s="490"/>
      <c r="M105" s="491"/>
      <c r="N105" s="928"/>
      <c r="O105" s="928"/>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28"/>
      <c r="O106" s="928"/>
      <c r="P106" s="582"/>
      <c r="Q106" s="583"/>
    </row>
    <row r="107" spans="1:17" ht="15.75" thickBot="1">
      <c r="A107" s="480"/>
      <c r="B107" s="489"/>
      <c r="C107" s="528">
        <v>100</v>
      </c>
      <c r="D107" s="490">
        <f t="shared" ref="D107:M107" si="26">C107-$K37</f>
        <v>99</v>
      </c>
      <c r="E107" s="490">
        <f t="shared" si="26"/>
        <v>98</v>
      </c>
      <c r="F107" s="490">
        <f t="shared" si="26"/>
        <v>97</v>
      </c>
      <c r="G107" s="490">
        <f t="shared" si="26"/>
        <v>96</v>
      </c>
      <c r="H107" s="490">
        <f t="shared" si="26"/>
        <v>95</v>
      </c>
      <c r="I107" s="490">
        <f t="shared" si="26"/>
        <v>94</v>
      </c>
      <c r="J107" s="490">
        <f t="shared" si="26"/>
        <v>93</v>
      </c>
      <c r="K107" s="490">
        <f t="shared" si="26"/>
        <v>92</v>
      </c>
      <c r="L107" s="490">
        <f t="shared" si="26"/>
        <v>91</v>
      </c>
      <c r="M107" s="490">
        <f t="shared" si="26"/>
        <v>90</v>
      </c>
      <c r="N107" s="928"/>
      <c r="O107" s="928"/>
      <c r="P107" s="42"/>
      <c r="Q107" s="450"/>
    </row>
    <row r="108" spans="1:17" s="419" customFormat="1" ht="15" thickTop="1">
      <c r="A108" s="539"/>
      <c r="B108" s="484" t="str">
        <f>B38</f>
        <v>建筑档次</v>
      </c>
      <c r="C108" s="3479" t="s">
        <v>3458</v>
      </c>
      <c r="D108" s="3479" t="s">
        <v>3459</v>
      </c>
      <c r="E108" s="3479" t="s">
        <v>3462</v>
      </c>
      <c r="F108" s="3479" t="s">
        <v>3461</v>
      </c>
      <c r="G108" s="500"/>
      <c r="H108" s="501"/>
      <c r="I108" s="501"/>
      <c r="J108" s="501"/>
      <c r="K108" s="501"/>
      <c r="L108" s="502"/>
      <c r="M108" s="503"/>
      <c r="N108" s="929"/>
      <c r="O108" s="929"/>
      <c r="P108" s="504"/>
      <c r="Q108" s="505"/>
    </row>
    <row r="109" spans="1:17" s="419" customFormat="1" ht="15.75" thickBot="1">
      <c r="A109" s="499"/>
      <c r="B109" s="481"/>
      <c r="C109" s="506">
        <v>100</v>
      </c>
      <c r="D109" s="482">
        <v>98</v>
      </c>
      <c r="E109" s="506">
        <v>96</v>
      </c>
      <c r="F109" s="482">
        <v>94</v>
      </c>
      <c r="G109" s="506"/>
      <c r="H109" s="508"/>
      <c r="I109" s="508"/>
      <c r="J109" s="508"/>
      <c r="K109" s="508"/>
      <c r="L109" s="508"/>
      <c r="M109" s="509"/>
      <c r="N109" s="929"/>
      <c r="O109" s="929"/>
      <c r="P109" s="504"/>
      <c r="Q109" s="505"/>
    </row>
    <row r="110" spans="1:17" ht="15" thickTop="1">
      <c r="A110" s="545"/>
      <c r="B110" s="484">
        <f>B39</f>
        <v>111</v>
      </c>
      <c r="C110" s="500"/>
      <c r="D110" s="500"/>
      <c r="E110" s="500"/>
      <c r="F110" s="500"/>
      <c r="G110" s="500"/>
      <c r="H110" s="501"/>
      <c r="I110" s="501"/>
      <c r="J110" s="501"/>
      <c r="K110" s="501"/>
      <c r="L110" s="502"/>
      <c r="M110" s="503"/>
      <c r="N110" s="927"/>
      <c r="O110" s="927"/>
      <c r="P110" s="42"/>
      <c r="Q110" s="450"/>
    </row>
    <row r="111" spans="1:17" ht="15.75" thickBot="1">
      <c r="A111" s="480"/>
      <c r="B111" s="489"/>
      <c r="C111" s="506"/>
      <c r="D111" s="482"/>
      <c r="E111" s="482"/>
      <c r="F111" s="482"/>
      <c r="G111" s="506"/>
      <c r="H111" s="508"/>
      <c r="I111" s="508"/>
      <c r="J111" s="508"/>
      <c r="K111" s="508"/>
      <c r="L111" s="508"/>
      <c r="M111" s="509"/>
      <c r="N111" s="928"/>
      <c r="O111" s="928"/>
      <c r="P111" s="42"/>
      <c r="Q111" s="450"/>
    </row>
    <row r="112" spans="1:17" ht="15" thickTop="1">
      <c r="A112" s="545"/>
      <c r="B112" s="492">
        <f>B40</f>
        <v>111</v>
      </c>
      <c r="C112" s="469"/>
      <c r="D112" s="469"/>
      <c r="E112" s="469"/>
      <c r="F112" s="469"/>
      <c r="G112" s="533"/>
      <c r="H112" s="533"/>
      <c r="I112" s="533"/>
      <c r="J112" s="533"/>
      <c r="K112" s="469"/>
      <c r="L112" s="470"/>
      <c r="M112" s="536"/>
      <c r="N112" s="927"/>
      <c r="O112" s="927"/>
      <c r="P112" s="42"/>
      <c r="Q112" s="450"/>
    </row>
    <row r="113" spans="1:17" ht="15.75" thickBot="1">
      <c r="A113" s="1922"/>
      <c r="B113" s="515"/>
      <c r="C113" s="516"/>
      <c r="D113" s="516"/>
      <c r="E113" s="516"/>
      <c r="F113" s="516"/>
      <c r="G113" s="537"/>
      <c r="H113" s="537"/>
      <c r="I113" s="537"/>
      <c r="J113" s="537"/>
      <c r="K113" s="537"/>
      <c r="L113" s="537"/>
      <c r="M113" s="538"/>
      <c r="N113" s="928"/>
      <c r="O113" s="928"/>
      <c r="P113" s="42"/>
      <c r="Q113" s="45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20">
    <dataValidation type="list" allowBlank="1" showInputMessage="1" showErrorMessage="1" sqref="E1" xr:uid="{00000000-0002-0000-2F00-000000000000}">
      <formula1>"项目模式,单套模式"</formula1>
    </dataValidation>
    <dataValidation type="list" allowBlank="1" showInputMessage="1" showErrorMessage="1" sqref="D42" xr:uid="{00000000-0002-0000-2F00-000001000000}">
      <formula1>"简单平均,加权平均"</formula1>
    </dataValidation>
    <dataValidation type="list" allowBlank="1" showInputMessage="1" showErrorMessage="1" sqref="F2" xr:uid="{00000000-0002-0000-2F00-000002000000}">
      <formula1>估价方法</formula1>
    </dataValidation>
    <dataValidation type="list" allowBlank="1" showInputMessage="1" showErrorMessage="1" sqref="C2" xr:uid="{00000000-0002-0000-2F00-000003000000}">
      <formula1>"需扣减承租人权益,——"</formula1>
    </dataValidation>
    <dataValidation type="list" allowBlank="1" showInputMessage="1" showErrorMessage="1" sqref="F1" xr:uid="{00000000-0002-0000-2F00-000004000000}">
      <formula1>"售价,租金"</formula1>
    </dataValidation>
    <dataValidation type="list" allowBlank="1" showInputMessage="1" showErrorMessage="1" sqref="C22 E22 G22 I22" xr:uid="{00000000-0002-0000-2F00-000005000000}">
      <formula1>基础设施水平</formula1>
    </dataValidation>
    <dataValidation type="list" allowBlank="1" showInputMessage="1" showErrorMessage="1" sqref="C16 E16 G16 I16" xr:uid="{00000000-0002-0000-2F00-000006000000}">
      <formula1>产业集聚程度</formula1>
    </dataValidation>
    <dataValidation type="list" allowBlank="1" showInputMessage="1" showErrorMessage="1" sqref="C37 E37 G37 I37" xr:uid="{00000000-0002-0000-2F00-000007000000}">
      <formula1>内部装修维护情况</formula1>
    </dataValidation>
    <dataValidation type="list" allowBlank="1" showInputMessage="1" showErrorMessage="1" sqref="C36 E36 G36 I36" xr:uid="{00000000-0002-0000-2F00-000008000000}">
      <formula1>工业内部装修</formula1>
    </dataValidation>
    <dataValidation type="list" allowBlank="1" showInputMessage="1" showErrorMessage="1" sqref="C35 E35 G35 I35" xr:uid="{00000000-0002-0000-2F00-000009000000}">
      <formula1>工业基础设施水平</formula1>
    </dataValidation>
    <dataValidation type="list" allowBlank="1" showInputMessage="1" showErrorMessage="1" sqref="C34 E34 G34 I34" xr:uid="{00000000-0002-0000-2F00-00000A000000}">
      <formula1>工业物业管理</formula1>
    </dataValidation>
    <dataValidation type="list" allowBlank="1" showInputMessage="1" showErrorMessage="1" sqref="C32 E32 G32 I32" xr:uid="{00000000-0002-0000-2F00-00000B000000}">
      <formula1>工业公共部分装修</formula1>
    </dataValidation>
    <dataValidation type="list" allowBlank="1" showInputMessage="1" showErrorMessage="1" sqref="C31 E31 G31 I31" xr:uid="{00000000-0002-0000-2F00-00000C000000}">
      <formula1>工业建筑结构</formula1>
    </dataValidation>
    <dataValidation type="list" allowBlank="1" showInputMessage="1" showErrorMessage="1" sqref="C29 E29 G29 I29" xr:uid="{00000000-0002-0000-2F00-00000D000000}">
      <formula1>工业建筑类型</formula1>
    </dataValidation>
    <dataValidation type="list" allowBlank="1" showInputMessage="1" showErrorMessage="1" sqref="E9 G9 I9" xr:uid="{00000000-0002-0000-2F00-00000E000000}">
      <formula1>工业用途</formula1>
    </dataValidation>
    <dataValidation type="list" allowBlank="1" showInputMessage="1" showErrorMessage="1" sqref="C8 E8 G8 I8" xr:uid="{00000000-0002-0000-2F00-00000F000000}">
      <formula1>工业交易情况</formula1>
    </dataValidation>
    <dataValidation type="list" allowBlank="1" showInputMessage="1" showErrorMessage="1" sqref="E24 G24 I24 C24" xr:uid="{00000000-0002-0000-2F00-000010000000}">
      <formula1>环境</formula1>
    </dataValidation>
    <dataValidation type="list" allowBlank="1" showInputMessage="1" showErrorMessage="1" sqref="E18 G18 I18 C18" xr:uid="{00000000-0002-0000-2F00-000011000000}">
      <formula1>交通便捷度</formula1>
    </dataValidation>
    <dataValidation type="list" allowBlank="1" showInputMessage="1" showErrorMessage="1" sqref="C20 G20 E20 I20" xr:uid="{00000000-0002-0000-2F00-000012000000}">
      <formula1>公共配套设施</formula1>
    </dataValidation>
    <dataValidation type="list" allowBlank="1" showInputMessage="1" showErrorMessage="1" sqref="D1" xr:uid="{00000000-0002-0000-2F00-000013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504"/>
      <c r="B3" s="3504"/>
      <c r="C3" s="3504"/>
      <c r="D3" s="848" t="s">
        <v>925</v>
      </c>
      <c r="E3" s="848" t="s">
        <v>931</v>
      </c>
      <c r="F3" s="848" t="s">
        <v>925</v>
      </c>
      <c r="G3" s="848" t="s">
        <v>926</v>
      </c>
      <c r="H3" s="848" t="s">
        <v>925</v>
      </c>
      <c r="I3" s="848" t="s">
        <v>926</v>
      </c>
    </row>
    <row r="4" spans="1:9" ht="15">
      <c r="A4" s="1499" t="str">
        <f>项目基本情况!S2</f>
        <v>北京市房地产</v>
      </c>
      <c r="B4" s="848">
        <f>项目基本情况!C17</f>
        <v>17747.629999999997</v>
      </c>
      <c r="C4" s="848">
        <f>项目基本情况!C18</f>
        <v>15255.5</v>
      </c>
      <c r="D4" s="848">
        <f ca="1">结果表!D118</f>
        <v>5583</v>
      </c>
      <c r="E4" s="848">
        <f ca="1">结果表!E118</f>
        <v>3146</v>
      </c>
      <c r="F4" s="848">
        <f ca="1">结果表!F118</f>
        <v>5560</v>
      </c>
      <c r="G4" s="848">
        <f ca="1">结果表!G118</f>
        <v>3133</v>
      </c>
      <c r="H4" s="848">
        <f ca="1">结果表!H118</f>
        <v>11143</v>
      </c>
      <c r="I4" s="848">
        <f ca="1">结果表!I118</f>
        <v>6279</v>
      </c>
    </row>
    <row r="5" spans="1:9" ht="30" customHeight="1">
      <c r="A5" s="3504" t="s">
        <v>927</v>
      </c>
      <c r="B5" s="3504"/>
      <c r="C5" s="3504"/>
      <c r="D5" s="3504" t="str">
        <f ca="1">结果表!D119</f>
        <v>伍仟伍佰捌拾叁万元整</v>
      </c>
      <c r="E5" s="3504"/>
      <c r="F5" s="3504" t="str">
        <f ca="1">结果表!F119</f>
        <v>伍仟伍佰陆拾万元整</v>
      </c>
      <c r="G5" s="3504"/>
      <c r="H5" s="3504" t="str">
        <f ca="1">结果表!H119</f>
        <v>壹亿壹仟壹佰肆拾叁万元整</v>
      </c>
      <c r="I5" s="3504"/>
    </row>
    <row r="6" spans="1:9" ht="15.75">
      <c r="A6" s="3505" t="str">
        <f>结果表!A120</f>
        <v>估价师知悉的法定优先受偿款</v>
      </c>
      <c r="B6" s="3505"/>
      <c r="C6" s="3505"/>
      <c r="D6" s="3505">
        <f>结果表!D120</f>
        <v>0</v>
      </c>
      <c r="E6" s="3505"/>
      <c r="F6" s="3505"/>
      <c r="G6" s="3505"/>
      <c r="H6" s="3505"/>
      <c r="I6" s="3505"/>
    </row>
    <row r="7" spans="1:9" ht="15">
      <c r="A7" s="3504" t="s">
        <v>927</v>
      </c>
      <c r="B7" s="3504"/>
      <c r="C7" s="3504"/>
      <c r="D7" s="3506" t="str">
        <f>结果表!D121</f>
        <v>零元整</v>
      </c>
      <c r="E7" s="3507"/>
      <c r="F7" s="3507"/>
      <c r="G7" s="3507"/>
      <c r="H7" s="3507"/>
      <c r="I7" s="3508"/>
    </row>
    <row r="8" spans="1:9" ht="15.75">
      <c r="A8" s="3505" t="str">
        <f>结果表!A122</f>
        <v>房地产抵押价值</v>
      </c>
      <c r="B8" s="3505"/>
      <c r="C8" s="3505"/>
      <c r="D8" s="3505">
        <f ca="1">结果表!D122</f>
        <v>11143</v>
      </c>
      <c r="E8" s="3505"/>
      <c r="F8" s="3505"/>
      <c r="G8" s="3505"/>
      <c r="H8" s="3505"/>
      <c r="I8" s="3505"/>
    </row>
    <row r="9" spans="1:9" ht="15">
      <c r="A9" s="3504" t="s">
        <v>927</v>
      </c>
      <c r="B9" s="3504"/>
      <c r="C9" s="3504"/>
      <c r="D9" s="3504" t="str">
        <f ca="1">结果表!D123</f>
        <v>壹亿壹仟壹佰肆拾叁万元整</v>
      </c>
      <c r="E9" s="3504"/>
      <c r="F9" s="3504"/>
      <c r="G9" s="3504"/>
      <c r="H9" s="3504"/>
      <c r="I9" s="3504"/>
    </row>
    <row r="10" spans="1:9" ht="15.75">
      <c r="A10" s="3505" t="str">
        <f>结果表!A124</f>
        <v/>
      </c>
      <c r="B10" s="3505"/>
      <c r="C10" s="3505"/>
      <c r="D10" s="3505" t="str">
        <f>结果表!D124</f>
        <v>——</v>
      </c>
      <c r="E10" s="3505"/>
      <c r="F10" s="3505"/>
      <c r="G10" s="3505"/>
      <c r="H10" s="3505"/>
      <c r="I10" s="3505"/>
    </row>
    <row r="11" spans="1:9" ht="15">
      <c r="A11" s="3504" t="s">
        <v>927</v>
      </c>
      <c r="B11" s="3504"/>
      <c r="C11" s="3504"/>
      <c r="D11" s="3504" t="e">
        <f>结果表!D125</f>
        <v>#VALUE!</v>
      </c>
      <c r="E11" s="3504"/>
      <c r="F11" s="3504"/>
      <c r="G11" s="3504"/>
      <c r="H11" s="3504"/>
      <c r="I11" s="3504"/>
    </row>
    <row r="12" spans="1:9" ht="15.75">
      <c r="A12" s="3505" t="str">
        <f>结果表!A126</f>
        <v/>
      </c>
      <c r="B12" s="3505"/>
      <c r="C12" s="3505"/>
      <c r="D12" s="3505" t="str">
        <f>结果表!D126</f>
        <v>——</v>
      </c>
      <c r="E12" s="3505"/>
      <c r="F12" s="3505"/>
      <c r="G12" s="3505"/>
      <c r="H12" s="3505"/>
      <c r="I12" s="3505"/>
    </row>
    <row r="13" spans="1:9" ht="15.75" thickBot="1">
      <c r="A13" s="3509" t="s">
        <v>927</v>
      </c>
      <c r="B13" s="3509"/>
      <c r="C13" s="3509"/>
      <c r="D13" s="3509" t="e">
        <f>结果表!D127</f>
        <v>#VALUE!</v>
      </c>
      <c r="E13" s="3509"/>
      <c r="F13" s="3509"/>
      <c r="G13" s="3509"/>
      <c r="H13" s="3509"/>
      <c r="I13" s="3509"/>
    </row>
    <row r="14" spans="1:9" ht="15" thickTop="1">
      <c r="A14" s="3510" t="s">
        <v>932</v>
      </c>
      <c r="B14" s="3510"/>
      <c r="C14" s="3510"/>
      <c r="D14" s="3510"/>
      <c r="E14" s="3510"/>
      <c r="F14" s="3510"/>
      <c r="G14" s="3510"/>
      <c r="H14" s="3510"/>
      <c r="I14" s="3510"/>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C113"/>
  <sheetViews>
    <sheetView view="pageBreakPreview" topLeftCell="A21" zoomScale="85" zoomScaleNormal="60" zoomScaleSheetLayoutView="85" workbookViewId="0">
      <selection activeCell="D56" sqref="D56"/>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1" t="s">
        <v>1826</v>
      </c>
      <c r="C1" s="1218" t="s">
        <v>1662</v>
      </c>
      <c r="D1" s="1219" t="s">
        <v>3450</v>
      </c>
      <c r="E1" s="3427" t="s">
        <v>3412</v>
      </c>
      <c r="F1" s="1873" t="s">
        <v>3413</v>
      </c>
      <c r="G1" s="1229" t="s">
        <v>1663</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685</v>
      </c>
      <c r="B2" s="1158">
        <f>IF(E1="项目模式",IF(C2="——",ROUND(C43*D3/10000,0),ROUND(C43*D3/10000,0)-D2),IF(E1="单套模式",IF(C2="——",ROUND(C43*D3/10000,4),ROUND(C43*D3/10000,4)-D2)))</f>
        <v>0</v>
      </c>
      <c r="C2" s="1875" t="s">
        <v>43</v>
      </c>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6"/>
      <c r="Q2" s="696"/>
      <c r="R2" s="696"/>
      <c r="S2" s="696"/>
      <c r="T2" s="696"/>
      <c r="U2" s="696"/>
      <c r="V2" s="696"/>
      <c r="W2" s="696"/>
      <c r="X2" s="696"/>
      <c r="Y2" s="696"/>
      <c r="Z2" s="696"/>
      <c r="AA2" s="696"/>
      <c r="AB2" s="696"/>
      <c r="AC2" s="710"/>
    </row>
    <row r="3" spans="1:29" s="349" customFormat="1" ht="28.5" customHeight="1" thickBot="1">
      <c r="A3" s="200" t="s">
        <v>686</v>
      </c>
      <c r="B3" s="555">
        <f>IF(C2="——",C43,ROUND(B2*10000/D3,0))</f>
        <v>2.2999999999999998</v>
      </c>
      <c r="C3" s="351" t="s">
        <v>1665</v>
      </c>
      <c r="D3" s="350">
        <f>IF(D1="",'数据-汇总表'!E3,SUMIF('数据-汇总表'!$C19:$C33,D1,'数据-汇总表'!$E19:$E33))</f>
        <v>0</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2" t="s">
        <v>1666</v>
      </c>
      <c r="B4" s="353"/>
      <c r="C4" s="3728" t="s">
        <v>1667</v>
      </c>
      <c r="D4" s="3729"/>
      <c r="E4" s="3730" t="s">
        <v>1668</v>
      </c>
      <c r="F4" s="3731"/>
      <c r="G4" s="3728" t="s">
        <v>1669</v>
      </c>
      <c r="H4" s="3729"/>
      <c r="I4" s="3728" t="s">
        <v>1670</v>
      </c>
      <c r="J4" s="3729"/>
      <c r="K4" s="556" t="s">
        <v>1671</v>
      </c>
      <c r="L4" s="907"/>
      <c r="M4" s="908"/>
      <c r="N4" s="908"/>
      <c r="O4" s="908"/>
      <c r="P4" s="3732" t="s">
        <v>1672</v>
      </c>
      <c r="Q4" s="3733"/>
      <c r="R4" s="3715" t="s">
        <v>1668</v>
      </c>
      <c r="S4" s="3716"/>
      <c r="T4" s="3715" t="s">
        <v>1669</v>
      </c>
      <c r="U4" s="3716"/>
      <c r="V4" s="3740" t="s">
        <v>1670</v>
      </c>
      <c r="W4" s="3740"/>
      <c r="X4" s="3461"/>
      <c r="Y4" s="3715" t="s">
        <v>1672</v>
      </c>
      <c r="Z4" s="3716"/>
      <c r="AA4" s="3710" t="s">
        <v>1668</v>
      </c>
      <c r="AB4" s="3711" t="s">
        <v>1669</v>
      </c>
      <c r="AC4" s="3710" t="s">
        <v>1670</v>
      </c>
    </row>
    <row r="5" spans="1:29" ht="15">
      <c r="A5" s="355"/>
      <c r="B5" s="356"/>
      <c r="C5" s="3721" t="s">
        <v>1673</v>
      </c>
      <c r="D5" s="3722"/>
      <c r="E5" s="3824" t="s">
        <v>3455</v>
      </c>
      <c r="F5" s="3720"/>
      <c r="G5" s="3825" t="s">
        <v>3438</v>
      </c>
      <c r="H5" s="3722"/>
      <c r="I5" s="3825" t="s">
        <v>3439</v>
      </c>
      <c r="J5" s="3722"/>
      <c r="K5" s="556"/>
      <c r="L5" s="907"/>
      <c r="M5" s="908"/>
      <c r="N5" s="908"/>
      <c r="O5" s="908"/>
      <c r="P5" s="3734"/>
      <c r="Q5" s="3735"/>
      <c r="R5" s="3717"/>
      <c r="S5" s="3718"/>
      <c r="T5" s="3717"/>
      <c r="U5" s="3718"/>
      <c r="V5" s="3740"/>
      <c r="W5" s="3740"/>
      <c r="X5" s="3461"/>
      <c r="Y5" s="3717"/>
      <c r="Z5" s="3718"/>
      <c r="AA5" s="3711"/>
      <c r="AB5" s="3711"/>
      <c r="AC5" s="3711"/>
    </row>
    <row r="6" spans="1:29" ht="15.75" thickBot="1">
      <c r="A6" s="357"/>
      <c r="B6" s="358"/>
      <c r="C6" s="3723" t="s">
        <v>1677</v>
      </c>
      <c r="D6" s="3724"/>
      <c r="E6" s="3725" t="s">
        <v>1677</v>
      </c>
      <c r="F6" s="3726"/>
      <c r="G6" s="3723" t="s">
        <v>1677</v>
      </c>
      <c r="H6" s="3724"/>
      <c r="I6" s="3723" t="s">
        <v>1677</v>
      </c>
      <c r="J6" s="3724"/>
      <c r="K6" s="556" t="s">
        <v>1678</v>
      </c>
      <c r="L6" s="907"/>
      <c r="M6" s="908"/>
      <c r="N6" s="908"/>
      <c r="O6" s="908"/>
      <c r="P6" s="3736"/>
      <c r="Q6" s="3737"/>
      <c r="R6" s="3717"/>
      <c r="S6" s="3718"/>
      <c r="T6" s="3738"/>
      <c r="U6" s="3739"/>
      <c r="V6" s="3740"/>
      <c r="W6" s="3740"/>
      <c r="X6" s="3461"/>
      <c r="Y6" s="3738"/>
      <c r="Z6" s="3739"/>
      <c r="AA6" s="3712"/>
      <c r="AB6" s="3712"/>
      <c r="AC6" s="3712"/>
    </row>
    <row r="7" spans="1:29" s="105" customFormat="1" ht="15.75" thickBot="1">
      <c r="A7" s="359" t="s">
        <v>1679</v>
      </c>
      <c r="B7" s="360"/>
      <c r="C7" s="361">
        <f>'数据-取费表'!B2</f>
        <v>45539</v>
      </c>
      <c r="D7" s="362">
        <v>100</v>
      </c>
      <c r="E7" s="363">
        <f>C7</f>
        <v>45539</v>
      </c>
      <c r="F7" s="364">
        <f>SUMIF(52:52,YEAR(E7)&amp;"-"&amp;MONTH(E7),53:53)</f>
        <v>100</v>
      </c>
      <c r="G7" s="363">
        <f>C7</f>
        <v>45539</v>
      </c>
      <c r="H7" s="362">
        <f>SUMIF(52:52,YEAR(G7)&amp;"-"&amp;MONTH(G7),53:53)</f>
        <v>100</v>
      </c>
      <c r="I7" s="363">
        <f>C7</f>
        <v>45539</v>
      </c>
      <c r="J7" s="362">
        <f>SUMIF(52:52,YEAR(I7)&amp;"-"&amp;MONTH(I7),53:53)</f>
        <v>100</v>
      </c>
      <c r="K7" s="557"/>
      <c r="L7" s="909"/>
      <c r="M7" s="910"/>
      <c r="N7" s="910"/>
      <c r="O7" s="910"/>
      <c r="P7" s="3713" t="s">
        <v>1680</v>
      </c>
      <c r="Q7" s="3741"/>
      <c r="R7" s="698" t="s">
        <v>14</v>
      </c>
      <c r="S7" s="699">
        <f t="shared" ref="S7:S15" si="0">F7</f>
        <v>100</v>
      </c>
      <c r="T7" s="698" t="s">
        <v>14</v>
      </c>
      <c r="U7" s="699">
        <f t="shared" ref="U7:U15" si="1">H7</f>
        <v>100</v>
      </c>
      <c r="V7" s="698" t="s">
        <v>14</v>
      </c>
      <c r="W7" s="699">
        <f t="shared" ref="W7:W15" si="2">J7</f>
        <v>100</v>
      </c>
      <c r="X7" s="700"/>
      <c r="Y7" s="3713" t="s">
        <v>1680</v>
      </c>
      <c r="Z7" s="3714"/>
      <c r="AA7" s="701">
        <f>D7/F7</f>
        <v>1</v>
      </c>
      <c r="AB7" s="701">
        <f>D7/H7</f>
        <v>1</v>
      </c>
      <c r="AC7" s="701">
        <f>D7/J7</f>
        <v>1</v>
      </c>
    </row>
    <row r="8" spans="1:29" s="105" customFormat="1" ht="15.75" thickBot="1">
      <c r="A8" s="359" t="s">
        <v>1681</v>
      </c>
      <c r="B8" s="360"/>
      <c r="C8" s="365" t="s">
        <v>3440</v>
      </c>
      <c r="D8" s="362">
        <v>100</v>
      </c>
      <c r="E8" s="365" t="s">
        <v>3441</v>
      </c>
      <c r="F8" s="364">
        <f>SUMIF(55:55,E8,56:56)-SUMIF(55:55,C8,56:56)+100</f>
        <v>105</v>
      </c>
      <c r="G8" s="365" t="s">
        <v>3441</v>
      </c>
      <c r="H8" s="362">
        <f>SUMIF(55:55,G8,56:56)-SUMIF(55:55,C8,56:56)+100</f>
        <v>105</v>
      </c>
      <c r="I8" s="365" t="s">
        <v>3441</v>
      </c>
      <c r="J8" s="362">
        <f>SUMIF(55:55,I8,56:56)-SUMIF(55:55,C8,56:56)+100</f>
        <v>105</v>
      </c>
      <c r="K8" s="557"/>
      <c r="L8" s="909"/>
      <c r="M8" s="910"/>
      <c r="N8" s="910"/>
      <c r="O8" s="910"/>
      <c r="P8" s="3713" t="s">
        <v>1683</v>
      </c>
      <c r="Q8" s="3714"/>
      <c r="R8" s="698" t="s">
        <v>14</v>
      </c>
      <c r="S8" s="699">
        <f t="shared" si="0"/>
        <v>105</v>
      </c>
      <c r="T8" s="698" t="s">
        <v>14</v>
      </c>
      <c r="U8" s="699">
        <f t="shared" si="1"/>
        <v>105</v>
      </c>
      <c r="V8" s="698" t="s">
        <v>14</v>
      </c>
      <c r="W8" s="699">
        <f t="shared" si="2"/>
        <v>105</v>
      </c>
      <c r="X8" s="700"/>
      <c r="Y8" s="3713" t="s">
        <v>1683</v>
      </c>
      <c r="Z8" s="3714"/>
      <c r="AA8" s="701">
        <f t="shared" ref="AA8:AA40" si="3">D8/F8</f>
        <v>0.95238095238095233</v>
      </c>
      <c r="AB8" s="701">
        <f t="shared" ref="AB8:AB40" si="4">D8/H8</f>
        <v>0.95238095238095233</v>
      </c>
      <c r="AC8" s="701">
        <f t="shared" ref="AC8:AC40" si="5">D8/J8</f>
        <v>0.95238095238095233</v>
      </c>
    </row>
    <row r="9" spans="1:29" s="105" customFormat="1">
      <c r="A9" s="366" t="s">
        <v>1684</v>
      </c>
      <c r="B9" s="63" t="s">
        <v>1685</v>
      </c>
      <c r="C9" s="3483" t="s">
        <v>3443</v>
      </c>
      <c r="D9" s="123">
        <v>100</v>
      </c>
      <c r="E9" s="370" t="s">
        <v>3442</v>
      </c>
      <c r="F9" s="123">
        <f>SUMIF(57:57,E9,58:58)-SUMIF(57:57,C9,58:58)+100</f>
        <v>100</v>
      </c>
      <c r="G9" s="368" t="s">
        <v>3442</v>
      </c>
      <c r="H9" s="123">
        <f>SUMIF(57:57,G9,58:58)-SUMIF(57:57,C9,58:58)+100</f>
        <v>100</v>
      </c>
      <c r="I9" s="368" t="s">
        <v>3442</v>
      </c>
      <c r="J9" s="123">
        <f>SUMIF(57:57,I9,58:58)-SUMIF(57:57,C9,58:58)+100</f>
        <v>100</v>
      </c>
      <c r="K9" s="557"/>
      <c r="L9" s="909"/>
      <c r="M9" s="910"/>
      <c r="N9" s="910"/>
      <c r="O9" s="911"/>
      <c r="P9" s="3745" t="s">
        <v>1686</v>
      </c>
      <c r="Q9" s="3459" t="str">
        <f t="shared" ref="Q9:Q15" si="6">B9</f>
        <v>用途</v>
      </c>
      <c r="R9" s="698" t="s">
        <v>14</v>
      </c>
      <c r="S9" s="699">
        <f t="shared" si="0"/>
        <v>100</v>
      </c>
      <c r="T9" s="698" t="s">
        <v>14</v>
      </c>
      <c r="U9" s="699">
        <f t="shared" si="1"/>
        <v>100</v>
      </c>
      <c r="V9" s="698" t="s">
        <v>14</v>
      </c>
      <c r="W9" s="699">
        <f t="shared" si="2"/>
        <v>100</v>
      </c>
      <c r="X9" s="700"/>
      <c r="Y9" s="3659" t="s">
        <v>1687</v>
      </c>
      <c r="Z9" s="3452" t="str">
        <f t="shared" ref="Z9:Z15" si="7">Q9</f>
        <v>用途</v>
      </c>
      <c r="AA9" s="701">
        <f t="shared" si="3"/>
        <v>1</v>
      </c>
      <c r="AB9" s="701">
        <f t="shared" si="4"/>
        <v>1</v>
      </c>
      <c r="AC9" s="701">
        <f t="shared" si="5"/>
        <v>1</v>
      </c>
    </row>
    <row r="10" spans="1:29" s="375" customFormat="1" ht="27">
      <c r="A10" s="371"/>
      <c r="B10" s="372" t="s">
        <v>1688</v>
      </c>
      <c r="C10" s="3428"/>
      <c r="D10" s="124">
        <v>100</v>
      </c>
      <c r="E10" s="3428"/>
      <c r="F10" s="124">
        <f>SUMIF(59:59,E10,60:60)-SUMIF(59:59,C10,60:60)+100</f>
        <v>100</v>
      </c>
      <c r="G10" s="3429"/>
      <c r="H10" s="124">
        <f>SUMIF(59:59,G10,60:60)-SUMIF(59:59,C10,60:60)+100</f>
        <v>100</v>
      </c>
      <c r="I10" s="3428"/>
      <c r="J10" s="124">
        <f>SUMIF(59:59,I10,60:60)-SUMIF(59:59,C10,60:60)+100</f>
        <v>100</v>
      </c>
      <c r="K10" s="557"/>
      <c r="L10" s="912"/>
      <c r="M10" s="913"/>
      <c r="N10" s="913"/>
      <c r="O10" s="914"/>
      <c r="P10" s="3745"/>
      <c r="Q10" s="3459" t="str">
        <f t="shared" si="6"/>
        <v>土地使用年限（年）</v>
      </c>
      <c r="R10" s="698" t="s">
        <v>14</v>
      </c>
      <c r="S10" s="699">
        <f t="shared" si="0"/>
        <v>100</v>
      </c>
      <c r="T10" s="698" t="s">
        <v>14</v>
      </c>
      <c r="U10" s="699">
        <f t="shared" si="1"/>
        <v>100</v>
      </c>
      <c r="V10" s="698" t="s">
        <v>14</v>
      </c>
      <c r="W10" s="699">
        <f t="shared" si="2"/>
        <v>100</v>
      </c>
      <c r="X10" s="700"/>
      <c r="Y10" s="3659"/>
      <c r="Z10" s="3452" t="str">
        <f t="shared" si="7"/>
        <v>土地使用年限（年）</v>
      </c>
      <c r="AA10" s="701">
        <f t="shared" si="3"/>
        <v>1</v>
      </c>
      <c r="AB10" s="701">
        <f t="shared" si="4"/>
        <v>1</v>
      </c>
      <c r="AC10" s="701">
        <f t="shared" si="5"/>
        <v>1</v>
      </c>
    </row>
    <row r="11" spans="1:29" ht="15.75" thickBot="1">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v>2</v>
      </c>
      <c r="L11" s="915"/>
      <c r="M11" s="908"/>
      <c r="N11" s="908"/>
      <c r="O11" s="916"/>
      <c r="P11" s="3745"/>
      <c r="Q11" s="3459" t="str">
        <f t="shared" si="6"/>
        <v>容积率</v>
      </c>
      <c r="R11" s="698" t="s">
        <v>14</v>
      </c>
      <c r="S11" s="699">
        <f t="shared" si="0"/>
        <v>100</v>
      </c>
      <c r="T11" s="698" t="s">
        <v>14</v>
      </c>
      <c r="U11" s="699">
        <f t="shared" si="1"/>
        <v>100</v>
      </c>
      <c r="V11" s="698" t="s">
        <v>14</v>
      </c>
      <c r="W11" s="699">
        <f t="shared" si="2"/>
        <v>100</v>
      </c>
      <c r="X11" s="700"/>
      <c r="Y11" s="3659"/>
      <c r="Z11" s="3452" t="str">
        <f t="shared" si="7"/>
        <v>容积率</v>
      </c>
      <c r="AA11" s="701">
        <f t="shared" si="3"/>
        <v>1</v>
      </c>
      <c r="AB11" s="701">
        <f t="shared" si="4"/>
        <v>1</v>
      </c>
      <c r="AC11" s="701">
        <f t="shared" si="5"/>
        <v>1</v>
      </c>
    </row>
    <row r="12" spans="1:29" s="105" customFormat="1" ht="15.75" hidden="1" thickBot="1">
      <c r="A12" s="379"/>
      <c r="B12" s="1887">
        <v>111</v>
      </c>
      <c r="C12" s="380"/>
      <c r="D12" s="381">
        <v>100</v>
      </c>
      <c r="E12" s="382"/>
      <c r="F12" s="124">
        <f>SUMIF(64:64,E12,65:65)-SUMIF(64:64,C12,65:65)+100</f>
        <v>100</v>
      </c>
      <c r="G12" s="1964"/>
      <c r="H12" s="124">
        <f>SUMIF(64:64,G12,65:65)-SUMIF(64:64,C12,65:65)+100</f>
        <v>100</v>
      </c>
      <c r="I12" s="417"/>
      <c r="J12" s="124">
        <f>SUMIF(64:64,I12,65:65)-SUMIF(64:64,C12,65:65)+100</f>
        <v>100</v>
      </c>
      <c r="K12" s="559"/>
      <c r="L12" s="909"/>
      <c r="M12" s="910"/>
      <c r="N12" s="910"/>
      <c r="O12" s="911"/>
      <c r="P12" s="3745"/>
      <c r="Q12" s="3459">
        <f t="shared" si="6"/>
        <v>111</v>
      </c>
      <c r="R12" s="698" t="s">
        <v>14</v>
      </c>
      <c r="S12" s="699">
        <f t="shared" si="0"/>
        <v>100</v>
      </c>
      <c r="T12" s="698" t="s">
        <v>14</v>
      </c>
      <c r="U12" s="699">
        <f t="shared" si="1"/>
        <v>100</v>
      </c>
      <c r="V12" s="698" t="s">
        <v>14</v>
      </c>
      <c r="W12" s="699">
        <f t="shared" si="2"/>
        <v>100</v>
      </c>
      <c r="X12" s="700"/>
      <c r="Y12" s="3659"/>
      <c r="Z12" s="3452">
        <f t="shared" si="7"/>
        <v>111</v>
      </c>
      <c r="AA12" s="701">
        <f>D12/F12</f>
        <v>1</v>
      </c>
      <c r="AB12" s="701">
        <f>D12/H12</f>
        <v>1</v>
      </c>
      <c r="AC12" s="701">
        <f>D12/J12</f>
        <v>1</v>
      </c>
    </row>
    <row r="13" spans="1:29" ht="15.75" hidden="1" thickBot="1">
      <c r="A13" s="376"/>
      <c r="B13" s="1887">
        <v>111</v>
      </c>
      <c r="C13" s="382"/>
      <c r="D13" s="383">
        <v>100</v>
      </c>
      <c r="E13" s="382"/>
      <c r="F13" s="124">
        <f>SUMIF(66:66,E13,67:67)-SUMIF(66:66,C13,67:67)+100</f>
        <v>100</v>
      </c>
      <c r="G13" s="1964"/>
      <c r="H13" s="383">
        <f>SUMIF(66:66,G13,67:67)-SUMIF(66:66,C13,67:67)+100</f>
        <v>100</v>
      </c>
      <c r="I13" s="417"/>
      <c r="J13" s="383">
        <f>SUMIF(66:66,I13,67:67)-SUMIF(66:66,C13,67:67)+100</f>
        <v>100</v>
      </c>
      <c r="K13" s="559"/>
      <c r="L13" s="917"/>
      <c r="M13" s="908"/>
      <c r="N13" s="908"/>
      <c r="O13" s="916"/>
      <c r="P13" s="3745"/>
      <c r="Q13" s="3459">
        <f t="shared" si="6"/>
        <v>111</v>
      </c>
      <c r="R13" s="698" t="s">
        <v>14</v>
      </c>
      <c r="S13" s="699">
        <f t="shared" si="0"/>
        <v>100</v>
      </c>
      <c r="T13" s="698" t="s">
        <v>14</v>
      </c>
      <c r="U13" s="699">
        <f t="shared" si="1"/>
        <v>100</v>
      </c>
      <c r="V13" s="698" t="s">
        <v>14</v>
      </c>
      <c r="W13" s="699">
        <f t="shared" si="2"/>
        <v>100</v>
      </c>
      <c r="X13" s="700"/>
      <c r="Y13" s="3659"/>
      <c r="Z13" s="3452">
        <f t="shared" si="7"/>
        <v>111</v>
      </c>
      <c r="AA13" s="701">
        <f t="shared" si="3"/>
        <v>1</v>
      </c>
      <c r="AB13" s="701">
        <f t="shared" si="4"/>
        <v>1</v>
      </c>
      <c r="AC13" s="701">
        <f t="shared" si="5"/>
        <v>1</v>
      </c>
    </row>
    <row r="14" spans="1:29" ht="15.75" hidden="1" thickBot="1">
      <c r="A14" s="384"/>
      <c r="B14" s="1889">
        <v>111</v>
      </c>
      <c r="C14" s="385"/>
      <c r="D14" s="386">
        <v>100</v>
      </c>
      <c r="E14" s="385"/>
      <c r="F14" s="386">
        <f>SUMIF(68:68,E14,69:69)-SUMIF(68:68,C14,69:69)+100</f>
        <v>100</v>
      </c>
      <c r="G14" s="1964"/>
      <c r="H14" s="386">
        <f>SUMIF(68:68,G14,69:69)-SUMIF(68:68,C14,69:69)+100</f>
        <v>100</v>
      </c>
      <c r="I14" s="417"/>
      <c r="J14" s="386">
        <f>SUMIF(68:68,I14,69:69)-SUMIF(68:68,C14,69:69)+100</f>
        <v>100</v>
      </c>
      <c r="K14" s="559"/>
      <c r="L14" s="917"/>
      <c r="M14" s="908"/>
      <c r="N14" s="908"/>
      <c r="O14" s="916"/>
      <c r="P14" s="3745"/>
      <c r="Q14" s="3459">
        <f t="shared" si="6"/>
        <v>111</v>
      </c>
      <c r="R14" s="698" t="s">
        <v>14</v>
      </c>
      <c r="S14" s="699">
        <f t="shared" si="0"/>
        <v>100</v>
      </c>
      <c r="T14" s="698" t="s">
        <v>14</v>
      </c>
      <c r="U14" s="699">
        <f t="shared" si="1"/>
        <v>100</v>
      </c>
      <c r="V14" s="698" t="s">
        <v>14</v>
      </c>
      <c r="W14" s="699">
        <f t="shared" si="2"/>
        <v>100</v>
      </c>
      <c r="X14" s="700"/>
      <c r="Y14" s="3659"/>
      <c r="Z14" s="3452">
        <f t="shared" si="7"/>
        <v>111</v>
      </c>
      <c r="AA14" s="701">
        <f t="shared" si="3"/>
        <v>1</v>
      </c>
      <c r="AB14" s="701">
        <f t="shared" si="4"/>
        <v>1</v>
      </c>
      <c r="AC14" s="701">
        <f t="shared" si="5"/>
        <v>1</v>
      </c>
    </row>
    <row r="15" spans="1:29" ht="15">
      <c r="A15" s="388" t="s">
        <v>1690</v>
      </c>
      <c r="B15" s="61" t="s">
        <v>1827</v>
      </c>
      <c r="C15" s="1965">
        <f>估价对象房地状况!G3</f>
        <v>0</v>
      </c>
      <c r="D15" s="389">
        <v>100</v>
      </c>
      <c r="E15" s="390"/>
      <c r="F15" s="391">
        <f>SUMIF(70:70,E16,71:71)-SUMIF(70:70,C16,71:71)+100</f>
        <v>100</v>
      </c>
      <c r="G15" s="392"/>
      <c r="H15" s="389">
        <f>SUMIF(70:70,G16,71:71)-SUMIF(70:70,C16,71:71)+100</f>
        <v>100</v>
      </c>
      <c r="I15" s="390"/>
      <c r="J15" s="389">
        <f>SUMIF(70:70,I16,71:71)-SUMIF(70:70,C16,71:71)+100</f>
        <v>100</v>
      </c>
      <c r="K15" s="560">
        <v>2</v>
      </c>
      <c r="L15" s="917"/>
      <c r="M15" s="908"/>
      <c r="N15" s="908"/>
      <c r="O15" s="916"/>
      <c r="P15" s="3747" t="s">
        <v>1691</v>
      </c>
      <c r="Q15" s="3463" t="str">
        <f t="shared" si="6"/>
        <v>产业集聚程度</v>
      </c>
      <c r="R15" s="702" t="s">
        <v>14</v>
      </c>
      <c r="S15" s="703">
        <f t="shared" si="0"/>
        <v>100</v>
      </c>
      <c r="T15" s="702" t="s">
        <v>14</v>
      </c>
      <c r="U15" s="703">
        <f t="shared" si="1"/>
        <v>100</v>
      </c>
      <c r="V15" s="702" t="s">
        <v>14</v>
      </c>
      <c r="W15" s="703">
        <f t="shared" si="2"/>
        <v>100</v>
      </c>
      <c r="X15" s="3461"/>
      <c r="Y15" s="3747" t="s">
        <v>1691</v>
      </c>
      <c r="Z15" s="3462" t="str">
        <f t="shared" si="7"/>
        <v>产业集聚程度</v>
      </c>
      <c r="AA15" s="3464">
        <f t="shared" si="3"/>
        <v>1</v>
      </c>
      <c r="AB15" s="3464">
        <f t="shared" si="4"/>
        <v>1</v>
      </c>
      <c r="AC15" s="3464">
        <f t="shared" si="5"/>
        <v>1</v>
      </c>
    </row>
    <row r="16" spans="1:29" ht="15">
      <c r="A16" s="376"/>
      <c r="B16" s="394"/>
      <c r="C16" s="395" t="s">
        <v>3400</v>
      </c>
      <c r="D16" s="396"/>
      <c r="E16" s="395" t="s">
        <v>3400</v>
      </c>
      <c r="F16" s="397"/>
      <c r="G16" s="395" t="s">
        <v>3400</v>
      </c>
      <c r="H16" s="398"/>
      <c r="I16" s="395" t="s">
        <v>3400</v>
      </c>
      <c r="J16" s="396"/>
      <c r="K16" s="561"/>
      <c r="L16" s="917"/>
      <c r="M16" s="908"/>
      <c r="N16" s="908"/>
      <c r="O16" s="916"/>
      <c r="P16" s="3748"/>
      <c r="Q16" s="3463"/>
      <c r="R16" s="702"/>
      <c r="S16" s="703"/>
      <c r="T16" s="702"/>
      <c r="U16" s="703"/>
      <c r="V16" s="702"/>
      <c r="W16" s="703"/>
      <c r="X16" s="3461"/>
      <c r="Y16" s="3748"/>
      <c r="Z16" s="3462"/>
      <c r="AA16" s="3464">
        <v>1</v>
      </c>
      <c r="AB16" s="3464">
        <v>1</v>
      </c>
      <c r="AC16" s="3464">
        <v>1</v>
      </c>
    </row>
    <row r="17" spans="1:29" ht="15">
      <c r="A17" s="376"/>
      <c r="B17" s="399" t="s">
        <v>1259</v>
      </c>
      <c r="C17" s="1894">
        <f>估价对象房地状况!G4</f>
        <v>0</v>
      </c>
      <c r="D17" s="398">
        <v>100</v>
      </c>
      <c r="E17" s="400"/>
      <c r="F17" s="401">
        <f>SUMIF(72:72,E18,73:73)-SUMIF(72:72,C18,73:73)+100</f>
        <v>100</v>
      </c>
      <c r="G17" s="402"/>
      <c r="H17" s="403">
        <f>SUMIF(72:72,G18,73:73)-SUMIF(72:72,C18,73:73)+100</f>
        <v>100</v>
      </c>
      <c r="I17" s="400"/>
      <c r="J17" s="403">
        <f>SUMIF(72:72,I18,73:73)-SUMIF(72:72,C18,73:73)+100</f>
        <v>100</v>
      </c>
      <c r="K17" s="560">
        <v>2</v>
      </c>
      <c r="L17" s="917"/>
      <c r="M17" s="908"/>
      <c r="N17" s="908"/>
      <c r="O17" s="916"/>
      <c r="P17" s="3748"/>
      <c r="Q17" s="3463" t="str">
        <f>B17</f>
        <v>交通便捷度</v>
      </c>
      <c r="R17" s="702" t="s">
        <v>14</v>
      </c>
      <c r="S17" s="703">
        <f>F17</f>
        <v>100</v>
      </c>
      <c r="T17" s="702" t="s">
        <v>14</v>
      </c>
      <c r="U17" s="703">
        <f>H17</f>
        <v>100</v>
      </c>
      <c r="V17" s="702" t="s">
        <v>14</v>
      </c>
      <c r="W17" s="703">
        <f>J17</f>
        <v>100</v>
      </c>
      <c r="X17" s="3461"/>
      <c r="Y17" s="3748"/>
      <c r="Z17" s="3462" t="str">
        <f>Q17</f>
        <v>交通便捷度</v>
      </c>
      <c r="AA17" s="3464">
        <f t="shared" si="3"/>
        <v>1</v>
      </c>
      <c r="AB17" s="3464">
        <f t="shared" si="4"/>
        <v>1</v>
      </c>
      <c r="AC17" s="3464">
        <f t="shared" si="5"/>
        <v>1</v>
      </c>
    </row>
    <row r="18" spans="1:29" ht="15">
      <c r="A18" s="376"/>
      <c r="B18" s="404"/>
      <c r="C18" s="395" t="s">
        <v>3400</v>
      </c>
      <c r="D18" s="398"/>
      <c r="E18" s="395" t="s">
        <v>3400</v>
      </c>
      <c r="F18" s="401"/>
      <c r="G18" s="395" t="s">
        <v>3400</v>
      </c>
      <c r="H18" s="396"/>
      <c r="I18" s="395" t="s">
        <v>3400</v>
      </c>
      <c r="J18" s="396"/>
      <c r="K18" s="561"/>
      <c r="L18" s="917"/>
      <c r="M18" s="908"/>
      <c r="N18" s="908"/>
      <c r="O18" s="916"/>
      <c r="P18" s="3748"/>
      <c r="Q18" s="3463"/>
      <c r="R18" s="702"/>
      <c r="S18" s="703"/>
      <c r="T18" s="702"/>
      <c r="U18" s="703"/>
      <c r="V18" s="702"/>
      <c r="W18" s="703"/>
      <c r="X18" s="3461"/>
      <c r="Y18" s="3748"/>
      <c r="Z18" s="3462"/>
      <c r="AA18" s="3464">
        <v>1</v>
      </c>
      <c r="AB18" s="3464">
        <v>1</v>
      </c>
      <c r="AC18" s="3464">
        <v>1</v>
      </c>
    </row>
    <row r="19" spans="1:29" ht="15">
      <c r="A19" s="376"/>
      <c r="B19" s="399" t="s">
        <v>1812</v>
      </c>
      <c r="C19" s="1894">
        <f>估价对象房地状况!G5</f>
        <v>0</v>
      </c>
      <c r="D19" s="403">
        <v>100</v>
      </c>
      <c r="E19" s="405"/>
      <c r="F19" s="406">
        <f>SUMIF(74:74,E20,75:75)-SUMIF(74:74,C20,75:75)+100</f>
        <v>100</v>
      </c>
      <c r="G19" s="407"/>
      <c r="H19" s="398">
        <f>SUMIF(74:74,G20,75:75)-SUMIF(74:74,C20,75:75)+100</f>
        <v>100</v>
      </c>
      <c r="I19" s="405"/>
      <c r="J19" s="398">
        <f>SUMIF(74:74,I20,75:75)-SUMIF(74:74,C20,75:75)+100</f>
        <v>100</v>
      </c>
      <c r="K19" s="560">
        <v>2</v>
      </c>
      <c r="L19" s="917"/>
      <c r="M19" s="908"/>
      <c r="N19" s="908"/>
      <c r="O19" s="916"/>
      <c r="P19" s="3748"/>
      <c r="Q19" s="3463" t="str">
        <f>B19</f>
        <v>公共配套设施</v>
      </c>
      <c r="R19" s="702" t="s">
        <v>14</v>
      </c>
      <c r="S19" s="703">
        <f>F19</f>
        <v>100</v>
      </c>
      <c r="T19" s="702" t="s">
        <v>14</v>
      </c>
      <c r="U19" s="703">
        <f>H19</f>
        <v>100</v>
      </c>
      <c r="V19" s="702" t="s">
        <v>14</v>
      </c>
      <c r="W19" s="703">
        <f>J19</f>
        <v>100</v>
      </c>
      <c r="X19" s="3461"/>
      <c r="Y19" s="3748"/>
      <c r="Z19" s="3462" t="str">
        <f>Q19</f>
        <v>公共配套设施</v>
      </c>
      <c r="AA19" s="3464">
        <f t="shared" si="3"/>
        <v>1</v>
      </c>
      <c r="AB19" s="3464">
        <f t="shared" si="4"/>
        <v>1</v>
      </c>
      <c r="AC19" s="3464">
        <f t="shared" si="5"/>
        <v>1</v>
      </c>
    </row>
    <row r="20" spans="1:29" ht="15">
      <c r="A20" s="376"/>
      <c r="B20" s="404"/>
      <c r="C20" s="395" t="s">
        <v>3400</v>
      </c>
      <c r="D20" s="396"/>
      <c r="E20" s="395" t="s">
        <v>3400</v>
      </c>
      <c r="F20" s="397"/>
      <c r="G20" s="395" t="s">
        <v>3400</v>
      </c>
      <c r="H20" s="396"/>
      <c r="I20" s="395" t="s">
        <v>3400</v>
      </c>
      <c r="J20" s="396"/>
      <c r="K20" s="561"/>
      <c r="L20" s="917"/>
      <c r="M20" s="908"/>
      <c r="N20" s="908"/>
      <c r="O20" s="916"/>
      <c r="P20" s="3748"/>
      <c r="Q20" s="3463"/>
      <c r="R20" s="702"/>
      <c r="S20" s="703"/>
      <c r="T20" s="702"/>
      <c r="U20" s="703"/>
      <c r="V20" s="702"/>
      <c r="W20" s="703"/>
      <c r="X20" s="3461"/>
      <c r="Y20" s="3748"/>
      <c r="Z20" s="3462"/>
      <c r="AA20" s="3464">
        <v>1</v>
      </c>
      <c r="AB20" s="3464">
        <v>1</v>
      </c>
      <c r="AC20" s="3464">
        <v>1</v>
      </c>
    </row>
    <row r="21" spans="1:29" ht="15">
      <c r="A21" s="376"/>
      <c r="B21" s="1125" t="s">
        <v>1813</v>
      </c>
      <c r="C21" s="1894">
        <f>估价对象房地状况!G6</f>
        <v>0</v>
      </c>
      <c r="D21" s="398">
        <v>100</v>
      </c>
      <c r="E21" s="405"/>
      <c r="F21" s="406">
        <f>SUMIF(76:76,E22,77:77)-SUMIF(76:76,C22,77:77)+100</f>
        <v>100</v>
      </c>
      <c r="G21" s="407"/>
      <c r="H21" s="398">
        <f>SUMIF(76:76,G22,77:77)-SUMIF(76:76,C22,77:77)+100</f>
        <v>100</v>
      </c>
      <c r="I21" s="405"/>
      <c r="J21" s="398">
        <f>SUMIF(76:76,I22,77:77)-SUMIF(76:76,C22,77:77)+100</f>
        <v>100</v>
      </c>
      <c r="K21" s="560">
        <v>2</v>
      </c>
      <c r="L21" s="917"/>
      <c r="M21" s="908"/>
      <c r="N21" s="908"/>
      <c r="O21" s="916"/>
      <c r="P21" s="3748"/>
      <c r="Q21" s="3463" t="str">
        <f>B21</f>
        <v>基础设施水平</v>
      </c>
      <c r="R21" s="702" t="s">
        <v>14</v>
      </c>
      <c r="S21" s="703">
        <f>F21</f>
        <v>100</v>
      </c>
      <c r="T21" s="702" t="s">
        <v>14</v>
      </c>
      <c r="U21" s="703">
        <f>H21</f>
        <v>100</v>
      </c>
      <c r="V21" s="702" t="s">
        <v>14</v>
      </c>
      <c r="W21" s="703">
        <f>J21</f>
        <v>100</v>
      </c>
      <c r="X21" s="3461"/>
      <c r="Y21" s="3748"/>
      <c r="Z21" s="3462" t="str">
        <f>Q21</f>
        <v>基础设施水平</v>
      </c>
      <c r="AA21" s="3464">
        <f t="shared" ref="AA21" si="8">D21/F21</f>
        <v>1</v>
      </c>
      <c r="AB21" s="3464">
        <f t="shared" ref="AB21" si="9">D21/H21</f>
        <v>1</v>
      </c>
      <c r="AC21" s="3464">
        <f t="shared" ref="AC21" si="10">D21/J21</f>
        <v>1</v>
      </c>
    </row>
    <row r="22" spans="1:29" ht="15">
      <c r="A22" s="376"/>
      <c r="B22" s="1125"/>
      <c r="C22" s="1895" t="s">
        <v>3444</v>
      </c>
      <c r="D22" s="396"/>
      <c r="E22" s="1895" t="s">
        <v>3444</v>
      </c>
      <c r="F22" s="397"/>
      <c r="G22" s="1895" t="s">
        <v>3444</v>
      </c>
      <c r="H22" s="396"/>
      <c r="I22" s="1895" t="s">
        <v>3444</v>
      </c>
      <c r="J22" s="396"/>
      <c r="K22" s="1124"/>
      <c r="L22" s="917"/>
      <c r="M22" s="908"/>
      <c r="N22" s="908"/>
      <c r="O22" s="916"/>
      <c r="P22" s="3748"/>
      <c r="Q22" s="3463"/>
      <c r="R22" s="702"/>
      <c r="S22" s="703"/>
      <c r="T22" s="702"/>
      <c r="U22" s="703"/>
      <c r="V22" s="702"/>
      <c r="W22" s="703"/>
      <c r="X22" s="3461"/>
      <c r="Y22" s="3748"/>
      <c r="Z22" s="3462"/>
      <c r="AA22" s="3464">
        <v>1</v>
      </c>
      <c r="AB22" s="3464">
        <v>1</v>
      </c>
      <c r="AC22" s="3464">
        <v>1</v>
      </c>
    </row>
    <row r="23" spans="1:29" ht="15">
      <c r="A23" s="376"/>
      <c r="B23" s="399" t="s">
        <v>1814</v>
      </c>
      <c r="C23" s="1894">
        <f>估价对象房地状况!G7</f>
        <v>0</v>
      </c>
      <c r="D23" s="398">
        <v>100</v>
      </c>
      <c r="E23" s="400"/>
      <c r="F23" s="401">
        <f>SUMIF(78:78,E24,79:79)-SUMIF(78:78,C24,79:79)+100</f>
        <v>100</v>
      </c>
      <c r="G23" s="402"/>
      <c r="H23" s="398">
        <f>SUMIF(78:78,G24,79:79)-SUMIF(78:78,C24,79:79)+100</f>
        <v>100</v>
      </c>
      <c r="I23" s="400"/>
      <c r="J23" s="398">
        <f>SUMIF(78:78,I24,79:79)-SUMIF(78:78,C24,79:79)+100</f>
        <v>100</v>
      </c>
      <c r="K23" s="560">
        <v>2</v>
      </c>
      <c r="L23" s="917"/>
      <c r="M23" s="908"/>
      <c r="N23" s="908"/>
      <c r="O23" s="916"/>
      <c r="P23" s="3748"/>
      <c r="Q23" s="3463" t="str">
        <f>B23</f>
        <v>环境质量</v>
      </c>
      <c r="R23" s="702" t="s">
        <v>14</v>
      </c>
      <c r="S23" s="703">
        <f>F23</f>
        <v>100</v>
      </c>
      <c r="T23" s="702" t="s">
        <v>14</v>
      </c>
      <c r="U23" s="703">
        <f>H23</f>
        <v>100</v>
      </c>
      <c r="V23" s="702" t="s">
        <v>14</v>
      </c>
      <c r="W23" s="703">
        <f>J23</f>
        <v>100</v>
      </c>
      <c r="X23" s="3461"/>
      <c r="Y23" s="3748"/>
      <c r="Z23" s="3462" t="str">
        <f>Q23</f>
        <v>环境质量</v>
      </c>
      <c r="AA23" s="3464">
        <f t="shared" si="3"/>
        <v>1</v>
      </c>
      <c r="AB23" s="3464">
        <f t="shared" si="4"/>
        <v>1</v>
      </c>
      <c r="AC23" s="3464">
        <f t="shared" si="5"/>
        <v>1</v>
      </c>
    </row>
    <row r="24" spans="1:29" ht="15.75" thickBot="1">
      <c r="A24" s="376"/>
      <c r="B24" s="1125"/>
      <c r="C24" s="395" t="s">
        <v>3400</v>
      </c>
      <c r="D24" s="396"/>
      <c r="E24" s="395" t="s">
        <v>3400</v>
      </c>
      <c r="F24" s="397"/>
      <c r="G24" s="395" t="s">
        <v>3400</v>
      </c>
      <c r="H24" s="396"/>
      <c r="I24" s="395" t="s">
        <v>3400</v>
      </c>
      <c r="J24" s="396"/>
      <c r="K24" s="561"/>
      <c r="L24" s="917"/>
      <c r="M24" s="908"/>
      <c r="N24" s="908"/>
      <c r="O24" s="916"/>
      <c r="P24" s="3748"/>
      <c r="Q24" s="3463"/>
      <c r="R24" s="702"/>
      <c r="S24" s="703"/>
      <c r="T24" s="702"/>
      <c r="U24" s="703"/>
      <c r="V24" s="702"/>
      <c r="W24" s="703"/>
      <c r="X24" s="3461"/>
      <c r="Y24" s="3748"/>
      <c r="Z24" s="3462"/>
      <c r="AA24" s="3464">
        <v>1</v>
      </c>
      <c r="AB24" s="3464">
        <v>1</v>
      </c>
      <c r="AC24" s="3464">
        <v>1</v>
      </c>
    </row>
    <row r="25" spans="1:29" ht="15.75" hidden="1" thickBot="1">
      <c r="A25" s="355"/>
      <c r="B25" s="1127">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7"/>
      <c r="M25" s="908"/>
      <c r="N25" s="908"/>
      <c r="O25" s="916"/>
      <c r="P25" s="3748"/>
      <c r="Q25" s="3463">
        <f>B25</f>
        <v>111</v>
      </c>
      <c r="R25" s="702" t="s">
        <v>14</v>
      </c>
      <c r="S25" s="703">
        <f>F25</f>
        <v>100</v>
      </c>
      <c r="T25" s="702" t="s">
        <v>14</v>
      </c>
      <c r="U25" s="703">
        <f>H25</f>
        <v>100</v>
      </c>
      <c r="V25" s="702" t="s">
        <v>14</v>
      </c>
      <c r="W25" s="703">
        <f>J25</f>
        <v>100</v>
      </c>
      <c r="X25" s="3461"/>
      <c r="Y25" s="3748"/>
      <c r="Z25" s="3462">
        <f>Q25</f>
        <v>111</v>
      </c>
      <c r="AA25" s="3464">
        <f t="shared" si="3"/>
        <v>1</v>
      </c>
      <c r="AB25" s="3464">
        <f t="shared" si="4"/>
        <v>1</v>
      </c>
      <c r="AC25" s="3464">
        <f t="shared" si="5"/>
        <v>1</v>
      </c>
    </row>
    <row r="26" spans="1:29" ht="15.75" hidden="1" thickBot="1">
      <c r="A26" s="376"/>
      <c r="B26" s="1127">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7"/>
      <c r="M26" s="908"/>
      <c r="N26" s="908"/>
      <c r="O26" s="916"/>
      <c r="P26" s="3748"/>
      <c r="Q26" s="3463">
        <f t="shared" ref="Q26:Q40" si="11">B26</f>
        <v>111</v>
      </c>
      <c r="R26" s="702" t="s">
        <v>14</v>
      </c>
      <c r="S26" s="703">
        <f>F26</f>
        <v>100</v>
      </c>
      <c r="T26" s="702" t="s">
        <v>14</v>
      </c>
      <c r="U26" s="703">
        <f>H26</f>
        <v>100</v>
      </c>
      <c r="V26" s="702" t="s">
        <v>14</v>
      </c>
      <c r="W26" s="703">
        <f>J26</f>
        <v>100</v>
      </c>
      <c r="X26" s="3461"/>
      <c r="Y26" s="3748"/>
      <c r="Z26" s="3462">
        <f>Q26</f>
        <v>111</v>
      </c>
      <c r="AA26" s="3464">
        <f t="shared" si="3"/>
        <v>1</v>
      </c>
      <c r="AB26" s="3464">
        <f t="shared" si="4"/>
        <v>1</v>
      </c>
      <c r="AC26" s="3464">
        <f t="shared" si="5"/>
        <v>1</v>
      </c>
    </row>
    <row r="27" spans="1:29" s="105" customFormat="1" ht="15.75" hidden="1" thickBot="1">
      <c r="A27" s="379"/>
      <c r="B27" s="1127">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9"/>
      <c r="M27" s="910"/>
      <c r="N27" s="910"/>
      <c r="O27" s="911"/>
      <c r="P27" s="3748"/>
      <c r="Q27" s="3459">
        <f t="shared" si="11"/>
        <v>111</v>
      </c>
      <c r="R27" s="698" t="s">
        <v>14</v>
      </c>
      <c r="S27" s="699">
        <f>F27</f>
        <v>100</v>
      </c>
      <c r="T27" s="698" t="s">
        <v>14</v>
      </c>
      <c r="U27" s="699">
        <f>H27</f>
        <v>100</v>
      </c>
      <c r="V27" s="698" t="s">
        <v>14</v>
      </c>
      <c r="W27" s="699">
        <f>J27</f>
        <v>100</v>
      </c>
      <c r="X27" s="700"/>
      <c r="Y27" s="3748"/>
      <c r="Z27" s="3452">
        <f>Q27</f>
        <v>111</v>
      </c>
      <c r="AA27" s="3464">
        <f>D27/F27</f>
        <v>1</v>
      </c>
      <c r="AB27" s="3464">
        <f>D27/H27</f>
        <v>1</v>
      </c>
      <c r="AC27" s="3464">
        <f>D27/J27</f>
        <v>1</v>
      </c>
    </row>
    <row r="28" spans="1:29" ht="15.75" hidden="1" thickBot="1">
      <c r="A28" s="384"/>
      <c r="B28" s="1127">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7"/>
      <c r="M28" s="908"/>
      <c r="N28" s="908"/>
      <c r="O28" s="916"/>
      <c r="P28" s="3748"/>
      <c r="Q28" s="3463">
        <f t="shared" si="11"/>
        <v>111</v>
      </c>
      <c r="R28" s="702" t="s">
        <v>14</v>
      </c>
      <c r="S28" s="703">
        <f t="shared" ref="S28:S40" si="12">F28</f>
        <v>100</v>
      </c>
      <c r="T28" s="702" t="s">
        <v>14</v>
      </c>
      <c r="U28" s="703">
        <f t="shared" ref="U28:U40" si="13">H28</f>
        <v>100</v>
      </c>
      <c r="V28" s="702" t="s">
        <v>14</v>
      </c>
      <c r="W28" s="703">
        <f t="shared" ref="W28:W40" si="14">J28</f>
        <v>100</v>
      </c>
      <c r="X28" s="3461"/>
      <c r="Y28" s="3748"/>
      <c r="Z28" s="3462">
        <f t="shared" ref="Z28:Z40" si="15">Q28</f>
        <v>111</v>
      </c>
      <c r="AA28" s="3464">
        <f t="shared" si="3"/>
        <v>1</v>
      </c>
      <c r="AB28" s="3464">
        <f t="shared" si="4"/>
        <v>1</v>
      </c>
      <c r="AC28" s="3464">
        <f t="shared" si="5"/>
        <v>1</v>
      </c>
    </row>
    <row r="29" spans="1:29" ht="28.5">
      <c r="A29" s="414" t="s">
        <v>1694</v>
      </c>
      <c r="B29" s="63" t="s">
        <v>1817</v>
      </c>
      <c r="C29" s="1961" t="s">
        <v>3468</v>
      </c>
      <c r="D29" s="415">
        <v>100</v>
      </c>
      <c r="E29" s="1961" t="s">
        <v>3445</v>
      </c>
      <c r="F29" s="409">
        <f>SUMIF(88:88,E29,89:89)-SUMIF(88:88,C29,89:89)+100</f>
        <v>115</v>
      </c>
      <c r="G29" s="1961" t="s">
        <v>3445</v>
      </c>
      <c r="H29" s="383">
        <f>SUMIF(88:88,G29,89:89)-SUMIF(88:88,C29,89:89)+100</f>
        <v>115</v>
      </c>
      <c r="I29" s="1961" t="s">
        <v>3445</v>
      </c>
      <c r="J29" s="415">
        <f>SUMIF(88:88,I29,89:89)-SUMIF(88:88,C29,89:89)+100</f>
        <v>115</v>
      </c>
      <c r="K29" s="558">
        <v>15</v>
      </c>
      <c r="L29" s="917"/>
      <c r="M29" s="908"/>
      <c r="N29" s="908"/>
      <c r="O29" s="916"/>
      <c r="P29" s="3756" t="s">
        <v>1696</v>
      </c>
      <c r="Q29" s="3463" t="str">
        <f t="shared" si="11"/>
        <v>建筑类型</v>
      </c>
      <c r="R29" s="702" t="s">
        <v>14</v>
      </c>
      <c r="S29" s="703">
        <f t="shared" si="12"/>
        <v>115</v>
      </c>
      <c r="T29" s="702" t="s">
        <v>14</v>
      </c>
      <c r="U29" s="703">
        <f t="shared" si="13"/>
        <v>115</v>
      </c>
      <c r="V29" s="702" t="s">
        <v>14</v>
      </c>
      <c r="W29" s="703">
        <f t="shared" si="14"/>
        <v>115</v>
      </c>
      <c r="X29" s="3461"/>
      <c r="Y29" s="3752" t="s">
        <v>1696</v>
      </c>
      <c r="Z29" s="3462" t="str">
        <f t="shared" si="15"/>
        <v>建筑类型</v>
      </c>
      <c r="AA29" s="3464">
        <f t="shared" si="3"/>
        <v>0.86956521739130432</v>
      </c>
      <c r="AB29" s="3464">
        <f t="shared" si="4"/>
        <v>0.86956521739130432</v>
      </c>
      <c r="AC29" s="3464">
        <f t="shared" si="5"/>
        <v>0.86956521739130432</v>
      </c>
    </row>
    <row r="30" spans="1:29" s="419" customFormat="1" ht="15">
      <c r="A30" s="416"/>
      <c r="B30" s="372" t="s">
        <v>1697</v>
      </c>
      <c r="C30" s="417">
        <f>'数据-汇总表'!E3</f>
        <v>17747.629999999997</v>
      </c>
      <c r="D30" s="124">
        <v>100</v>
      </c>
      <c r="E30" s="378">
        <v>152.5</v>
      </c>
      <c r="F30" s="373">
        <f>LOOKUP(E30,91:91,92:92)-LOOKUP(C30,91:91,92:92)+100</f>
        <v>100</v>
      </c>
      <c r="G30" s="377">
        <v>119.42</v>
      </c>
      <c r="H30" s="124">
        <f>LOOKUP(G30,91:91,92:92)-LOOKUP(C30,91:91,92:92)+100</f>
        <v>100</v>
      </c>
      <c r="I30" s="377">
        <v>238</v>
      </c>
      <c r="J30" s="124">
        <f>LOOKUP(I30,91:91,92:92)-LOOKUP(C30,91:91,92:92)+100</f>
        <v>100</v>
      </c>
      <c r="K30" s="559"/>
      <c r="L30" s="915"/>
      <c r="M30" s="918"/>
      <c r="N30" s="918"/>
      <c r="O30" s="919"/>
      <c r="P30" s="3752"/>
      <c r="Q30" s="704" t="str">
        <f t="shared" si="11"/>
        <v>项目建筑规模</v>
      </c>
      <c r="R30" s="705" t="s">
        <v>14</v>
      </c>
      <c r="S30" s="706">
        <f t="shared" si="12"/>
        <v>100</v>
      </c>
      <c r="T30" s="705" t="s">
        <v>14</v>
      </c>
      <c r="U30" s="706">
        <f t="shared" si="13"/>
        <v>100</v>
      </c>
      <c r="V30" s="705" t="s">
        <v>14</v>
      </c>
      <c r="W30" s="706">
        <f t="shared" si="14"/>
        <v>100</v>
      </c>
      <c r="X30" s="707"/>
      <c r="Y30" s="3752"/>
      <c r="Z30" s="708" t="str">
        <f t="shared" si="15"/>
        <v>项目建筑规模</v>
      </c>
      <c r="AA30" s="3464">
        <f t="shared" si="3"/>
        <v>1</v>
      </c>
      <c r="AB30" s="3464">
        <f t="shared" si="4"/>
        <v>1</v>
      </c>
      <c r="AC30" s="3464">
        <f t="shared" si="5"/>
        <v>1</v>
      </c>
    </row>
    <row r="31" spans="1:29" ht="15">
      <c r="A31" s="420"/>
      <c r="B31" s="372" t="s">
        <v>1698</v>
      </c>
      <c r="C31" s="408" t="s">
        <v>3406</v>
      </c>
      <c r="D31" s="383">
        <v>100</v>
      </c>
      <c r="E31" s="408" t="s">
        <v>3406</v>
      </c>
      <c r="F31" s="409">
        <f>SUMIF(93:93,E31,94:94)-SUMIF(93:93,C31,94:94)+100</f>
        <v>100</v>
      </c>
      <c r="G31" s="408" t="s">
        <v>3406</v>
      </c>
      <c r="H31" s="383">
        <f>SUMIF(93:93,G31,94:94)-SUMIF(93:93,C31,94:94)+100</f>
        <v>100</v>
      </c>
      <c r="I31" s="408" t="s">
        <v>3406</v>
      </c>
      <c r="J31" s="383">
        <f>SUMIF(93:93,I31,94:94)-SUMIF(93:93,C31,94:94)+100</f>
        <v>100</v>
      </c>
      <c r="K31" s="558">
        <v>1</v>
      </c>
      <c r="L31" s="917"/>
      <c r="M31" s="908"/>
      <c r="N31" s="908"/>
      <c r="O31" s="916"/>
      <c r="P31" s="3752"/>
      <c r="Q31" s="3463" t="str">
        <f t="shared" si="11"/>
        <v>建筑结构</v>
      </c>
      <c r="R31" s="702" t="s">
        <v>14</v>
      </c>
      <c r="S31" s="703">
        <f t="shared" si="12"/>
        <v>100</v>
      </c>
      <c r="T31" s="702" t="s">
        <v>14</v>
      </c>
      <c r="U31" s="703">
        <f t="shared" si="13"/>
        <v>100</v>
      </c>
      <c r="V31" s="702" t="s">
        <v>14</v>
      </c>
      <c r="W31" s="703">
        <f t="shared" si="14"/>
        <v>100</v>
      </c>
      <c r="X31" s="3461"/>
      <c r="Y31" s="3752"/>
      <c r="Z31" s="3462" t="str">
        <f t="shared" si="15"/>
        <v>建筑结构</v>
      </c>
      <c r="AA31" s="3464">
        <f t="shared" si="3"/>
        <v>1</v>
      </c>
      <c r="AB31" s="3464">
        <f t="shared" si="4"/>
        <v>1</v>
      </c>
      <c r="AC31" s="3464">
        <f t="shared" si="5"/>
        <v>1</v>
      </c>
    </row>
    <row r="32" spans="1:29" ht="15">
      <c r="A32" s="420"/>
      <c r="B32" s="372" t="s">
        <v>1785</v>
      </c>
      <c r="C32" s="408" t="s">
        <v>3435</v>
      </c>
      <c r="D32" s="383">
        <v>100</v>
      </c>
      <c r="E32" s="408" t="s">
        <v>3434</v>
      </c>
      <c r="F32" s="409">
        <f>SUMIF(95:95,E32,96:96)-SUMIF(95:95,C32,96:96)+100</f>
        <v>102</v>
      </c>
      <c r="G32" s="408" t="s">
        <v>3434</v>
      </c>
      <c r="H32" s="383">
        <f>SUMIF(95:95,G32,96:96)-SUMIF(95:95,C32,96:96)+100</f>
        <v>102</v>
      </c>
      <c r="I32" s="408" t="s">
        <v>3434</v>
      </c>
      <c r="J32" s="383">
        <f>SUMIF(95:95,I32,96:96)-SUMIF(95:95,C32,96:96)+100</f>
        <v>102</v>
      </c>
      <c r="K32" s="558">
        <v>2</v>
      </c>
      <c r="L32" s="917"/>
      <c r="M32" s="908"/>
      <c r="N32" s="908"/>
      <c r="O32" s="916"/>
      <c r="P32" s="3752"/>
      <c r="Q32" s="3463" t="str">
        <f t="shared" si="11"/>
        <v>公共部分装修</v>
      </c>
      <c r="R32" s="702" t="s">
        <v>14</v>
      </c>
      <c r="S32" s="703">
        <f t="shared" si="12"/>
        <v>102</v>
      </c>
      <c r="T32" s="702" t="s">
        <v>14</v>
      </c>
      <c r="U32" s="703">
        <f t="shared" si="13"/>
        <v>102</v>
      </c>
      <c r="V32" s="702" t="s">
        <v>14</v>
      </c>
      <c r="W32" s="703">
        <f t="shared" si="14"/>
        <v>102</v>
      </c>
      <c r="X32" s="3461"/>
      <c r="Y32" s="3752"/>
      <c r="Z32" s="3462" t="str">
        <f t="shared" si="15"/>
        <v>公共部分装修</v>
      </c>
      <c r="AA32" s="3464">
        <f t="shared" si="3"/>
        <v>0.98039215686274506</v>
      </c>
      <c r="AB32" s="3464">
        <f t="shared" si="4"/>
        <v>0.98039215686274506</v>
      </c>
      <c r="AC32" s="3464">
        <f t="shared" si="5"/>
        <v>0.98039215686274506</v>
      </c>
    </row>
    <row r="33" spans="1:29" ht="15" hidden="1">
      <c r="A33" s="420"/>
      <c r="B33" s="372" t="s">
        <v>1786</v>
      </c>
      <c r="C33" s="422">
        <v>1</v>
      </c>
      <c r="D33" s="383">
        <v>100</v>
      </c>
      <c r="E33" s="422">
        <v>1</v>
      </c>
      <c r="F33" s="409">
        <f>LOOKUP(E33,98:98,99:99)-LOOKUP(C33,98:98,99:99)+100</f>
        <v>100</v>
      </c>
      <c r="G33" s="422">
        <v>1</v>
      </c>
      <c r="H33" s="409">
        <f>LOOKUP(G33,98:98,99:99)-LOOKUP(C33,98:98,99:99)+100</f>
        <v>100</v>
      </c>
      <c r="I33" s="422">
        <v>1</v>
      </c>
      <c r="J33" s="383">
        <f>LOOKUP(I33,98:98,99:99)-LOOKUP(C33,98:98,99:99)+100</f>
        <v>100</v>
      </c>
      <c r="K33" s="558">
        <v>1</v>
      </c>
      <c r="L33" s="917"/>
      <c r="M33" s="908"/>
      <c r="N33" s="908"/>
      <c r="O33" s="916"/>
      <c r="P33" s="3752"/>
      <c r="Q33" s="3463" t="str">
        <f t="shared" si="11"/>
        <v>成新度</v>
      </c>
      <c r="R33" s="702" t="s">
        <v>14</v>
      </c>
      <c r="S33" s="703">
        <f t="shared" si="12"/>
        <v>100</v>
      </c>
      <c r="T33" s="702" t="s">
        <v>14</v>
      </c>
      <c r="U33" s="703">
        <f t="shared" si="13"/>
        <v>100</v>
      </c>
      <c r="V33" s="702" t="s">
        <v>14</v>
      </c>
      <c r="W33" s="703">
        <f t="shared" si="14"/>
        <v>100</v>
      </c>
      <c r="X33" s="3461"/>
      <c r="Y33" s="3752"/>
      <c r="Z33" s="3462" t="str">
        <f t="shared" si="15"/>
        <v>成新度</v>
      </c>
      <c r="AA33" s="3464">
        <f t="shared" si="3"/>
        <v>1</v>
      </c>
      <c r="AB33" s="3464">
        <f t="shared" si="4"/>
        <v>1</v>
      </c>
      <c r="AC33" s="3464">
        <f t="shared" si="5"/>
        <v>1</v>
      </c>
    </row>
    <row r="34" spans="1:29" s="105" customFormat="1" ht="15">
      <c r="A34" s="421"/>
      <c r="B34" s="372" t="s">
        <v>1819</v>
      </c>
      <c r="C34" s="408" t="s">
        <v>3446</v>
      </c>
      <c r="D34" s="124">
        <v>100</v>
      </c>
      <c r="E34" s="408" t="s">
        <v>3446</v>
      </c>
      <c r="F34" s="409">
        <f>SUMIF(100:100,E34,101:101)-SUMIF(100:100,C34,101:101)+100</f>
        <v>100</v>
      </c>
      <c r="G34" s="408" t="s">
        <v>3446</v>
      </c>
      <c r="H34" s="383">
        <f>SUMIF(100:100,G34,101:101)-SUMIF(100:100,C34,101:101)+100</f>
        <v>100</v>
      </c>
      <c r="I34" s="408" t="s">
        <v>3446</v>
      </c>
      <c r="J34" s="383">
        <f>SUMIF(100:100,I34,101:101)-SUMIF(100:100,C34,101:101)+100</f>
        <v>100</v>
      </c>
      <c r="K34" s="558">
        <v>1</v>
      </c>
      <c r="L34" s="909"/>
      <c r="M34" s="910"/>
      <c r="N34" s="910"/>
      <c r="O34" s="911"/>
      <c r="P34" s="3752"/>
      <c r="Q34" s="3459" t="str">
        <f t="shared" si="11"/>
        <v>物业管理</v>
      </c>
      <c r="R34" s="698" t="s">
        <v>14</v>
      </c>
      <c r="S34" s="699">
        <f t="shared" si="12"/>
        <v>100</v>
      </c>
      <c r="T34" s="698" t="s">
        <v>14</v>
      </c>
      <c r="U34" s="699">
        <f t="shared" si="13"/>
        <v>100</v>
      </c>
      <c r="V34" s="698" t="s">
        <v>14</v>
      </c>
      <c r="W34" s="699">
        <f t="shared" si="14"/>
        <v>100</v>
      </c>
      <c r="X34" s="700"/>
      <c r="Y34" s="3752"/>
      <c r="Z34" s="3452" t="str">
        <f t="shared" si="15"/>
        <v>物业管理</v>
      </c>
      <c r="AA34" s="701">
        <f t="shared" si="3"/>
        <v>1</v>
      </c>
      <c r="AB34" s="701">
        <f t="shared" si="4"/>
        <v>1</v>
      </c>
      <c r="AC34" s="701">
        <f t="shared" si="5"/>
        <v>1</v>
      </c>
    </row>
    <row r="35" spans="1:29" ht="15">
      <c r="A35" s="420"/>
      <c r="B35" s="372" t="s">
        <v>1787</v>
      </c>
      <c r="C35" s="408" t="s">
        <v>3447</v>
      </c>
      <c r="D35" s="383">
        <v>100</v>
      </c>
      <c r="E35" s="408" t="s">
        <v>3447</v>
      </c>
      <c r="F35" s="409">
        <f>SUMIF(102:102,E35,103:103)-SUMIF(102:102,C35,103:103)+100</f>
        <v>100</v>
      </c>
      <c r="G35" s="408" t="s">
        <v>3447</v>
      </c>
      <c r="H35" s="383">
        <f>SUMIF(102:102,G35,103:103)-SUMIF(102:102,C35,103:103)+100</f>
        <v>100</v>
      </c>
      <c r="I35" s="408" t="s">
        <v>3447</v>
      </c>
      <c r="J35" s="383">
        <f>SUMIF(102:102,I35,103:103)-SUMIF(102:102,C35,103:103)+100</f>
        <v>100</v>
      </c>
      <c r="K35" s="558">
        <v>1</v>
      </c>
      <c r="L35" s="917"/>
      <c r="M35" s="908"/>
      <c r="N35" s="908"/>
      <c r="O35" s="916"/>
      <c r="P35" s="3752" t="s">
        <v>1696</v>
      </c>
      <c r="Q35" s="3463" t="str">
        <f t="shared" si="11"/>
        <v>市政基础设施</v>
      </c>
      <c r="R35" s="702" t="s">
        <v>14</v>
      </c>
      <c r="S35" s="703">
        <f t="shared" si="12"/>
        <v>100</v>
      </c>
      <c r="T35" s="702" t="s">
        <v>14</v>
      </c>
      <c r="U35" s="703">
        <f t="shared" si="13"/>
        <v>100</v>
      </c>
      <c r="V35" s="702" t="s">
        <v>14</v>
      </c>
      <c r="W35" s="703">
        <f t="shared" si="14"/>
        <v>100</v>
      </c>
      <c r="X35" s="3461"/>
      <c r="Y35" s="3752" t="s">
        <v>1696</v>
      </c>
      <c r="Z35" s="3462" t="str">
        <f t="shared" si="15"/>
        <v>市政基础设施</v>
      </c>
      <c r="AA35" s="3464">
        <f t="shared" si="3"/>
        <v>1</v>
      </c>
      <c r="AB35" s="3464">
        <f t="shared" si="4"/>
        <v>1</v>
      </c>
      <c r="AC35" s="3464">
        <f t="shared" si="5"/>
        <v>1</v>
      </c>
    </row>
    <row r="36" spans="1:29" ht="15">
      <c r="A36" s="420"/>
      <c r="B36" s="372" t="s">
        <v>1792</v>
      </c>
      <c r="C36" s="408" t="s">
        <v>3435</v>
      </c>
      <c r="D36" s="383">
        <v>100</v>
      </c>
      <c r="E36" s="408" t="s">
        <v>3434</v>
      </c>
      <c r="F36" s="409">
        <f>SUMIF(104:104,E36,105:105)-SUMIF(104:104,C36,105:105)+100</f>
        <v>102</v>
      </c>
      <c r="G36" s="408" t="s">
        <v>3434</v>
      </c>
      <c r="H36" s="383">
        <f>SUMIF(104:104,G36,105:105)-SUMIF(104:104,C36,105:105)+100</f>
        <v>102</v>
      </c>
      <c r="I36" s="408" t="s">
        <v>3434</v>
      </c>
      <c r="J36" s="383">
        <f>SUMIF(104:104,I36,105:105)-SUMIF(104:104,C36,105:105)+100</f>
        <v>102</v>
      </c>
      <c r="K36" s="558">
        <v>2</v>
      </c>
      <c r="L36" s="917"/>
      <c r="M36" s="908"/>
      <c r="N36" s="908"/>
      <c r="O36" s="916"/>
      <c r="P36" s="3752"/>
      <c r="Q36" s="3463" t="str">
        <f t="shared" si="11"/>
        <v>内部装修</v>
      </c>
      <c r="R36" s="702" t="s">
        <v>14</v>
      </c>
      <c r="S36" s="703">
        <f t="shared" si="12"/>
        <v>102</v>
      </c>
      <c r="T36" s="702" t="s">
        <v>14</v>
      </c>
      <c r="U36" s="703">
        <f t="shared" si="13"/>
        <v>102</v>
      </c>
      <c r="V36" s="702" t="s">
        <v>14</v>
      </c>
      <c r="W36" s="703">
        <f t="shared" si="14"/>
        <v>102</v>
      </c>
      <c r="X36" s="3461"/>
      <c r="Y36" s="3752"/>
      <c r="Z36" s="3462" t="str">
        <f t="shared" si="15"/>
        <v>内部装修</v>
      </c>
      <c r="AA36" s="3464">
        <f t="shared" si="3"/>
        <v>0.98039215686274506</v>
      </c>
      <c r="AB36" s="3464">
        <f t="shared" si="4"/>
        <v>0.98039215686274506</v>
      </c>
      <c r="AC36" s="3464">
        <f t="shared" si="5"/>
        <v>0.98039215686274506</v>
      </c>
    </row>
    <row r="37" spans="1:29" ht="15">
      <c r="A37" s="420"/>
      <c r="B37" s="372" t="s">
        <v>1828</v>
      </c>
      <c r="C37" s="562" t="s">
        <v>3460</v>
      </c>
      <c r="D37" s="383">
        <v>100</v>
      </c>
      <c r="E37" s="562" t="s">
        <v>3400</v>
      </c>
      <c r="F37" s="409">
        <f>SUMIF(106:106,E37,107:107)-SUMIF(106:106,C37,107:107)+100</f>
        <v>101</v>
      </c>
      <c r="G37" s="562" t="s">
        <v>3400</v>
      </c>
      <c r="H37" s="383">
        <f>SUMIF(106:106,G37,107:107)-SUMIF(106:106,C37,107:107)+100</f>
        <v>101</v>
      </c>
      <c r="I37" s="562" t="s">
        <v>3400</v>
      </c>
      <c r="J37" s="383">
        <f>SUMIF(106:106,I37,107:107)-SUMIF(106:106,C37,107:107)+100</f>
        <v>101</v>
      </c>
      <c r="K37" s="558">
        <v>1</v>
      </c>
      <c r="L37" s="917"/>
      <c r="M37" s="908"/>
      <c r="N37" s="908"/>
      <c r="O37" s="916"/>
      <c r="P37" s="3752"/>
      <c r="Q37" s="3463" t="str">
        <f t="shared" si="11"/>
        <v>内部装修状况</v>
      </c>
      <c r="R37" s="702" t="s">
        <v>14</v>
      </c>
      <c r="S37" s="703">
        <f t="shared" si="12"/>
        <v>101</v>
      </c>
      <c r="T37" s="702" t="s">
        <v>14</v>
      </c>
      <c r="U37" s="703">
        <f t="shared" si="13"/>
        <v>101</v>
      </c>
      <c r="V37" s="702" t="s">
        <v>14</v>
      </c>
      <c r="W37" s="703">
        <f t="shared" si="14"/>
        <v>101</v>
      </c>
      <c r="X37" s="3461"/>
      <c r="Y37" s="3752"/>
      <c r="Z37" s="3462" t="str">
        <f t="shared" si="15"/>
        <v>内部装修状况</v>
      </c>
      <c r="AA37" s="3464">
        <f t="shared" si="3"/>
        <v>0.99009900990099009</v>
      </c>
      <c r="AB37" s="3464">
        <f t="shared" si="4"/>
        <v>0.99009900990099009</v>
      </c>
      <c r="AC37" s="3464">
        <f t="shared" si="5"/>
        <v>0.99009900990099009</v>
      </c>
    </row>
    <row r="38" spans="1:29" s="419" customFormat="1" ht="15.75" thickBot="1">
      <c r="A38" s="416"/>
      <c r="B38" s="3482" t="s">
        <v>3457</v>
      </c>
      <c r="C38" s="3486" t="s">
        <v>3462</v>
      </c>
      <c r="D38" s="383">
        <v>100</v>
      </c>
      <c r="E38" s="3487" t="s">
        <v>3464</v>
      </c>
      <c r="F38" s="409">
        <f>SUMIF(108:108,E38,109:109)-SUMIF(108:108,C38,109:109)+100</f>
        <v>100</v>
      </c>
      <c r="G38" s="3486" t="s">
        <v>3463</v>
      </c>
      <c r="H38" s="383">
        <f>SUMIF(108:108,G38,109:109)-SUMIF(108:108,C38,109:109)+100</f>
        <v>102</v>
      </c>
      <c r="I38" s="3486" t="s">
        <v>3464</v>
      </c>
      <c r="J38" s="383">
        <f>SUMIF(108:108,I38,109:1038)-SUMIF(108:108,C38,109:109)+100</f>
        <v>100</v>
      </c>
      <c r="K38" s="559"/>
      <c r="L38" s="915"/>
      <c r="M38" s="918"/>
      <c r="N38" s="918"/>
      <c r="O38" s="919"/>
      <c r="P38" s="3752"/>
      <c r="Q38" s="704" t="str">
        <f t="shared" si="11"/>
        <v>建筑档次</v>
      </c>
      <c r="R38" s="705" t="s">
        <v>14</v>
      </c>
      <c r="S38" s="706">
        <f t="shared" si="12"/>
        <v>100</v>
      </c>
      <c r="T38" s="705" t="s">
        <v>14</v>
      </c>
      <c r="U38" s="706">
        <f t="shared" si="13"/>
        <v>102</v>
      </c>
      <c r="V38" s="705" t="s">
        <v>14</v>
      </c>
      <c r="W38" s="706">
        <f t="shared" si="14"/>
        <v>100</v>
      </c>
      <c r="X38" s="707"/>
      <c r="Y38" s="3752"/>
      <c r="Z38" s="708" t="str">
        <f t="shared" si="15"/>
        <v>建筑档次</v>
      </c>
      <c r="AA38" s="3464">
        <f t="shared" si="3"/>
        <v>1</v>
      </c>
      <c r="AB38" s="3464">
        <f t="shared" si="4"/>
        <v>0.98039215686274506</v>
      </c>
      <c r="AC38" s="3464">
        <f t="shared" si="5"/>
        <v>1</v>
      </c>
    </row>
    <row r="39" spans="1:29" ht="15.75" hidden="1" thickBot="1">
      <c r="A39" s="420"/>
      <c r="B39" s="1127">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7"/>
      <c r="M39" s="908"/>
      <c r="N39" s="908"/>
      <c r="O39" s="916"/>
      <c r="P39" s="3752"/>
      <c r="Q39" s="3463">
        <f t="shared" si="11"/>
        <v>111</v>
      </c>
      <c r="R39" s="702" t="s">
        <v>14</v>
      </c>
      <c r="S39" s="703">
        <f t="shared" si="12"/>
        <v>100</v>
      </c>
      <c r="T39" s="702" t="s">
        <v>14</v>
      </c>
      <c r="U39" s="703">
        <f t="shared" si="13"/>
        <v>100</v>
      </c>
      <c r="V39" s="702" t="s">
        <v>14</v>
      </c>
      <c r="W39" s="703">
        <f t="shared" si="14"/>
        <v>100</v>
      </c>
      <c r="X39" s="3461"/>
      <c r="Y39" s="3752"/>
      <c r="Z39" s="3462">
        <f t="shared" si="15"/>
        <v>111</v>
      </c>
      <c r="AA39" s="3464">
        <f t="shared" si="3"/>
        <v>1</v>
      </c>
      <c r="AB39" s="3464">
        <f t="shared" si="4"/>
        <v>1</v>
      </c>
      <c r="AC39" s="3464">
        <f t="shared" si="5"/>
        <v>1</v>
      </c>
    </row>
    <row r="40" spans="1:29" ht="15.75" hidden="1" thickBot="1">
      <c r="A40" s="426"/>
      <c r="B40" s="1889">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7"/>
      <c r="M40" s="908"/>
      <c r="N40" s="908"/>
      <c r="O40" s="916"/>
      <c r="P40" s="3753"/>
      <c r="Q40" s="3463">
        <f t="shared" si="11"/>
        <v>111</v>
      </c>
      <c r="R40" s="702" t="s">
        <v>14</v>
      </c>
      <c r="S40" s="703">
        <f t="shared" si="12"/>
        <v>100</v>
      </c>
      <c r="T40" s="702" t="s">
        <v>14</v>
      </c>
      <c r="U40" s="703">
        <f t="shared" si="13"/>
        <v>100</v>
      </c>
      <c r="V40" s="702" t="s">
        <v>14</v>
      </c>
      <c r="W40" s="703">
        <f t="shared" si="14"/>
        <v>100</v>
      </c>
      <c r="X40" s="3461"/>
      <c r="Y40" s="3753"/>
      <c r="Z40" s="3462">
        <f t="shared" si="15"/>
        <v>111</v>
      </c>
      <c r="AA40" s="3464">
        <f t="shared" si="3"/>
        <v>1</v>
      </c>
      <c r="AB40" s="3464">
        <f t="shared" si="4"/>
        <v>1</v>
      </c>
      <c r="AC40" s="3464">
        <f t="shared" si="5"/>
        <v>1</v>
      </c>
    </row>
    <row r="41" spans="1:29" ht="15">
      <c r="A41" s="427" t="s">
        <v>1708</v>
      </c>
      <c r="B41" s="428"/>
      <c r="C41" s="1148" t="s">
        <v>0</v>
      </c>
      <c r="D41" s="1149"/>
      <c r="E41" s="1150">
        <v>3</v>
      </c>
      <c r="F41" s="1151"/>
      <c r="G41" s="1152">
        <v>2.7</v>
      </c>
      <c r="H41" s="1153"/>
      <c r="I41" s="1150">
        <v>3</v>
      </c>
      <c r="J41" s="1153"/>
      <c r="K41" s="711"/>
      <c r="L41" s="920"/>
      <c r="M41" s="921"/>
      <c r="N41" s="908"/>
      <c r="O41" s="921"/>
      <c r="P41" s="3745" t="str">
        <f>A41</f>
        <v>成交单价（元/平方米）</v>
      </c>
      <c r="Q41" s="3745"/>
      <c r="R41" s="3746">
        <f>E41</f>
        <v>3</v>
      </c>
      <c r="S41" s="3746"/>
      <c r="T41" s="3746">
        <f>G41</f>
        <v>2.7</v>
      </c>
      <c r="U41" s="3746"/>
      <c r="V41" s="3746">
        <f>I41</f>
        <v>3</v>
      </c>
      <c r="W41" s="3746"/>
      <c r="X41" s="687"/>
      <c r="Y41" s="709"/>
      <c r="Z41" s="687"/>
      <c r="AA41" s="687"/>
      <c r="AB41" s="687"/>
      <c r="AC41" s="687"/>
    </row>
    <row r="42" spans="1:29" ht="15.75" thickBot="1">
      <c r="A42" s="434" t="s">
        <v>1709</v>
      </c>
      <c r="B42" s="435"/>
      <c r="C42" s="1154">
        <f>R43</f>
        <v>2.2999999999999998</v>
      </c>
      <c r="D42" s="2311" t="s">
        <v>2138</v>
      </c>
      <c r="E42" s="1155">
        <f>R42</f>
        <v>2.4</v>
      </c>
      <c r="F42" s="2312"/>
      <c r="G42" s="1154">
        <f>T42</f>
        <v>2.1</v>
      </c>
      <c r="H42" s="2312"/>
      <c r="I42" s="1155">
        <f>V42</f>
        <v>2.4</v>
      </c>
      <c r="J42" s="2312"/>
      <c r="K42" s="2314">
        <f>F42+H42+J42</f>
        <v>0</v>
      </c>
      <c r="L42" s="920"/>
      <c r="M42" s="921"/>
      <c r="N42" s="908"/>
      <c r="O42" s="921"/>
      <c r="P42" s="3745" t="str">
        <f>A42</f>
        <v>比较价值（元/平方米）</v>
      </c>
      <c r="Q42" s="3745"/>
      <c r="R42" s="3746">
        <f>IF(F1="售价",ROUND(PRODUCT(R41,AA7:AA40),0),ROUND(PRODUCT(R41,AA7:AA40),1))</f>
        <v>2.4</v>
      </c>
      <c r="S42" s="3746"/>
      <c r="T42" s="3746">
        <f>IF(F1="售价",ROUND(PRODUCT(T41,AB7:AB40),0),ROUND(PRODUCT(T41,AB7:AB40),1))</f>
        <v>2.1</v>
      </c>
      <c r="U42" s="3746"/>
      <c r="V42" s="3746">
        <f>IF(F1="售价",ROUND(PRODUCT(V41,AC7:AC40),0),ROUND(PRODUCT(V41,AC7:AC40),1))</f>
        <v>2.4</v>
      </c>
      <c r="W42" s="3746"/>
      <c r="X42" s="687"/>
      <c r="Y42" s="687"/>
      <c r="Z42" s="687"/>
      <c r="AA42" s="687"/>
      <c r="AB42" s="687"/>
      <c r="AC42" s="687"/>
    </row>
    <row r="43" spans="1:29" ht="15.75" thickBot="1">
      <c r="A43" s="438" t="s">
        <v>1710</v>
      </c>
      <c r="B43" s="439"/>
      <c r="C43" s="1157">
        <f>R43</f>
        <v>2.2999999999999998</v>
      </c>
      <c r="D43" s="1157"/>
      <c r="E43" s="1157"/>
      <c r="F43" s="1157"/>
      <c r="G43" s="1157"/>
      <c r="H43" s="1157"/>
      <c r="I43" s="1157"/>
      <c r="J43" s="1157"/>
      <c r="K43" s="712"/>
      <c r="L43" s="920"/>
      <c r="M43" s="921"/>
      <c r="N43" s="921"/>
      <c r="O43" s="921"/>
      <c r="P43" s="3742" t="str">
        <f>A43</f>
        <v>估价对象XX用房的比较价值（楼面单价，元/平方米）</v>
      </c>
      <c r="Q43" s="3743"/>
      <c r="R43" s="3744">
        <f>IF(F1="售价",ROUND(IF(D42="简单平均",AVERAGE(R42:V42),R42*F42+T42*H42+V42*J42),0),ROUND(IF(D42="简单平均",AVERAGE(R42:V42),R42*F42+T42*H42+V42*J42),1))</f>
        <v>2.2999999999999998</v>
      </c>
      <c r="S43" s="3744"/>
      <c r="T43" s="3744"/>
      <c r="U43" s="3744"/>
      <c r="V43" s="3744"/>
      <c r="W43" s="3744"/>
      <c r="X43" s="687"/>
      <c r="Y43" s="687"/>
      <c r="Z43" s="687"/>
      <c r="AA43" s="687"/>
      <c r="AB43" s="687"/>
      <c r="AC43" s="687"/>
    </row>
    <row r="44" spans="1:29">
      <c r="A44" s="3489"/>
      <c r="B44" s="348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3" t="s">
        <v>1711</v>
      </c>
      <c r="D46" s="444"/>
      <c r="E46" s="445">
        <f>IF(E41&lt;E42,E42/E41-1,E41/E42-1)</f>
        <v>0.25</v>
      </c>
      <c r="F46" s="446" t="str">
        <f>IF(OR(E46&gt;=0.3,E46&lt;=-0.3),"超过30%","")</f>
        <v/>
      </c>
      <c r="G46" s="445">
        <f>IF(G41&lt;G42,G42/G41-1,G41/G42-1)</f>
        <v>0.28571428571428581</v>
      </c>
      <c r="H46" s="446" t="str">
        <f>IF(OR(G46&gt;=0.3,G46&lt;=-0.3),"超过30%","")</f>
        <v/>
      </c>
      <c r="I46" s="445">
        <f>IF(I41&lt;I42,I42/I41-1,I41/I42-1)</f>
        <v>0.25</v>
      </c>
      <c r="J46" s="446" t="str">
        <f>IF(OR(I46&gt;=0.3,I46&lt;=-0.3),"超过30%","")</f>
        <v/>
      </c>
      <c r="K46" s="2724"/>
      <c r="L46" s="883"/>
      <c r="M46" s="921"/>
      <c r="N46" s="921"/>
      <c r="O46" s="921"/>
    </row>
    <row r="47" spans="1:29" ht="13.5" customHeight="1">
      <c r="A47" s="2719"/>
      <c r="B47" s="2719"/>
      <c r="C47" s="443" t="s">
        <v>1712</v>
      </c>
      <c r="D47" s="447"/>
      <c r="E47" s="445">
        <f>IF(E42&lt;G42,G42/E42-1,E42/G42-1)</f>
        <v>0.14285714285714279</v>
      </c>
      <c r="F47" s="446" t="str">
        <f>IF(OR(E47&gt;=0.2,E47&lt;=-0.2),"超过20%","")</f>
        <v/>
      </c>
      <c r="G47" s="445">
        <f>IF(G42&lt;I42,I42/G42-1,G42/I42-1)</f>
        <v>0.14285714285714279</v>
      </c>
      <c r="H47" s="446" t="str">
        <f>IF(OR(G47&gt;=0.2,G47&lt;=-0.2),"超过20%","")</f>
        <v/>
      </c>
      <c r="I47" s="445">
        <f>IF(I42&lt;E42,E42/I42-1,I42/E42-1)</f>
        <v>0</v>
      </c>
      <c r="J47" s="446" t="str">
        <f>IF(OR(I47&gt;=0.2,I47&lt;=-0.2),"超过20%","")</f>
        <v/>
      </c>
      <c r="K47" s="2724"/>
      <c r="L47" s="883"/>
      <c r="M47" s="921"/>
      <c r="N47" s="921"/>
      <c r="O47" s="921"/>
    </row>
    <row r="48" spans="1:29" s="448" customFormat="1" ht="13.5" customHeight="1">
      <c r="A48" s="2722"/>
      <c r="B48" s="2722"/>
      <c r="C48" s="443" t="s">
        <v>1713</v>
      </c>
      <c r="D48" s="447"/>
      <c r="E48" s="445">
        <f>IF(E41&lt;G41,G41/E41-1,E41/G41-1)</f>
        <v>0.11111111111111094</v>
      </c>
      <c r="F48" s="446" t="str">
        <f>IF(OR(E48&gt;=0.3,E48&lt;=-0.3),"超过30%","")</f>
        <v/>
      </c>
      <c r="G48" s="445">
        <f>IF(G41&lt;I41,I41/G41-1,G41/I41-1)</f>
        <v>0.11111111111111094</v>
      </c>
      <c r="H48" s="446" t="str">
        <f>IF(OR(G48&gt;=0.3,G48&lt;=-0.3),"超过30%","")</f>
        <v/>
      </c>
      <c r="I48" s="445">
        <f>IF(I41&lt;E41,E41/I41-1,I41/E41-1)</f>
        <v>0</v>
      </c>
      <c r="J48" s="446" t="str">
        <f>IF(OR(I48&gt;=0.3,I48&lt;=-0.3),"超过30%","")</f>
        <v/>
      </c>
      <c r="K48" s="2727"/>
      <c r="L48" s="924"/>
      <c r="M48" s="922"/>
      <c r="N48" s="922"/>
      <c r="O48" s="922"/>
    </row>
    <row r="49" spans="1:17" s="448"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91" t="s">
        <v>1714</v>
      </c>
      <c r="B51" s="687"/>
      <c r="C51" s="692"/>
      <c r="D51" s="692"/>
      <c r="E51" s="692"/>
      <c r="F51" s="693"/>
      <c r="G51" s="693"/>
      <c r="H51" s="692"/>
      <c r="I51" s="692"/>
      <c r="J51" s="692"/>
      <c r="K51" s="935"/>
      <c r="L51" s="936"/>
      <c r="M51" s="934"/>
      <c r="N51" s="934"/>
      <c r="O51" s="934"/>
      <c r="P51" s="449"/>
      <c r="Q51" s="450"/>
    </row>
    <row r="52" spans="1:17" s="454" customFormat="1" ht="15">
      <c r="A52" s="451" t="s">
        <v>1679</v>
      </c>
      <c r="B52" s="452"/>
      <c r="C52" s="1178" t="str">
        <f>YEAR(C7)&amp;"-"&amp;MONTH(C7)</f>
        <v>2024-9</v>
      </c>
      <c r="D52" s="1179">
        <f>EDATE(C52,-1)</f>
        <v>45505</v>
      </c>
      <c r="E52" s="1179">
        <f t="shared" ref="E52:O52" si="16">EDATE(D52,-1)</f>
        <v>45474</v>
      </c>
      <c r="F52" s="1179">
        <f t="shared" si="16"/>
        <v>45444</v>
      </c>
      <c r="G52" s="1179">
        <f t="shared" si="16"/>
        <v>45413</v>
      </c>
      <c r="H52" s="1179">
        <f t="shared" si="16"/>
        <v>45383</v>
      </c>
      <c r="I52" s="1179">
        <f t="shared" si="16"/>
        <v>45352</v>
      </c>
      <c r="J52" s="1179">
        <f t="shared" si="16"/>
        <v>45323</v>
      </c>
      <c r="K52" s="1179">
        <f t="shared" si="16"/>
        <v>45292</v>
      </c>
      <c r="L52" s="1179">
        <f t="shared" si="16"/>
        <v>45261</v>
      </c>
      <c r="M52" s="1179">
        <f t="shared" si="16"/>
        <v>45231</v>
      </c>
      <c r="N52" s="1179">
        <f t="shared" si="16"/>
        <v>45200</v>
      </c>
      <c r="O52" s="1179">
        <f t="shared" si="16"/>
        <v>45170</v>
      </c>
      <c r="P52" s="453"/>
    </row>
    <row r="53" spans="1:17" s="105" customFormat="1" ht="15">
      <c r="A53" s="455"/>
      <c r="B53" s="456"/>
      <c r="C53" s="1177">
        <v>100</v>
      </c>
      <c r="D53" s="458"/>
      <c r="E53" s="458"/>
      <c r="F53" s="458"/>
      <c r="G53" s="458"/>
      <c r="H53" s="458"/>
      <c r="I53" s="458"/>
      <c r="J53" s="458"/>
      <c r="K53" s="458"/>
      <c r="L53" s="458"/>
      <c r="M53" s="459"/>
      <c r="N53" s="458"/>
      <c r="O53" s="460"/>
      <c r="P53" s="450"/>
    </row>
    <row r="54" spans="1:17" s="105" customFormat="1" ht="15.75" thickBot="1">
      <c r="A54" s="461" t="s">
        <v>1716</v>
      </c>
      <c r="B54" s="462"/>
      <c r="C54" s="463"/>
      <c r="D54" s="464"/>
      <c r="E54" s="464"/>
      <c r="F54" s="464"/>
      <c r="G54" s="464"/>
      <c r="H54" s="464"/>
      <c r="I54" s="464"/>
      <c r="J54" s="464"/>
      <c r="K54" s="464"/>
      <c r="L54" s="464"/>
      <c r="M54" s="465"/>
      <c r="N54" s="2764"/>
      <c r="O54" s="2765"/>
      <c r="P54" s="450"/>
      <c r="Q54" s="450"/>
    </row>
    <row r="55" spans="1:17" s="105" customFormat="1" ht="15">
      <c r="A55" s="467" t="s">
        <v>1681</v>
      </c>
      <c r="B55" s="456"/>
      <c r="C55" s="468" t="s">
        <v>1718</v>
      </c>
      <c r="D55" s="3477" t="s">
        <v>3425</v>
      </c>
      <c r="E55" s="469"/>
      <c r="F55" s="469"/>
      <c r="G55" s="469"/>
      <c r="H55" s="469"/>
      <c r="I55" s="469"/>
      <c r="J55" s="469"/>
      <c r="K55" s="469"/>
      <c r="L55" s="470"/>
      <c r="M55" s="471"/>
      <c r="N55" s="926"/>
      <c r="O55" s="926"/>
      <c r="P55" s="472"/>
      <c r="Q55" s="450"/>
    </row>
    <row r="56" spans="1:17" s="105" customFormat="1" ht="15.75" thickBot="1">
      <c r="A56" s="467"/>
      <c r="B56" s="456"/>
      <c r="C56" s="584">
        <v>100</v>
      </c>
      <c r="D56" s="458">
        <v>105</v>
      </c>
      <c r="E56" s="458"/>
      <c r="F56" s="458"/>
      <c r="G56" s="458"/>
      <c r="H56" s="458"/>
      <c r="I56" s="458"/>
      <c r="J56" s="458"/>
      <c r="K56" s="458"/>
      <c r="L56" s="458"/>
      <c r="M56" s="460"/>
      <c r="N56" s="926"/>
      <c r="O56" s="926"/>
      <c r="P56" s="450"/>
      <c r="Q56" s="450"/>
    </row>
    <row r="57" spans="1:17">
      <c r="A57" s="473" t="s">
        <v>1719</v>
      </c>
      <c r="B57" s="474" t="s">
        <v>1685</v>
      </c>
      <c r="C57" s="475" t="str">
        <f>C9</f>
        <v>工业研发</v>
      </c>
      <c r="D57" s="476"/>
      <c r="E57" s="476"/>
      <c r="F57" s="476"/>
      <c r="G57" s="476"/>
      <c r="H57" s="476"/>
      <c r="I57" s="476"/>
      <c r="J57" s="476"/>
      <c r="K57" s="477"/>
      <c r="L57" s="478"/>
      <c r="M57" s="479"/>
      <c r="N57" s="927"/>
      <c r="O57" s="927"/>
      <c r="P57" s="42"/>
      <c r="Q57" s="450"/>
    </row>
    <row r="58" spans="1:17" ht="15.75" thickBot="1">
      <c r="A58" s="480"/>
      <c r="B58" s="481"/>
      <c r="C58" s="482">
        <v>100</v>
      </c>
      <c r="D58" s="482"/>
      <c r="E58" s="482"/>
      <c r="F58" s="482"/>
      <c r="G58" s="482"/>
      <c r="H58" s="482"/>
      <c r="I58" s="482"/>
      <c r="J58" s="482"/>
      <c r="K58" s="482"/>
      <c r="L58" s="482"/>
      <c r="M58" s="483"/>
      <c r="N58" s="928"/>
      <c r="O58" s="928"/>
      <c r="P58" s="42"/>
      <c r="Q58" s="450"/>
    </row>
    <row r="59" spans="1:17" ht="27.75" thickTop="1">
      <c r="A59" s="480"/>
      <c r="B59" s="484" t="s">
        <v>1688</v>
      </c>
      <c r="C59" s="529"/>
      <c r="D59" s="529"/>
      <c r="E59" s="529"/>
      <c r="F59" s="529"/>
      <c r="G59" s="529"/>
      <c r="H59" s="529"/>
      <c r="I59" s="529"/>
      <c r="J59" s="529"/>
      <c r="K59" s="530"/>
      <c r="L59" s="531"/>
      <c r="M59" s="532"/>
      <c r="N59" s="927"/>
      <c r="O59" s="927"/>
      <c r="P59" s="42"/>
      <c r="Q59" s="450"/>
    </row>
    <row r="60" spans="1:17" ht="15.75" thickBot="1">
      <c r="A60" s="480"/>
      <c r="B60" s="489"/>
      <c r="C60" s="482"/>
      <c r="D60" s="482"/>
      <c r="E60" s="482"/>
      <c r="F60" s="482"/>
      <c r="G60" s="482"/>
      <c r="H60" s="482"/>
      <c r="I60" s="482"/>
      <c r="J60" s="482"/>
      <c r="K60" s="482"/>
      <c r="L60" s="482"/>
      <c r="M60" s="483"/>
      <c r="N60" s="928"/>
      <c r="O60" s="928"/>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8"/>
      <c r="O61" s="928"/>
      <c r="P61" s="42"/>
      <c r="Q61" s="450"/>
    </row>
    <row r="62" spans="1:17" ht="15">
      <c r="A62" s="480"/>
      <c r="B62" s="494"/>
      <c r="C62" s="495">
        <v>0</v>
      </c>
      <c r="D62" s="495">
        <v>2</v>
      </c>
      <c r="E62" s="495"/>
      <c r="F62" s="495"/>
      <c r="G62" s="495"/>
      <c r="H62" s="495"/>
      <c r="I62" s="495"/>
      <c r="J62" s="495"/>
      <c r="K62" s="496"/>
      <c r="L62" s="497"/>
      <c r="M62" s="498"/>
      <c r="N62" s="927"/>
      <c r="O62" s="927"/>
      <c r="P62" s="42"/>
      <c r="Q62" s="450"/>
    </row>
    <row r="63" spans="1:17" ht="15.75" thickBot="1">
      <c r="A63" s="480"/>
      <c r="B63" s="481"/>
      <c r="C63" s="490">
        <v>100</v>
      </c>
      <c r="D63" s="490">
        <f t="shared" ref="D63:M63" si="18">C63-$K11</f>
        <v>98</v>
      </c>
      <c r="E63" s="490">
        <f t="shared" si="18"/>
        <v>96</v>
      </c>
      <c r="F63" s="490">
        <f t="shared" si="18"/>
        <v>94</v>
      </c>
      <c r="G63" s="490">
        <f t="shared" si="18"/>
        <v>92</v>
      </c>
      <c r="H63" s="490">
        <f t="shared" si="18"/>
        <v>90</v>
      </c>
      <c r="I63" s="490">
        <f t="shared" si="18"/>
        <v>88</v>
      </c>
      <c r="J63" s="490">
        <f t="shared" si="18"/>
        <v>86</v>
      </c>
      <c r="K63" s="490">
        <f t="shared" si="18"/>
        <v>84</v>
      </c>
      <c r="L63" s="490">
        <f t="shared" si="18"/>
        <v>82</v>
      </c>
      <c r="M63" s="491">
        <f t="shared" si="18"/>
        <v>80</v>
      </c>
      <c r="N63" s="928"/>
      <c r="O63" s="928"/>
      <c r="P63" s="42"/>
      <c r="Q63" s="450"/>
    </row>
    <row r="64" spans="1:17" s="419" customFormat="1" ht="15.75" thickTop="1">
      <c r="A64" s="499"/>
      <c r="B64" s="484">
        <f>B12</f>
        <v>111</v>
      </c>
      <c r="C64" s="500"/>
      <c r="D64" s="500"/>
      <c r="E64" s="500"/>
      <c r="F64" s="500"/>
      <c r="G64" s="500"/>
      <c r="H64" s="501"/>
      <c r="I64" s="501"/>
      <c r="J64" s="501"/>
      <c r="K64" s="501"/>
      <c r="L64" s="502"/>
      <c r="M64" s="503"/>
      <c r="N64" s="929"/>
      <c r="O64" s="929"/>
      <c r="P64" s="504"/>
      <c r="Q64" s="505"/>
    </row>
    <row r="65" spans="1:17" s="419" customFormat="1" ht="15.75" thickBot="1">
      <c r="A65" s="499"/>
      <c r="B65" s="489"/>
      <c r="C65" s="506"/>
      <c r="D65" s="482"/>
      <c r="E65" s="482"/>
      <c r="F65" s="482"/>
      <c r="G65" s="482"/>
      <c r="H65" s="482"/>
      <c r="I65" s="482"/>
      <c r="J65" s="482"/>
      <c r="K65" s="482"/>
      <c r="L65" s="482"/>
      <c r="M65" s="483"/>
      <c r="N65" s="928"/>
      <c r="O65" s="928"/>
      <c r="P65" s="504"/>
      <c r="Q65" s="505"/>
    </row>
    <row r="66" spans="1:17" s="419" customFormat="1" ht="15.75" thickTop="1">
      <c r="A66" s="499"/>
      <c r="B66" s="484">
        <f>B13</f>
        <v>111</v>
      </c>
      <c r="C66" s="500"/>
      <c r="D66" s="500"/>
      <c r="E66" s="500"/>
      <c r="F66" s="500"/>
      <c r="G66" s="500"/>
      <c r="H66" s="501"/>
      <c r="I66" s="501"/>
      <c r="J66" s="501"/>
      <c r="K66" s="501"/>
      <c r="L66" s="502"/>
      <c r="M66" s="503"/>
      <c r="N66" s="929"/>
      <c r="O66" s="929"/>
      <c r="P66" s="418"/>
      <c r="Q66" s="507"/>
    </row>
    <row r="67" spans="1:17" s="419" customFormat="1" ht="15.75" thickBot="1">
      <c r="A67" s="499"/>
      <c r="B67" s="489"/>
      <c r="C67" s="506"/>
      <c r="D67" s="482"/>
      <c r="E67" s="482"/>
      <c r="F67" s="482"/>
      <c r="G67" s="506"/>
      <c r="H67" s="508"/>
      <c r="I67" s="508"/>
      <c r="J67" s="508"/>
      <c r="K67" s="508"/>
      <c r="L67" s="508"/>
      <c r="M67" s="509"/>
      <c r="N67" s="929"/>
      <c r="O67" s="929"/>
      <c r="P67" s="504"/>
      <c r="Q67" s="505"/>
    </row>
    <row r="68" spans="1:17" s="419" customFormat="1" ht="15.75" thickTop="1">
      <c r="A68" s="499"/>
      <c r="B68" s="492">
        <f>B14</f>
        <v>111</v>
      </c>
      <c r="C68" s="469"/>
      <c r="D68" s="469"/>
      <c r="E68" s="469"/>
      <c r="F68" s="469"/>
      <c r="G68" s="469"/>
      <c r="H68" s="510"/>
      <c r="I68" s="510"/>
      <c r="J68" s="510"/>
      <c r="K68" s="510"/>
      <c r="L68" s="511"/>
      <c r="M68" s="512"/>
      <c r="N68" s="929"/>
      <c r="O68" s="929"/>
      <c r="P68" s="513"/>
      <c r="Q68" s="505"/>
    </row>
    <row r="69" spans="1:17" s="419" customFormat="1" ht="15.75" thickBot="1">
      <c r="A69" s="514"/>
      <c r="B69" s="515"/>
      <c r="C69" s="516"/>
      <c r="D69" s="516"/>
      <c r="E69" s="516"/>
      <c r="F69" s="516"/>
      <c r="G69" s="516"/>
      <c r="H69" s="517"/>
      <c r="I69" s="517"/>
      <c r="J69" s="517"/>
      <c r="K69" s="517"/>
      <c r="L69" s="517"/>
      <c r="M69" s="518"/>
      <c r="N69" s="929"/>
      <c r="O69" s="929"/>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7"/>
      <c r="O70" s="927"/>
      <c r="P70" s="523"/>
      <c r="Q70" s="450"/>
    </row>
    <row r="71" spans="1:17" ht="15.75" thickBot="1">
      <c r="A71" s="480"/>
      <c r="B71" s="489"/>
      <c r="C71" s="490">
        <v>100</v>
      </c>
      <c r="D71" s="490">
        <f>C71-$K15</f>
        <v>98</v>
      </c>
      <c r="E71" s="490">
        <f>D71-$K15</f>
        <v>96</v>
      </c>
      <c r="F71" s="490">
        <f>E71-$K15</f>
        <v>94</v>
      </c>
      <c r="G71" s="490">
        <f>F71-$K15</f>
        <v>92</v>
      </c>
      <c r="H71" s="490"/>
      <c r="I71" s="490"/>
      <c r="J71" s="490"/>
      <c r="K71" s="490"/>
      <c r="L71" s="490"/>
      <c r="M71" s="491"/>
      <c r="N71" s="928"/>
      <c r="O71" s="928"/>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7"/>
      <c r="O72" s="927"/>
      <c r="P72" s="42"/>
      <c r="Q72" s="450"/>
    </row>
    <row r="73" spans="1:17" ht="15.75" thickBot="1">
      <c r="A73" s="480"/>
      <c r="B73" s="489"/>
      <c r="C73" s="490">
        <v>100</v>
      </c>
      <c r="D73" s="490">
        <f>C73-$K17</f>
        <v>98</v>
      </c>
      <c r="E73" s="490">
        <f>D73-$K17</f>
        <v>96</v>
      </c>
      <c r="F73" s="490">
        <f>E73-$K17</f>
        <v>94</v>
      </c>
      <c r="G73" s="490">
        <f>F73-$K17</f>
        <v>92</v>
      </c>
      <c r="H73" s="490"/>
      <c r="I73" s="490"/>
      <c r="J73" s="490"/>
      <c r="K73" s="490"/>
      <c r="L73" s="490"/>
      <c r="M73" s="491"/>
      <c r="N73" s="928"/>
      <c r="O73" s="928"/>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7"/>
      <c r="O74" s="927"/>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8"/>
      <c r="O75" s="928"/>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3"/>
      <c r="N76" s="928"/>
      <c r="O76" s="928"/>
      <c r="P76" s="42"/>
      <c r="Q76" s="450"/>
    </row>
    <row r="77" spans="1:17" ht="15.75" thickBot="1">
      <c r="A77" s="480"/>
      <c r="B77" s="492"/>
      <c r="C77" s="490">
        <v>100</v>
      </c>
      <c r="D77" s="490">
        <f>C77-$K21</f>
        <v>98</v>
      </c>
      <c r="E77" s="490">
        <f>D77-$K21</f>
        <v>96</v>
      </c>
      <c r="F77" s="490">
        <f>E77-$K21</f>
        <v>94</v>
      </c>
      <c r="G77" s="490">
        <f>F77-$K21</f>
        <v>92</v>
      </c>
      <c r="H77" s="605"/>
      <c r="I77" s="605"/>
      <c r="J77" s="605"/>
      <c r="K77" s="605"/>
      <c r="L77" s="605"/>
      <c r="M77" s="398"/>
      <c r="N77" s="928"/>
      <c r="O77" s="928"/>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7"/>
      <c r="O78" s="927"/>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8"/>
      <c r="O79" s="928"/>
      <c r="P79" s="42"/>
      <c r="Q79" s="450"/>
    </row>
    <row r="80" spans="1:17" s="105" customFormat="1" ht="15.75" thickTop="1">
      <c r="A80" s="525"/>
      <c r="B80" s="484">
        <f>B25</f>
        <v>111</v>
      </c>
      <c r="C80" s="500"/>
      <c r="D80" s="500"/>
      <c r="E80" s="500"/>
      <c r="F80" s="500"/>
      <c r="G80" s="500"/>
      <c r="H80" s="500"/>
      <c r="I80" s="500"/>
      <c r="J80" s="500"/>
      <c r="K80" s="500"/>
      <c r="L80" s="526"/>
      <c r="M80" s="527"/>
      <c r="N80" s="926"/>
      <c r="O80" s="926"/>
      <c r="P80" s="42"/>
      <c r="Q80" s="450"/>
    </row>
    <row r="81" spans="1:17" s="105" customFormat="1" ht="15.75" thickBot="1">
      <c r="A81" s="525"/>
      <c r="B81" s="489"/>
      <c r="C81" s="506"/>
      <c r="D81" s="482"/>
      <c r="E81" s="482"/>
      <c r="F81" s="482"/>
      <c r="G81" s="482"/>
      <c r="H81" s="482"/>
      <c r="I81" s="482"/>
      <c r="J81" s="482"/>
      <c r="K81" s="482"/>
      <c r="L81" s="482"/>
      <c r="M81" s="483"/>
      <c r="N81" s="928"/>
      <c r="O81" s="928"/>
      <c r="P81" s="42"/>
      <c r="Q81" s="450"/>
    </row>
    <row r="82" spans="1:17" s="105" customFormat="1" ht="15.75" thickTop="1">
      <c r="A82" s="525"/>
      <c r="B82" s="484">
        <f>B26</f>
        <v>111</v>
      </c>
      <c r="C82" s="500"/>
      <c r="D82" s="500"/>
      <c r="E82" s="500"/>
      <c r="F82" s="500"/>
      <c r="G82" s="500"/>
      <c r="H82" s="500"/>
      <c r="I82" s="500"/>
      <c r="J82" s="500"/>
      <c r="K82" s="500"/>
      <c r="L82" s="526"/>
      <c r="M82" s="527"/>
      <c r="N82" s="926"/>
      <c r="O82" s="926"/>
      <c r="P82" s="42"/>
      <c r="Q82" s="450"/>
    </row>
    <row r="83" spans="1:17" s="105" customFormat="1" ht="15.75" thickBot="1">
      <c r="A83" s="525"/>
      <c r="B83" s="489"/>
      <c r="C83" s="506"/>
      <c r="D83" s="482"/>
      <c r="E83" s="482"/>
      <c r="F83" s="482"/>
      <c r="G83" s="482"/>
      <c r="H83" s="482"/>
      <c r="I83" s="482"/>
      <c r="J83" s="482"/>
      <c r="K83" s="482"/>
      <c r="L83" s="482"/>
      <c r="M83" s="483"/>
      <c r="N83" s="928"/>
      <c r="O83" s="928"/>
      <c r="P83" s="42"/>
      <c r="Q83" s="450"/>
    </row>
    <row r="84" spans="1:17" s="419" customFormat="1" ht="15.75" thickTop="1">
      <c r="A84" s="499"/>
      <c r="B84" s="484">
        <f>B27</f>
        <v>111</v>
      </c>
      <c r="C84" s="500"/>
      <c r="D84" s="500"/>
      <c r="E84" s="500"/>
      <c r="F84" s="500"/>
      <c r="G84" s="500"/>
      <c r="H84" s="500"/>
      <c r="I84" s="500"/>
      <c r="J84" s="500"/>
      <c r="K84" s="500"/>
      <c r="L84" s="526"/>
      <c r="M84" s="527"/>
      <c r="N84" s="929"/>
      <c r="O84" s="929"/>
      <c r="P84" s="504"/>
      <c r="Q84" s="505"/>
    </row>
    <row r="85" spans="1:17" s="419" customFormat="1" ht="15.75" thickBot="1">
      <c r="A85" s="499"/>
      <c r="B85" s="489"/>
      <c r="C85" s="506"/>
      <c r="D85" s="482"/>
      <c r="E85" s="482"/>
      <c r="F85" s="482"/>
      <c r="G85" s="482"/>
      <c r="H85" s="482"/>
      <c r="I85" s="482"/>
      <c r="J85" s="482"/>
      <c r="K85" s="482"/>
      <c r="L85" s="482"/>
      <c r="M85" s="483"/>
      <c r="N85" s="929"/>
      <c r="O85" s="929"/>
      <c r="P85" s="504"/>
      <c r="Q85" s="505"/>
    </row>
    <row r="86" spans="1:17" ht="15.75" thickTop="1">
      <c r="A86" s="480"/>
      <c r="B86" s="492">
        <f>B28</f>
        <v>111</v>
      </c>
      <c r="C86" s="469"/>
      <c r="D86" s="469"/>
      <c r="E86" s="469"/>
      <c r="F86" s="469"/>
      <c r="G86" s="533"/>
      <c r="H86" s="533"/>
      <c r="I86" s="533"/>
      <c r="J86" s="533"/>
      <c r="K86" s="534"/>
      <c r="L86" s="535"/>
      <c r="M86" s="536"/>
      <c r="N86" s="927"/>
      <c r="O86" s="927"/>
      <c r="P86" s="42"/>
      <c r="Q86" s="450"/>
    </row>
    <row r="87" spans="1:17" ht="15.75" thickBot="1">
      <c r="A87" s="1922"/>
      <c r="B87" s="515"/>
      <c r="C87" s="516"/>
      <c r="D87" s="516"/>
      <c r="E87" s="516"/>
      <c r="F87" s="516"/>
      <c r="G87" s="537"/>
      <c r="H87" s="537"/>
      <c r="I87" s="537"/>
      <c r="J87" s="537"/>
      <c r="K87" s="537"/>
      <c r="L87" s="537"/>
      <c r="M87" s="538"/>
      <c r="N87" s="928"/>
      <c r="O87" s="928"/>
      <c r="P87" s="42"/>
      <c r="Q87" s="450"/>
    </row>
    <row r="88" spans="1:17">
      <c r="A88" s="473" t="s">
        <v>1694</v>
      </c>
      <c r="B88" s="474" t="s">
        <v>1736</v>
      </c>
      <c r="C88" s="3478" t="s">
        <v>3426</v>
      </c>
      <c r="D88" s="3478" t="s">
        <v>3469</v>
      </c>
      <c r="E88" s="476"/>
      <c r="F88" s="476"/>
      <c r="G88" s="476"/>
      <c r="H88" s="476"/>
      <c r="I88" s="476"/>
      <c r="J88" s="476"/>
      <c r="K88" s="477"/>
      <c r="L88" s="478"/>
      <c r="M88" s="479"/>
      <c r="N88" s="927"/>
      <c r="O88" s="927"/>
      <c r="P88" s="42"/>
      <c r="Q88" s="450"/>
    </row>
    <row r="89" spans="1:17" ht="15.75" thickBot="1">
      <c r="A89" s="480"/>
      <c r="B89" s="489"/>
      <c r="C89" s="490">
        <v>100</v>
      </c>
      <c r="D89" s="490">
        <f t="shared" ref="D89:M89" si="19">C89-$K29</f>
        <v>85</v>
      </c>
      <c r="E89" s="490">
        <f t="shared" si="19"/>
        <v>70</v>
      </c>
      <c r="F89" s="490">
        <f t="shared" si="19"/>
        <v>55</v>
      </c>
      <c r="G89" s="490">
        <f t="shared" si="19"/>
        <v>40</v>
      </c>
      <c r="H89" s="490">
        <f t="shared" si="19"/>
        <v>25</v>
      </c>
      <c r="I89" s="490">
        <f t="shared" si="19"/>
        <v>10</v>
      </c>
      <c r="J89" s="490">
        <f t="shared" si="19"/>
        <v>-5</v>
      </c>
      <c r="K89" s="490">
        <f t="shared" si="19"/>
        <v>-20</v>
      </c>
      <c r="L89" s="490">
        <f t="shared" si="19"/>
        <v>-35</v>
      </c>
      <c r="M89" s="491">
        <f t="shared" si="19"/>
        <v>-50</v>
      </c>
      <c r="N89" s="928"/>
      <c r="O89" s="928"/>
      <c r="P89" s="42"/>
      <c r="Q89" s="450"/>
    </row>
    <row r="90" spans="1:17" ht="29.25" thickTop="1">
      <c r="A90" s="480"/>
      <c r="B90" s="484" t="s">
        <v>1737</v>
      </c>
      <c r="C90" s="524" t="str">
        <f>C91&amp;"(含)"&amp;"-"&amp;D91</f>
        <v>0(含)-2000</v>
      </c>
      <c r="D90" s="524" t="str">
        <f t="shared" ref="D90:L90" si="20">D91&amp;"(含)"&amp;"-"&amp;E91</f>
        <v>2000(含)-4000</v>
      </c>
      <c r="E90" s="524" t="str">
        <f t="shared" si="20"/>
        <v>4000(含)-6000</v>
      </c>
      <c r="F90" s="524" t="str">
        <f t="shared" si="20"/>
        <v>6000(含)-8000</v>
      </c>
      <c r="G90" s="524" t="str">
        <f t="shared" si="20"/>
        <v>8000(含)-10000</v>
      </c>
      <c r="H90" s="524" t="str">
        <f t="shared" si="20"/>
        <v>10000(含)-12000</v>
      </c>
      <c r="I90" s="524" t="str">
        <f t="shared" si="20"/>
        <v>12000(含)-</v>
      </c>
      <c r="J90" s="524" t="str">
        <f t="shared" si="20"/>
        <v>(含)-</v>
      </c>
      <c r="K90" s="524" t="str">
        <f t="shared" si="20"/>
        <v>(含)-</v>
      </c>
      <c r="L90" s="524" t="str">
        <f t="shared" si="20"/>
        <v>(含)-</v>
      </c>
      <c r="M90" s="567" t="str">
        <f>M91&amp;"(含)"&amp;"-"&amp;P91</f>
        <v>(含)-</v>
      </c>
      <c r="N90" s="926"/>
      <c r="O90" s="926"/>
      <c r="P90" s="42"/>
      <c r="Q90" s="450"/>
    </row>
    <row r="91" spans="1:17" s="419" customFormat="1">
      <c r="A91" s="539"/>
      <c r="B91" s="540"/>
      <c r="C91" s="541">
        <v>0</v>
      </c>
      <c r="D91" s="541">
        <v>2000</v>
      </c>
      <c r="E91" s="541">
        <v>4000</v>
      </c>
      <c r="F91" s="541">
        <v>6000</v>
      </c>
      <c r="G91" s="541">
        <v>8000</v>
      </c>
      <c r="H91" s="541">
        <v>10000</v>
      </c>
      <c r="I91" s="541">
        <v>12000</v>
      </c>
      <c r="J91" s="542"/>
      <c r="K91" s="542"/>
      <c r="L91" s="543"/>
      <c r="M91" s="544"/>
      <c r="N91" s="929"/>
      <c r="O91" s="929"/>
      <c r="P91" s="504"/>
      <c r="Q91" s="505"/>
    </row>
    <row r="92" spans="1:17" s="419" customFormat="1" ht="15.75" thickBot="1">
      <c r="A92" s="499"/>
      <c r="B92" s="489"/>
      <c r="C92" s="506">
        <v>100</v>
      </c>
      <c r="D92" s="506">
        <v>100</v>
      </c>
      <c r="E92" s="506">
        <v>100</v>
      </c>
      <c r="F92" s="506">
        <v>100</v>
      </c>
      <c r="G92" s="506">
        <v>100</v>
      </c>
      <c r="H92" s="506">
        <v>100</v>
      </c>
      <c r="I92" s="506">
        <v>100</v>
      </c>
      <c r="J92" s="482"/>
      <c r="K92" s="482"/>
      <c r="L92" s="482"/>
      <c r="M92" s="483"/>
      <c r="N92" s="928"/>
      <c r="O92" s="928"/>
      <c r="P92" s="504"/>
      <c r="Q92" s="505"/>
    </row>
    <row r="93" spans="1:17" ht="15" thickTop="1">
      <c r="A93" s="545"/>
      <c r="B93" s="484" t="s">
        <v>1738</v>
      </c>
      <c r="C93" s="3479" t="s">
        <v>3427</v>
      </c>
      <c r="D93" s="500"/>
      <c r="E93" s="529"/>
      <c r="F93" s="529"/>
      <c r="G93" s="529"/>
      <c r="H93" s="529"/>
      <c r="I93" s="529"/>
      <c r="J93" s="529"/>
      <c r="K93" s="530"/>
      <c r="L93" s="531"/>
      <c r="M93" s="532"/>
      <c r="N93" s="927"/>
      <c r="O93" s="927"/>
      <c r="P93" s="42"/>
      <c r="Q93" s="450"/>
    </row>
    <row r="94" spans="1:17" ht="15.75" thickBot="1">
      <c r="A94" s="480"/>
      <c r="B94" s="489"/>
      <c r="C94" s="490">
        <v>100</v>
      </c>
      <c r="D94" s="490">
        <f t="shared" ref="D94:M94" si="21">C94-$K31</f>
        <v>99</v>
      </c>
      <c r="E94" s="490">
        <f t="shared" si="21"/>
        <v>98</v>
      </c>
      <c r="F94" s="490">
        <f t="shared" si="21"/>
        <v>97</v>
      </c>
      <c r="G94" s="490">
        <f t="shared" si="21"/>
        <v>96</v>
      </c>
      <c r="H94" s="490">
        <f t="shared" si="21"/>
        <v>95</v>
      </c>
      <c r="I94" s="490">
        <f t="shared" si="21"/>
        <v>94</v>
      </c>
      <c r="J94" s="490">
        <f t="shared" si="21"/>
        <v>93</v>
      </c>
      <c r="K94" s="490">
        <f t="shared" si="21"/>
        <v>92</v>
      </c>
      <c r="L94" s="490">
        <f t="shared" si="21"/>
        <v>91</v>
      </c>
      <c r="M94" s="491">
        <f t="shared" si="21"/>
        <v>90</v>
      </c>
      <c r="N94" s="928"/>
      <c r="O94" s="928"/>
      <c r="P94" s="42"/>
      <c r="Q94" s="450"/>
    </row>
    <row r="95" spans="1:17" ht="15" thickTop="1">
      <c r="A95" s="545"/>
      <c r="B95" s="484" t="s">
        <v>1740</v>
      </c>
      <c r="C95" s="3479" t="s">
        <v>3428</v>
      </c>
      <c r="D95" s="3479" t="s">
        <v>3429</v>
      </c>
      <c r="E95" s="3479" t="s">
        <v>3456</v>
      </c>
      <c r="F95" s="3490" t="s">
        <v>3479</v>
      </c>
      <c r="G95" s="529"/>
      <c r="H95" s="529"/>
      <c r="I95" s="529"/>
      <c r="J95" s="529"/>
      <c r="K95" s="530"/>
      <c r="L95" s="531"/>
      <c r="M95" s="532"/>
      <c r="N95" s="927"/>
      <c r="O95" s="927"/>
      <c r="P95" s="42"/>
      <c r="Q95" s="450"/>
    </row>
    <row r="96" spans="1:17" ht="15.75" thickBot="1">
      <c r="A96" s="480"/>
      <c r="B96" s="489"/>
      <c r="C96" s="490">
        <v>100</v>
      </c>
      <c r="D96" s="490">
        <f t="shared" ref="D96:M96" si="22">C96-$K32</f>
        <v>98</v>
      </c>
      <c r="E96" s="490">
        <f t="shared" si="22"/>
        <v>96</v>
      </c>
      <c r="F96" s="490">
        <f t="shared" si="22"/>
        <v>94</v>
      </c>
      <c r="G96" s="490">
        <f t="shared" si="22"/>
        <v>92</v>
      </c>
      <c r="H96" s="490">
        <f t="shared" si="22"/>
        <v>90</v>
      </c>
      <c r="I96" s="490">
        <f t="shared" si="22"/>
        <v>88</v>
      </c>
      <c r="J96" s="490">
        <f t="shared" si="22"/>
        <v>86</v>
      </c>
      <c r="K96" s="490">
        <f t="shared" si="22"/>
        <v>84</v>
      </c>
      <c r="L96" s="490">
        <f t="shared" si="22"/>
        <v>82</v>
      </c>
      <c r="M96" s="491">
        <f t="shared" si="22"/>
        <v>80</v>
      </c>
      <c r="N96" s="928"/>
      <c r="O96" s="928"/>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7"/>
      <c r="O97" s="927"/>
      <c r="P97" s="42"/>
      <c r="Q97" s="450"/>
    </row>
    <row r="98" spans="1:17">
      <c r="A98" s="545"/>
      <c r="B98" s="492"/>
      <c r="C98" s="549">
        <v>0.5</v>
      </c>
      <c r="D98" s="549">
        <v>0.6</v>
      </c>
      <c r="E98" s="549">
        <v>0.7</v>
      </c>
      <c r="F98" s="549">
        <v>0.8</v>
      </c>
      <c r="G98" s="549">
        <v>0.9</v>
      </c>
      <c r="H98" s="549">
        <v>1.0001</v>
      </c>
      <c r="I98" s="568"/>
      <c r="J98" s="568"/>
      <c r="K98" s="569"/>
      <c r="L98" s="570"/>
      <c r="M98" s="571"/>
      <c r="N98" s="927"/>
      <c r="O98" s="927"/>
      <c r="P98" s="42"/>
      <c r="Q98" s="450"/>
    </row>
    <row r="99" spans="1:17" ht="15.75" thickBot="1">
      <c r="A99" s="480"/>
      <c r="B99" s="489"/>
      <c r="C99" s="528">
        <v>100</v>
      </c>
      <c r="D99" s="490">
        <f>C99+$K33</f>
        <v>101</v>
      </c>
      <c r="E99" s="490">
        <f t="shared" ref="E99:M99" si="23">D99+$K33</f>
        <v>102</v>
      </c>
      <c r="F99" s="490">
        <f t="shared" si="23"/>
        <v>103</v>
      </c>
      <c r="G99" s="490">
        <f t="shared" si="23"/>
        <v>104</v>
      </c>
      <c r="H99" s="490">
        <f t="shared" si="23"/>
        <v>105</v>
      </c>
      <c r="I99" s="490">
        <f t="shared" si="23"/>
        <v>106</v>
      </c>
      <c r="J99" s="490">
        <f t="shared" si="23"/>
        <v>107</v>
      </c>
      <c r="K99" s="490">
        <f t="shared" si="23"/>
        <v>108</v>
      </c>
      <c r="L99" s="490">
        <f t="shared" si="23"/>
        <v>109</v>
      </c>
      <c r="M99" s="490">
        <f t="shared" si="23"/>
        <v>110</v>
      </c>
      <c r="N99" s="928"/>
      <c r="O99" s="928"/>
      <c r="P99" s="42"/>
      <c r="Q99" s="450"/>
    </row>
    <row r="100" spans="1:17" s="419" customFormat="1" ht="15" thickTop="1">
      <c r="A100" s="539"/>
      <c r="B100" s="484" t="s">
        <v>1741</v>
      </c>
      <c r="C100" s="3479" t="s">
        <v>3430</v>
      </c>
      <c r="D100" s="3479" t="s">
        <v>3431</v>
      </c>
      <c r="E100" s="500"/>
      <c r="F100" s="500"/>
      <c r="G100" s="500"/>
      <c r="H100" s="529"/>
      <c r="I100" s="529"/>
      <c r="J100" s="529"/>
      <c r="K100" s="530"/>
      <c r="L100" s="531"/>
      <c r="M100" s="532"/>
      <c r="N100" s="929"/>
      <c r="O100" s="929"/>
      <c r="P100" s="504"/>
      <c r="Q100" s="505"/>
    </row>
    <row r="101" spans="1:17" s="419" customFormat="1" ht="15.75" thickBot="1">
      <c r="A101" s="499"/>
      <c r="B101" s="489"/>
      <c r="C101" s="490">
        <v>100</v>
      </c>
      <c r="D101" s="490">
        <f>C101-$K34</f>
        <v>99</v>
      </c>
      <c r="E101" s="490">
        <f t="shared" ref="E101:M101" si="24">D101-$K34</f>
        <v>98</v>
      </c>
      <c r="F101" s="490">
        <f t="shared" si="24"/>
        <v>97</v>
      </c>
      <c r="G101" s="490">
        <f t="shared" si="24"/>
        <v>96</v>
      </c>
      <c r="H101" s="490">
        <f t="shared" si="24"/>
        <v>95</v>
      </c>
      <c r="I101" s="490">
        <f t="shared" si="24"/>
        <v>94</v>
      </c>
      <c r="J101" s="490">
        <f t="shared" si="24"/>
        <v>93</v>
      </c>
      <c r="K101" s="490">
        <f t="shared" si="24"/>
        <v>92</v>
      </c>
      <c r="L101" s="490">
        <f t="shared" si="24"/>
        <v>91</v>
      </c>
      <c r="M101" s="490">
        <f t="shared" si="24"/>
        <v>90</v>
      </c>
      <c r="N101" s="929"/>
      <c r="O101" s="929"/>
      <c r="P101" s="504"/>
      <c r="Q101" s="505"/>
    </row>
    <row r="102" spans="1:17" ht="15" thickTop="1">
      <c r="A102" s="545"/>
      <c r="B102" s="484" t="s">
        <v>1742</v>
      </c>
      <c r="C102" s="3479" t="s">
        <v>3432</v>
      </c>
      <c r="D102" s="500"/>
      <c r="E102" s="500"/>
      <c r="F102" s="500"/>
      <c r="G102" s="500"/>
      <c r="H102" s="529"/>
      <c r="I102" s="529"/>
      <c r="J102" s="529"/>
      <c r="K102" s="530"/>
      <c r="L102" s="531"/>
      <c r="M102" s="532"/>
      <c r="N102" s="927"/>
      <c r="O102" s="927"/>
      <c r="P102" s="42"/>
      <c r="Q102" s="450"/>
    </row>
    <row r="103" spans="1:17" ht="15.75" thickBot="1">
      <c r="A103" s="480"/>
      <c r="B103" s="489"/>
      <c r="C103" s="490">
        <v>100</v>
      </c>
      <c r="D103" s="490">
        <f t="shared" ref="D103:M103" si="25">C103-$K35</f>
        <v>99</v>
      </c>
      <c r="E103" s="490">
        <f t="shared" si="25"/>
        <v>98</v>
      </c>
      <c r="F103" s="490">
        <f t="shared" si="25"/>
        <v>97</v>
      </c>
      <c r="G103" s="490">
        <f t="shared" si="25"/>
        <v>96</v>
      </c>
      <c r="H103" s="490">
        <f t="shared" si="25"/>
        <v>95</v>
      </c>
      <c r="I103" s="490">
        <f t="shared" si="25"/>
        <v>94</v>
      </c>
      <c r="J103" s="490">
        <f t="shared" si="25"/>
        <v>93</v>
      </c>
      <c r="K103" s="490">
        <f t="shared" si="25"/>
        <v>92</v>
      </c>
      <c r="L103" s="490">
        <f t="shared" si="25"/>
        <v>91</v>
      </c>
      <c r="M103" s="491">
        <f t="shared" si="25"/>
        <v>90</v>
      </c>
      <c r="N103" s="928"/>
      <c r="O103" s="928"/>
      <c r="P103" s="42"/>
      <c r="Q103" s="450"/>
    </row>
    <row r="104" spans="1:17" ht="15" thickTop="1">
      <c r="A104" s="545"/>
      <c r="B104" s="484" t="s">
        <v>1744</v>
      </c>
      <c r="C104" s="3480" t="s">
        <v>3433</v>
      </c>
      <c r="D104" s="3480" t="s">
        <v>3434</v>
      </c>
      <c r="E104" s="3480" t="s">
        <v>3435</v>
      </c>
      <c r="F104" s="3481" t="s">
        <v>3436</v>
      </c>
      <c r="G104" s="500" t="s">
        <v>3437</v>
      </c>
      <c r="H104" s="529"/>
      <c r="I104" s="529"/>
      <c r="J104" s="529"/>
      <c r="K104" s="530"/>
      <c r="L104" s="531"/>
      <c r="M104" s="532"/>
      <c r="N104" s="927"/>
      <c r="O104" s="927"/>
      <c r="P104" s="42"/>
      <c r="Q104" s="450"/>
    </row>
    <row r="105" spans="1:17" ht="15.75" thickBot="1">
      <c r="A105" s="480"/>
      <c r="B105" s="489"/>
      <c r="C105" s="490">
        <v>100</v>
      </c>
      <c r="D105" s="490">
        <f>C105-$K36</f>
        <v>98</v>
      </c>
      <c r="E105" s="490">
        <f>D105-$K36</f>
        <v>96</v>
      </c>
      <c r="F105" s="490">
        <f>E105-$K36</f>
        <v>94</v>
      </c>
      <c r="G105" s="490">
        <f>F105-$K36</f>
        <v>92</v>
      </c>
      <c r="H105" s="490"/>
      <c r="I105" s="490"/>
      <c r="J105" s="490"/>
      <c r="K105" s="490"/>
      <c r="L105" s="490"/>
      <c r="M105" s="491"/>
      <c r="N105" s="928"/>
      <c r="O105" s="928"/>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28"/>
      <c r="O106" s="928"/>
      <c r="P106" s="582"/>
      <c r="Q106" s="583"/>
    </row>
    <row r="107" spans="1:17" ht="15.75" thickBot="1">
      <c r="A107" s="480"/>
      <c r="B107" s="489"/>
      <c r="C107" s="528">
        <v>100</v>
      </c>
      <c r="D107" s="490">
        <f t="shared" ref="D107:M107" si="26">C107-$K37</f>
        <v>99</v>
      </c>
      <c r="E107" s="490">
        <f t="shared" si="26"/>
        <v>98</v>
      </c>
      <c r="F107" s="490">
        <f t="shared" si="26"/>
        <v>97</v>
      </c>
      <c r="G107" s="490">
        <f t="shared" si="26"/>
        <v>96</v>
      </c>
      <c r="H107" s="490">
        <f t="shared" si="26"/>
        <v>95</v>
      </c>
      <c r="I107" s="490">
        <f t="shared" si="26"/>
        <v>94</v>
      </c>
      <c r="J107" s="490">
        <f t="shared" si="26"/>
        <v>93</v>
      </c>
      <c r="K107" s="490">
        <f t="shared" si="26"/>
        <v>92</v>
      </c>
      <c r="L107" s="490">
        <f t="shared" si="26"/>
        <v>91</v>
      </c>
      <c r="M107" s="490">
        <f t="shared" si="26"/>
        <v>90</v>
      </c>
      <c r="N107" s="928"/>
      <c r="O107" s="928"/>
      <c r="P107" s="42"/>
      <c r="Q107" s="450"/>
    </row>
    <row r="108" spans="1:17" s="419" customFormat="1" ht="15" thickTop="1">
      <c r="A108" s="539"/>
      <c r="B108" s="484" t="str">
        <f>B38</f>
        <v>建筑档次</v>
      </c>
      <c r="C108" s="3479" t="s">
        <v>3458</v>
      </c>
      <c r="D108" s="3479" t="s">
        <v>3459</v>
      </c>
      <c r="E108" s="3479" t="s">
        <v>3462</v>
      </c>
      <c r="F108" s="3479" t="s">
        <v>3461</v>
      </c>
      <c r="G108" s="500"/>
      <c r="H108" s="501"/>
      <c r="I108" s="501"/>
      <c r="J108" s="501"/>
      <c r="K108" s="501"/>
      <c r="L108" s="502"/>
      <c r="M108" s="503"/>
      <c r="N108" s="929"/>
      <c r="O108" s="929"/>
      <c r="P108" s="504"/>
      <c r="Q108" s="505"/>
    </row>
    <row r="109" spans="1:17" s="419" customFormat="1" ht="15.75" thickBot="1">
      <c r="A109" s="499"/>
      <c r="B109" s="481"/>
      <c r="C109" s="506">
        <v>100</v>
      </c>
      <c r="D109" s="482">
        <v>98</v>
      </c>
      <c r="E109" s="506">
        <v>96</v>
      </c>
      <c r="F109" s="482">
        <v>94</v>
      </c>
      <c r="G109" s="506"/>
      <c r="H109" s="508"/>
      <c r="I109" s="508"/>
      <c r="J109" s="508"/>
      <c r="K109" s="508"/>
      <c r="L109" s="508"/>
      <c r="M109" s="509"/>
      <c r="N109" s="929"/>
      <c r="O109" s="929"/>
      <c r="P109" s="504"/>
      <c r="Q109" s="505"/>
    </row>
    <row r="110" spans="1:17" ht="15" thickTop="1">
      <c r="A110" s="545"/>
      <c r="B110" s="484">
        <f>B39</f>
        <v>111</v>
      </c>
      <c r="C110" s="500"/>
      <c r="D110" s="500"/>
      <c r="E110" s="500"/>
      <c r="F110" s="500"/>
      <c r="G110" s="500"/>
      <c r="H110" s="501"/>
      <c r="I110" s="501"/>
      <c r="J110" s="501"/>
      <c r="K110" s="501"/>
      <c r="L110" s="502"/>
      <c r="M110" s="503"/>
      <c r="N110" s="927"/>
      <c r="O110" s="927"/>
      <c r="P110" s="42"/>
      <c r="Q110" s="450"/>
    </row>
    <row r="111" spans="1:17" ht="15.75" thickBot="1">
      <c r="A111" s="480"/>
      <c r="B111" s="489"/>
      <c r="C111" s="506"/>
      <c r="D111" s="482"/>
      <c r="E111" s="482"/>
      <c r="F111" s="482"/>
      <c r="G111" s="506"/>
      <c r="H111" s="508"/>
      <c r="I111" s="508"/>
      <c r="J111" s="508"/>
      <c r="K111" s="508"/>
      <c r="L111" s="508"/>
      <c r="M111" s="509"/>
      <c r="N111" s="928"/>
      <c r="O111" s="928"/>
      <c r="P111" s="42"/>
      <c r="Q111" s="450"/>
    </row>
    <row r="112" spans="1:17" ht="15" thickTop="1">
      <c r="A112" s="545"/>
      <c r="B112" s="492">
        <f>B40</f>
        <v>111</v>
      </c>
      <c r="C112" s="469"/>
      <c r="D112" s="469"/>
      <c r="E112" s="469"/>
      <c r="F112" s="469"/>
      <c r="G112" s="533"/>
      <c r="H112" s="533"/>
      <c r="I112" s="533"/>
      <c r="J112" s="533"/>
      <c r="K112" s="469"/>
      <c r="L112" s="470"/>
      <c r="M112" s="536"/>
      <c r="N112" s="927"/>
      <c r="O112" s="927"/>
      <c r="P112" s="42"/>
      <c r="Q112" s="450"/>
    </row>
    <row r="113" spans="1:17" ht="15.75" thickBot="1">
      <c r="A113" s="1922"/>
      <c r="B113" s="515"/>
      <c r="C113" s="516"/>
      <c r="D113" s="516"/>
      <c r="E113" s="516"/>
      <c r="F113" s="516"/>
      <c r="G113" s="537"/>
      <c r="H113" s="537"/>
      <c r="I113" s="537"/>
      <c r="J113" s="537"/>
      <c r="K113" s="537"/>
      <c r="L113" s="537"/>
      <c r="M113" s="538"/>
      <c r="N113" s="928"/>
      <c r="O113" s="928"/>
      <c r="P113" s="42"/>
      <c r="Q113" s="45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E46">
    <cfRule type="expression" dxfId="14" priority="16" stopIfTrue="1">
      <formula>$F$46="超过30%"</formula>
    </cfRule>
  </conditionalFormatting>
  <conditionalFormatting sqref="E47">
    <cfRule type="expression" dxfId="13" priority="15" stopIfTrue="1">
      <formula>$F$47="超过20%"</formula>
    </cfRule>
  </conditionalFormatting>
  <conditionalFormatting sqref="E48">
    <cfRule type="expression" dxfId="12" priority="14"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cfRule type="containsText" dxfId="9" priority="17" stopIfTrue="1" operator="containsText" text="超过">
      <formula>NOT(ISERROR(SEARCH("超过",F46)))</formula>
    </cfRule>
  </conditionalFormatting>
  <conditionalFormatting sqref="G46">
    <cfRule type="expression" dxfId="8" priority="12" stopIfTrue="1">
      <formula>$H$46="超过30%"</formula>
    </cfRule>
  </conditionalFormatting>
  <conditionalFormatting sqref="G47">
    <cfRule type="expression" dxfId="7" priority="11" stopIfTrue="1">
      <formula>$H$47="超过20%"</formula>
    </cfRule>
  </conditionalFormatting>
  <conditionalFormatting sqref="G48">
    <cfRule type="expression" dxfId="6" priority="13"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conditionalFormatting sqref="J46:J48">
    <cfRule type="containsText" dxfId="0" priority="8" stopIfTrue="1" operator="containsText" text="超过">
      <formula>NOT(ISERROR(SEARCH("超过",J46)))</formula>
    </cfRule>
  </conditionalFormatting>
  <dataValidations count="20">
    <dataValidation type="list" allowBlank="1" showInputMessage="1" showErrorMessage="1" sqref="E1" xr:uid="{00000000-0002-0000-3000-000000000000}">
      <formula1>"项目模式,单套模式"</formula1>
    </dataValidation>
    <dataValidation type="list" allowBlank="1" showInputMessage="1" showErrorMessage="1" sqref="D42" xr:uid="{00000000-0002-0000-3000-000001000000}">
      <formula1>"简单平均,加权平均"</formula1>
    </dataValidation>
    <dataValidation type="list" allowBlank="1" showInputMessage="1" showErrorMessage="1" sqref="F2" xr:uid="{00000000-0002-0000-3000-000002000000}">
      <formula1>估价方法</formula1>
    </dataValidation>
    <dataValidation type="list" allowBlank="1" showInputMessage="1" showErrorMessage="1" sqref="C2" xr:uid="{00000000-0002-0000-3000-000003000000}">
      <formula1>"需扣减承租人权益,——"</formula1>
    </dataValidation>
    <dataValidation type="list" allowBlank="1" showInputMessage="1" showErrorMessage="1" sqref="F1" xr:uid="{00000000-0002-0000-3000-000004000000}">
      <formula1>"售价,租金"</formula1>
    </dataValidation>
    <dataValidation type="list" allowBlank="1" showInputMessage="1" showErrorMessage="1" sqref="C22 E22 G22 I22" xr:uid="{00000000-0002-0000-3000-000005000000}">
      <formula1>基础设施水平</formula1>
    </dataValidation>
    <dataValidation type="list" allowBlank="1" showInputMessage="1" showErrorMessage="1" sqref="C16 E16 G16 I16" xr:uid="{00000000-0002-0000-3000-000006000000}">
      <formula1>产业集聚程度</formula1>
    </dataValidation>
    <dataValidation type="list" allowBlank="1" showInputMessage="1" showErrorMessage="1" sqref="C37 E37 G37 I37" xr:uid="{00000000-0002-0000-3000-000007000000}">
      <formula1>内部装修维护情况</formula1>
    </dataValidation>
    <dataValidation type="list" allowBlank="1" showInputMessage="1" showErrorMessage="1" sqref="C36 E36 G36 I36" xr:uid="{00000000-0002-0000-3000-000008000000}">
      <formula1>工业内部装修</formula1>
    </dataValidation>
    <dataValidation type="list" allowBlank="1" showInputMessage="1" showErrorMessage="1" sqref="C35 E35 G35 I35" xr:uid="{00000000-0002-0000-3000-000009000000}">
      <formula1>工业基础设施水平</formula1>
    </dataValidation>
    <dataValidation type="list" allowBlank="1" showInputMessage="1" showErrorMessage="1" sqref="C34 E34 G34 I34" xr:uid="{00000000-0002-0000-3000-00000A000000}">
      <formula1>工业物业管理</formula1>
    </dataValidation>
    <dataValidation type="list" allowBlank="1" showInputMessage="1" showErrorMessage="1" sqref="C32 E32 G32 I32" xr:uid="{00000000-0002-0000-3000-00000B000000}">
      <formula1>工业公共部分装修</formula1>
    </dataValidation>
    <dataValidation type="list" allowBlank="1" showInputMessage="1" showErrorMessage="1" sqref="C31 E31 G31 I31" xr:uid="{00000000-0002-0000-3000-00000C000000}">
      <formula1>工业建筑结构</formula1>
    </dataValidation>
    <dataValidation type="list" allowBlank="1" showInputMessage="1" showErrorMessage="1" sqref="C29 E29 G29 I29" xr:uid="{00000000-0002-0000-3000-00000D000000}">
      <formula1>工业建筑类型</formula1>
    </dataValidation>
    <dataValidation type="list" allowBlank="1" showInputMessage="1" showErrorMessage="1" sqref="E9 G9 I9" xr:uid="{00000000-0002-0000-3000-00000E000000}">
      <formula1>工业用途</formula1>
    </dataValidation>
    <dataValidation type="list" allowBlank="1" showInputMessage="1" showErrorMessage="1" sqref="C8 E8 G8 I8" xr:uid="{00000000-0002-0000-3000-00000F000000}">
      <formula1>工业交易情况</formula1>
    </dataValidation>
    <dataValidation type="list" allowBlank="1" showInputMessage="1" showErrorMessage="1" sqref="E24 G24 I24 C24" xr:uid="{00000000-0002-0000-3000-000010000000}">
      <formula1>环境</formula1>
    </dataValidation>
    <dataValidation type="list" allowBlank="1" showInputMessage="1" showErrorMessage="1" sqref="E18 G18 I18 C18" xr:uid="{00000000-0002-0000-3000-000011000000}">
      <formula1>交通便捷度</formula1>
    </dataValidation>
    <dataValidation type="list" allowBlank="1" showInputMessage="1" showErrorMessage="1" sqref="C20 G20 E20 I20" xr:uid="{00000000-0002-0000-3000-000012000000}">
      <formula1>公共配套设施</formula1>
    </dataValidation>
    <dataValidation type="list" allowBlank="1" showInputMessage="1" showErrorMessage="1" sqref="D1" xr:uid="{00000000-0002-0000-3000-000013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11" t="s">
        <v>949</v>
      </c>
      <c r="B1" s="3511"/>
      <c r="C1" s="3511"/>
      <c r="D1" s="3511"/>
    </row>
    <row r="2" spans="1:4" ht="18">
      <c r="A2" s="3512" t="s">
        <v>933</v>
      </c>
      <c r="B2" s="3512"/>
      <c r="C2" s="3512"/>
      <c r="D2" s="3512"/>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12" t="s">
        <v>939</v>
      </c>
      <c r="B6" s="3512"/>
      <c r="C6" s="3512"/>
      <c r="D6" s="3512"/>
    </row>
    <row r="7" spans="1:4" ht="18.75">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8.75">
      <c r="A10" s="1510" t="s">
        <v>941</v>
      </c>
      <c r="B10" s="672"/>
      <c r="C10" s="672"/>
      <c r="D10" s="672"/>
    </row>
    <row r="11" spans="1:4" ht="30" customHeight="1">
      <c r="A11" s="3513"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4" t="str">
        <f>IF(项目基本情况!B8="抵押","4.本次评估估价师所知悉的法定优先受偿款情况说明如下：","——")</f>
        <v>4.本次评估估价师所知悉的法定优先受偿款情况说明如下：</v>
      </c>
      <c r="B14" s="3515"/>
      <c r="C14" s="3515"/>
      <c r="D14" s="3515"/>
    </row>
    <row r="15" spans="1:4" ht="42" customHeight="1">
      <c r="A15" s="35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7" t="s">
        <v>943</v>
      </c>
      <c r="B16" s="3517"/>
      <c r="C16" s="3517"/>
      <c r="D16" s="3517"/>
    </row>
    <row r="17" spans="1:4" ht="144" customHeight="1">
      <c r="A17" s="3517" t="s">
        <v>944</v>
      </c>
      <c r="B17" s="3517"/>
      <c r="C17" s="3517"/>
      <c r="D17" s="3517"/>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16">
        <v>42551</v>
      </c>
      <c r="D31" s="35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25" t="s">
        <v>956</v>
      </c>
      <c r="B15" s="3520" t="s">
        <v>109</v>
      </c>
      <c r="C15" s="3521"/>
    </row>
    <row r="16" spans="1:7" ht="13.5">
      <c r="A16" s="3526"/>
      <c r="B16" s="3520" t="s">
        <v>42</v>
      </c>
      <c r="C16" s="3521"/>
    </row>
    <row r="17" spans="1:3" ht="13.5">
      <c r="A17" s="3526"/>
      <c r="B17" s="3523" t="s">
        <v>957</v>
      </c>
      <c r="C17" s="1526" t="s">
        <v>956</v>
      </c>
    </row>
    <row r="18" spans="1:3" ht="13.5">
      <c r="A18" s="3526"/>
      <c r="B18" s="3523"/>
      <c r="C18" s="1526" t="s">
        <v>958</v>
      </c>
    </row>
    <row r="19" spans="1:3" ht="13.5">
      <c r="A19" s="3526"/>
      <c r="B19" s="3523"/>
      <c r="C19" s="1526" t="s">
        <v>959</v>
      </c>
    </row>
    <row r="20" spans="1:3" ht="13.5">
      <c r="A20" s="3527"/>
      <c r="B20" s="3522" t="s">
        <v>960</v>
      </c>
      <c r="C20" s="3521"/>
    </row>
    <row r="21" spans="1:3" ht="13.5">
      <c r="A21" s="1527" t="s">
        <v>961</v>
      </c>
      <c r="B21" s="1528"/>
      <c r="C21" s="1529"/>
    </row>
    <row r="22" spans="1:3" ht="13.5">
      <c r="A22" s="3524" t="s">
        <v>962</v>
      </c>
      <c r="B22" s="3522" t="s">
        <v>963</v>
      </c>
      <c r="C22" s="3521"/>
    </row>
    <row r="23" spans="1:3" ht="13.5">
      <c r="A23" s="3524"/>
      <c r="B23" s="3522" t="s">
        <v>964</v>
      </c>
      <c r="C23" s="3521"/>
    </row>
    <row r="24" spans="1:3" ht="13.5">
      <c r="A24" s="3524"/>
      <c r="B24" s="3522" t="s">
        <v>965</v>
      </c>
      <c r="C24" s="3521"/>
    </row>
    <row r="25" spans="1:3" ht="13.5">
      <c r="A25" s="3524"/>
      <c r="B25" s="3523" t="s">
        <v>966</v>
      </c>
      <c r="C25" s="1526" t="s">
        <v>967</v>
      </c>
    </row>
    <row r="26" spans="1:3" ht="13.5">
      <c r="A26" s="3524"/>
      <c r="B26" s="3523"/>
      <c r="C26" s="1526" t="s">
        <v>968</v>
      </c>
    </row>
    <row r="27" spans="1:3" ht="13.5">
      <c r="A27" s="3524"/>
      <c r="B27" s="3523"/>
      <c r="C27" s="1526" t="s">
        <v>969</v>
      </c>
    </row>
    <row r="28" spans="1:3" ht="13.5">
      <c r="A28" s="3524"/>
      <c r="B28" s="3523"/>
      <c r="C28" s="1526" t="s">
        <v>970</v>
      </c>
    </row>
    <row r="29" spans="1:3" ht="13.5">
      <c r="A29" s="3524"/>
      <c r="B29" s="3523"/>
      <c r="C29" s="1526" t="s">
        <v>971</v>
      </c>
    </row>
    <row r="30" spans="1:3" ht="13.5">
      <c r="A30" s="3524"/>
      <c r="B30" s="3523"/>
      <c r="C30" s="1526" t="s">
        <v>972</v>
      </c>
    </row>
    <row r="31" spans="1:3" ht="13.5">
      <c r="A31" s="3524"/>
      <c r="B31" s="3523"/>
      <c r="C31" s="1526" t="s">
        <v>973</v>
      </c>
    </row>
    <row r="32" spans="1:3" ht="13.5">
      <c r="A32" s="3524"/>
      <c r="B32" s="3523"/>
      <c r="C32" s="1526" t="s">
        <v>974</v>
      </c>
    </row>
    <row r="33" spans="1:3" ht="13.5">
      <c r="A33" s="3524"/>
      <c r="B33" s="3523"/>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2139</v>
      </c>
      <c r="B2" s="2333">
        <f ca="1">TODAY()</f>
        <v>45541</v>
      </c>
      <c r="C2" s="2334" t="s">
        <v>2140</v>
      </c>
      <c r="D2" s="2334"/>
      <c r="E2" s="2334"/>
      <c r="F2" s="2330"/>
      <c r="G2" s="2330"/>
      <c r="H2" s="2330"/>
    </row>
    <row r="3" spans="1:8" ht="24" customHeight="1">
      <c r="A3" s="2335" t="s">
        <v>2141</v>
      </c>
      <c r="B3" s="2336" t="s">
        <v>2142</v>
      </c>
      <c r="C3" s="2336" t="s">
        <v>2143</v>
      </c>
      <c r="D3" s="2337" t="s">
        <v>2144</v>
      </c>
      <c r="E3" s="2338" t="s">
        <v>2145</v>
      </c>
      <c r="F3" s="1298" t="s">
        <v>2146</v>
      </c>
      <c r="G3" s="2336" t="s">
        <v>2143</v>
      </c>
      <c r="H3" s="2337" t="s">
        <v>2147</v>
      </c>
    </row>
    <row r="4" spans="1:8" ht="24" customHeight="1">
      <c r="A4" s="1298" t="s">
        <v>2148</v>
      </c>
      <c r="B4" s="1298">
        <f ca="1">IF(C4&lt;B2,"已过期",1119970066)</f>
        <v>1119970066</v>
      </c>
      <c r="C4" s="2339">
        <v>45937</v>
      </c>
      <c r="D4" s="2340" t="str">
        <f ca="1">A4&amp;"（注册号："&amp;B4&amp;"）"</f>
        <v>梁津（注册号：1119970066）</v>
      </c>
      <c r="E4" s="2341" t="s">
        <v>2148</v>
      </c>
      <c r="F4" s="1298">
        <f ca="1">IF(G4&lt;B2,"已过期",96010014)</f>
        <v>96010014</v>
      </c>
      <c r="G4" s="2342">
        <v>47118</v>
      </c>
      <c r="H4" s="2343" t="str">
        <f ca="1">E4&amp;"（注册号："&amp;F4&amp;"）"</f>
        <v>梁津（注册号：96010014）</v>
      </c>
    </row>
    <row r="5" spans="1:8" ht="24" customHeight="1">
      <c r="A5" s="1298" t="s">
        <v>2149</v>
      </c>
      <c r="B5" s="1298">
        <f ca="1">IF(C5&lt;B2,"已过期",1119970111)</f>
        <v>1119970111</v>
      </c>
      <c r="C5" s="2339">
        <v>45937</v>
      </c>
      <c r="D5" s="2340" t="str">
        <f t="shared" ref="D5:D15" ca="1" si="0">A5&amp;"（注册号："&amp;B5&amp;"）"</f>
        <v>叶凌（注册号：1119970111）</v>
      </c>
      <c r="E5" s="2341" t="s">
        <v>2149</v>
      </c>
      <c r="F5" s="1298">
        <f ca="1">IF(G5&lt;B2,"已过期",94010078)</f>
        <v>94010078</v>
      </c>
      <c r="G5" s="2342">
        <v>46387</v>
      </c>
      <c r="H5" s="2343" t="str">
        <f t="shared" ref="H5:H16" ca="1" si="1">E5&amp;"（注册号："&amp;F5&amp;"）"</f>
        <v>叶凌（注册号：94010078）</v>
      </c>
    </row>
    <row r="6" spans="1:8" ht="24" customHeight="1">
      <c r="A6" s="1298" t="s">
        <v>2150</v>
      </c>
      <c r="B6" s="1298" t="str">
        <f ca="1">IF(C6&lt;B2,"已过期",1120050019)</f>
        <v>已过期</v>
      </c>
      <c r="C6" s="2339">
        <v>45410</v>
      </c>
      <c r="D6" s="2340" t="str">
        <f t="shared" ca="1" si="0"/>
        <v>王鹏（注册号：已过期）</v>
      </c>
      <c r="E6" s="2341" t="s">
        <v>2150</v>
      </c>
      <c r="F6" s="1298">
        <f ca="1">IF(G6&lt;B2,"已过期",2002110030)</f>
        <v>2002110030</v>
      </c>
      <c r="G6" s="2342">
        <v>46387</v>
      </c>
      <c r="H6" s="2343" t="str">
        <f t="shared" ca="1" si="1"/>
        <v>王鹏（注册号：2002110030）</v>
      </c>
    </row>
    <row r="7" spans="1:8" ht="24" customHeight="1">
      <c r="A7" s="1298" t="s">
        <v>2151</v>
      </c>
      <c r="B7" s="1298">
        <f ca="1">IF(C7&lt;B2,"已过期",1120000080)</f>
        <v>1120000080</v>
      </c>
      <c r="C7" s="2339">
        <v>45937</v>
      </c>
      <c r="D7" s="2340" t="str">
        <f t="shared" ca="1" si="0"/>
        <v>欧红伟（注册号：1120000080）</v>
      </c>
      <c r="E7" s="2341" t="s">
        <v>2151</v>
      </c>
      <c r="F7" s="1298">
        <f ca="1">IF(G7&lt;B2,"已过期",2000110082)</f>
        <v>2000110082</v>
      </c>
      <c r="G7" s="2342">
        <v>46387</v>
      </c>
      <c r="H7" s="2343" t="str">
        <f t="shared" ca="1" si="1"/>
        <v>欧红伟（注册号：2000110082）</v>
      </c>
    </row>
    <row r="8" spans="1:8" ht="24" customHeight="1">
      <c r="A8" s="1298" t="s">
        <v>2152</v>
      </c>
      <c r="B8" s="1298">
        <f ca="1">IF(C8&lt;B2,"已过期",1419970001)</f>
        <v>1419970001</v>
      </c>
      <c r="C8" s="2339">
        <v>45937</v>
      </c>
      <c r="D8" s="2340" t="str">
        <f t="shared" ca="1" si="0"/>
        <v>吴薇（注册号：1419970001）</v>
      </c>
      <c r="E8" s="2341" t="s">
        <v>2152</v>
      </c>
      <c r="F8" s="1298">
        <f ca="1">IF(G8&lt;B2,"已过期",2002110125)</f>
        <v>2002110125</v>
      </c>
      <c r="G8" s="2342">
        <v>47118</v>
      </c>
      <c r="H8" s="2343" t="str">
        <f t="shared" ca="1" si="1"/>
        <v>吴薇（注册号：2002110125）</v>
      </c>
    </row>
    <row r="9" spans="1:8" ht="24" customHeight="1">
      <c r="A9" s="1298" t="s">
        <v>2153</v>
      </c>
      <c r="B9" s="1298">
        <f ca="1">IF(C9&lt;B2,"已过期",1120060040)</f>
        <v>1120060040</v>
      </c>
      <c r="C9" s="2344">
        <v>45592</v>
      </c>
      <c r="D9" s="2340" t="str">
        <f t="shared" ca="1" si="0"/>
        <v>陈颖（注册号：1120060040）</v>
      </c>
      <c r="E9" s="2341" t="s">
        <v>2153</v>
      </c>
      <c r="F9" s="1298">
        <f ca="1">IF(G9&lt;B2,"已过期",2004110096)</f>
        <v>2004110096</v>
      </c>
      <c r="G9" s="2342">
        <v>47118</v>
      </c>
      <c r="H9" s="2343" t="str">
        <f t="shared" ca="1" si="1"/>
        <v>陈颖（注册号：2004110096）</v>
      </c>
    </row>
    <row r="10" spans="1:8" ht="24" customHeight="1">
      <c r="A10" s="1298" t="s">
        <v>2154</v>
      </c>
      <c r="B10" s="1298">
        <f ca="1">IF(C10&lt;B2,"已过期",1120100036)</f>
        <v>1120100036</v>
      </c>
      <c r="C10" s="2344">
        <v>45752</v>
      </c>
      <c r="D10" s="2340" t="str">
        <f t="shared" ca="1" si="0"/>
        <v>崔锴（注册号：1120100036）</v>
      </c>
      <c r="E10" s="2341" t="s">
        <v>2154</v>
      </c>
      <c r="F10" s="1298">
        <f ca="1">IF(G10&lt;B2,"已过期",2010110070)</f>
        <v>2010110070</v>
      </c>
      <c r="G10" s="2342">
        <v>47907</v>
      </c>
      <c r="H10" s="2343" t="str">
        <f t="shared" ca="1" si="1"/>
        <v>崔锴（注册号：2010110070）</v>
      </c>
    </row>
    <row r="11" spans="1:8" ht="24" customHeight="1">
      <c r="A11" s="1298" t="s">
        <v>2155</v>
      </c>
      <c r="B11" s="1298">
        <f ca="1">IF(C11&lt;B2,"已过期",1120070131)</f>
        <v>1120070131</v>
      </c>
      <c r="C11" s="2339">
        <v>45937</v>
      </c>
      <c r="D11" s="2340" t="str">
        <f t="shared" ca="1" si="0"/>
        <v>郑燚（注册号：1120070131）</v>
      </c>
      <c r="E11" s="2341" t="s">
        <v>2155</v>
      </c>
      <c r="F11" s="1298">
        <f ca="1">IF(G11&lt;B2,"已过期",2014110011)</f>
        <v>2014110011</v>
      </c>
      <c r="G11" s="2342">
        <v>49302</v>
      </c>
      <c r="H11" s="2343" t="str">
        <f t="shared" ca="1" si="1"/>
        <v>郑燚（注册号：2014110011）</v>
      </c>
    </row>
    <row r="12" spans="1:8" ht="24" customHeight="1">
      <c r="A12" s="1298" t="s">
        <v>2156</v>
      </c>
      <c r="B12" s="1298">
        <f ca="1">IF(C12&lt;B2,"已过期",1120040230)</f>
        <v>1120040230</v>
      </c>
      <c r="C12" s="2344">
        <v>45937</v>
      </c>
      <c r="D12" s="2340" t="str">
        <f t="shared" ca="1" si="0"/>
        <v>苏海（注册号：1120040230）</v>
      </c>
      <c r="E12" s="2341" t="s">
        <v>2156</v>
      </c>
      <c r="F12" s="1298">
        <f ca="1">IF(G12&lt;B2,"已过期",98030020)</f>
        <v>98030020</v>
      </c>
      <c r="G12" s="2342">
        <v>47118</v>
      </c>
      <c r="H12" s="2343" t="str">
        <f t="shared" ca="1" si="1"/>
        <v>苏海（注册号：98030020）</v>
      </c>
    </row>
    <row r="13" spans="1:8" ht="24" customHeight="1">
      <c r="A13" s="1298" t="s">
        <v>2157</v>
      </c>
      <c r="B13" s="1298" t="str">
        <f ca="1">IF(C13&lt;B2,"已过期",1120020033)</f>
        <v>已过期</v>
      </c>
      <c r="C13" s="2339">
        <v>45375</v>
      </c>
      <c r="D13" s="2340" t="str">
        <f t="shared" ca="1" si="0"/>
        <v>刘敬东（注册号：已过期）</v>
      </c>
      <c r="E13" s="2341" t="s">
        <v>2157</v>
      </c>
      <c r="F13" s="1298">
        <f ca="1">IF(G13&lt;B2,"已过期",2000110137)</f>
        <v>2000110137</v>
      </c>
      <c r="G13" s="2342">
        <v>46387</v>
      </c>
      <c r="H13" s="2343" t="str">
        <f t="shared" ca="1" si="1"/>
        <v>刘敬东（注册号：2000110137）</v>
      </c>
    </row>
    <row r="14" spans="1:8" ht="24" customHeight="1">
      <c r="A14" s="1298" t="s">
        <v>2158</v>
      </c>
      <c r="B14" s="1298" t="str">
        <f ca="1">IF(C14&lt;B2,"已过期",1119980106)</f>
        <v>已过期</v>
      </c>
      <c r="C14" s="2344">
        <v>44969</v>
      </c>
      <c r="D14" s="2340" t="str">
        <f t="shared" ca="1" si="0"/>
        <v>刘俊财（注册号：已过期）</v>
      </c>
      <c r="E14" s="2341" t="s">
        <v>2158</v>
      </c>
      <c r="F14" s="1298">
        <f ca="1">IF(G14&lt;B2,"已过期",96010063)</f>
        <v>96010063</v>
      </c>
      <c r="G14" s="2342">
        <v>47483</v>
      </c>
      <c r="H14" s="2343" t="str">
        <f t="shared" ca="1" si="1"/>
        <v>刘俊财（注册号：96010063）</v>
      </c>
    </row>
    <row r="15" spans="1:8" ht="24" customHeight="1">
      <c r="A15" s="1298" t="s">
        <v>2430</v>
      </c>
      <c r="B15" s="1298">
        <v>1120210056</v>
      </c>
      <c r="C15" s="2344">
        <v>45410</v>
      </c>
      <c r="D15" s="2340" t="str">
        <f t="shared" si="0"/>
        <v>宁小鳗（注册号：1120210056）</v>
      </c>
      <c r="E15" s="2341" t="s">
        <v>2159</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28" t="s">
        <v>2160</v>
      </c>
      <c r="B17" s="3528"/>
      <c r="C17" s="3528"/>
      <c r="D17" s="3528"/>
      <c r="E17" s="3528"/>
      <c r="F17" s="3528"/>
      <c r="G17" s="3528"/>
      <c r="H17" s="3528"/>
    </row>
    <row r="18" spans="1:8" ht="24" customHeight="1">
      <c r="A18" s="3529" t="s">
        <v>2161</v>
      </c>
      <c r="B18" s="3529"/>
      <c r="C18" s="3529"/>
      <c r="D18" s="2337"/>
      <c r="E18" s="3530" t="s">
        <v>2162</v>
      </c>
      <c r="F18" s="3529"/>
      <c r="G18" s="3529"/>
    </row>
    <row r="19" spans="1:8" s="2348" customFormat="1" ht="24" customHeight="1">
      <c r="A19" s="2347" t="s">
        <v>2163</v>
      </c>
      <c r="B19" s="2336" t="s">
        <v>2164</v>
      </c>
      <c r="C19" s="2336" t="s">
        <v>2143</v>
      </c>
      <c r="D19" s="2337"/>
      <c r="E19" s="2341" t="s">
        <v>2163</v>
      </c>
      <c r="F19" s="2336" t="s">
        <v>2164</v>
      </c>
      <c r="G19" s="2336" t="s">
        <v>2143</v>
      </c>
    </row>
    <row r="20" spans="1:8" s="2348" customFormat="1" ht="24" customHeight="1">
      <c r="A20" s="2349" t="s">
        <v>2165</v>
      </c>
      <c r="B20" s="2349" t="s">
        <v>2166</v>
      </c>
      <c r="C20" s="2342">
        <v>45898</v>
      </c>
      <c r="D20" s="2350"/>
      <c r="E20" s="2351" t="s">
        <v>2167</v>
      </c>
      <c r="F20" s="2354" t="s">
        <v>2431</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A16:C16">
    <cfRule type="cellIs" dxfId="204" priority="32" stopIfTrue="1" operator="equal">
      <formula>"已过期"</formula>
    </cfRule>
  </conditionalFormatting>
  <conditionalFormatting sqref="B4:B15">
    <cfRule type="cellIs" dxfId="203" priority="4" stopIfTrue="1" operator="equal">
      <formula>"已过期"</formula>
    </cfRule>
  </conditionalFormatting>
  <conditionalFormatting sqref="C7:C12">
    <cfRule type="expression" dxfId="202" priority="22">
      <formula>AND($C7-TODAY()&lt;30,TODAY()&lt;$C7)</formula>
    </cfRule>
    <cfRule type="cellIs" dxfId="201" priority="23" stopIfTrue="1" operator="lessThan">
      <formula>$B$2</formula>
    </cfRule>
  </conditionalFormatting>
  <conditionalFormatting sqref="C14:C15">
    <cfRule type="expression" dxfId="200" priority="7">
      <formula>AND($C14-TODAY()&lt;30,TODAY()&lt;$C14)</formula>
    </cfRule>
    <cfRule type="cellIs" dxfId="199" priority="8" stopIfTrue="1" operator="lessThan">
      <formula>$B$2</formula>
    </cfRule>
  </conditionalFormatting>
  <conditionalFormatting sqref="C4:D6 D14">
    <cfRule type="cellIs" dxfId="198" priority="50" stopIfTrue="1" operator="lessThan">
      <formula>$B$2</formula>
    </cfRule>
  </conditionalFormatting>
  <conditionalFormatting sqref="C12:D13">
    <cfRule type="expression" dxfId="197" priority="47">
      <formula>AND($C12-TODAY()&lt;30,TODAY()&lt;$C12)</formula>
    </cfRule>
  </conditionalFormatting>
  <conditionalFormatting sqref="C13:D14">
    <cfRule type="expression" dxfId="196" priority="18">
      <formula>AND($C13-TODAY()&lt;30,TODAY()&lt;$C13)</formula>
    </cfRule>
    <cfRule type="cellIs" dxfId="195" priority="19" stopIfTrue="1" operator="lessThan">
      <formula>$B$2</formula>
    </cfRule>
  </conditionalFormatting>
  <conditionalFormatting sqref="C15:D15">
    <cfRule type="expression" dxfId="194" priority="5">
      <formula>AND($C15-TODAY()&lt;30,TODAY()&lt;$C15)</formula>
    </cfRule>
    <cfRule type="cellIs" dxfId="193" priority="6" stopIfTrue="1" operator="lessThan">
      <formula>$B$2</formula>
    </cfRule>
  </conditionalFormatting>
  <conditionalFormatting sqref="C20:D20 C13:D13">
    <cfRule type="cellIs" dxfId="192" priority="54" stopIfTrue="1" operator="lessThan">
      <formula>$B$2</formula>
    </cfRule>
  </conditionalFormatting>
  <conditionalFormatting sqref="C20:D20">
    <cfRule type="expression" dxfId="191" priority="52">
      <formula>AND($C20-TODAY()&lt;30,TODAY()&lt;$C20)</formula>
    </cfRule>
  </conditionalFormatting>
  <conditionalFormatting sqref="D7:D12 D16">
    <cfRule type="expression" dxfId="190" priority="53">
      <formula>AND($C7-TODAY()&lt;30,TODAY()&lt;$C7)</formula>
    </cfRule>
  </conditionalFormatting>
  <conditionalFormatting sqref="D7:D12">
    <cfRule type="cellIs" dxfId="189" priority="48" stopIfTrue="1" operator="lessThan">
      <formula>$B$2</formula>
    </cfRule>
  </conditionalFormatting>
  <conditionalFormatting sqref="D14 C4:D6">
    <cfRule type="expression" dxfId="188" priority="49">
      <formula>AND($C4-TODAY()&lt;30,TODAY()&lt;$C4)</formula>
    </cfRule>
  </conditionalFormatting>
  <conditionalFormatting sqref="D15:D16">
    <cfRule type="cellIs" dxfId="187" priority="13" stopIfTrue="1" operator="lessThan">
      <formula>$B$2</formula>
    </cfRule>
    <cfRule type="expression" dxfId="186" priority="12">
      <formula>AND($C15-TODAY()&lt;30,TODAY()&lt;$C15)</formula>
    </cfRule>
  </conditionalFormatting>
  <conditionalFormatting sqref="E16:G16">
    <cfRule type="cellIs" dxfId="185" priority="31" stopIfTrue="1" operator="equal">
      <formula>"已过期"</formula>
    </cfRule>
  </conditionalFormatting>
  <conditionalFormatting sqref="F4:F15">
    <cfRule type="cellIs" dxfId="184" priority="9" stopIfTrue="1" operator="equal">
      <formula>"已过期"</formula>
    </cfRule>
  </conditionalFormatting>
  <conditionalFormatting sqref="G4:G15">
    <cfRule type="cellIs" dxfId="183" priority="3" stopIfTrue="1" operator="lessThan">
      <formula>$B$2</formula>
    </cfRule>
  </conditionalFormatting>
  <conditionalFormatting sqref="G20:G21">
    <cfRule type="cellIs" dxfId="182" priority="2" stopIfTrue="1" operator="lessThan">
      <formula>$B$2</formula>
    </cfRule>
    <cfRule type="expression" dxfId="18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172</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收益法 (元)</vt:lpstr>
      <vt:lpstr>收益法-酒店模型</vt:lpstr>
      <vt:lpstr>比较法-住宅</vt:lpstr>
      <vt:lpstr>比较法-商业</vt:lpstr>
      <vt:lpstr>比较法-车位</vt:lpstr>
      <vt:lpstr>比较法-仓储</vt:lpstr>
      <vt:lpstr>土地比较法-住宅、综合</vt:lpstr>
      <vt:lpstr>土地比较法-工业</vt:lpstr>
      <vt:lpstr>典型户型修正</vt:lpstr>
      <vt:lpstr>基准地价（汇总）</vt:lpstr>
      <vt:lpstr>1、3号收益法</vt:lpstr>
      <vt:lpstr>2号收益法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收益法（汇总）</vt:lpstr>
      <vt:lpstr>收益法</vt:lpstr>
      <vt:lpstr>4号楼租金比较法</vt:lpstr>
      <vt:lpstr>比较法-办公</vt:lpstr>
      <vt:lpstr>1、3号楼租金比较法</vt:lpstr>
      <vt:lpstr>2号楼租金比较法</vt:lpstr>
      <vt:lpstr>'1、3号楼租金比较法'!Print_Area</vt:lpstr>
      <vt:lpstr>'1、3号收益法'!Print_Area</vt:lpstr>
      <vt:lpstr>'2号楼租金比较法'!Print_Area</vt:lpstr>
      <vt:lpstr>'2号收益法'!Print_Area</vt:lpstr>
      <vt:lpstr>'4号楼租金比较法'!Print_Area</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'1、3号楼租金比较法'!工业公共部分装修</vt:lpstr>
      <vt:lpstr>'2号楼租金比较法'!工业公共部分装修</vt:lpstr>
      <vt:lpstr>工业公共部分装修</vt:lpstr>
      <vt:lpstr>'1、3号楼租金比较法'!工业基础设施水平</vt:lpstr>
      <vt:lpstr>'2号楼租金比较法'!工业基础设施水平</vt:lpstr>
      <vt:lpstr>工业基础设施水平</vt:lpstr>
      <vt:lpstr>'1、3号楼租金比较法'!工业建筑结构</vt:lpstr>
      <vt:lpstr>'2号楼租金比较法'!工业建筑结构</vt:lpstr>
      <vt:lpstr>工业建筑结构</vt:lpstr>
      <vt:lpstr>'1、3号楼租金比较法'!工业建筑类型</vt:lpstr>
      <vt:lpstr>'2号楼租金比较法'!工业建筑类型</vt:lpstr>
      <vt:lpstr>工业建筑类型</vt:lpstr>
      <vt:lpstr>'1、3号楼租金比较法'!工业交易情况</vt:lpstr>
      <vt:lpstr>'2号楼租金比较法'!工业交易情况</vt:lpstr>
      <vt:lpstr>工业交易情况</vt:lpstr>
      <vt:lpstr>'1、3号楼租金比较法'!工业内部装修</vt:lpstr>
      <vt:lpstr>'2号楼租金比较法'!工业内部装修</vt:lpstr>
      <vt:lpstr>工业内部装修</vt:lpstr>
      <vt:lpstr>'1、3号楼租金比较法'!工业物业管理</vt:lpstr>
      <vt:lpstr>'2号楼租金比较法'!工业物业管理</vt:lpstr>
      <vt:lpstr>工业物业管理</vt:lpstr>
      <vt:lpstr>'1、3号楼租金比较法'!工业用途</vt:lpstr>
      <vt:lpstr>'2号楼租金比较法'!工业用途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2024-09-06T05:40:31Z</dcterms:modified>
</cp:coreProperties>
</file>